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drawings/drawing4.xml" ContentType="application/vnd.openxmlformats-officedocument.drawing+xml"/>
  <Override PartName="/xl/customProperty22.bin" ContentType="application/vnd.openxmlformats-officedocument.spreadsheetml.customProperty"/>
  <Override PartName="/xl/drawings/drawing5.xml" ContentType="application/vnd.openxmlformats-officedocument.drawing+xml"/>
  <Override PartName="/xl/customProperty23.bin" ContentType="application/vnd.openxmlformats-officedocument.spreadsheetml.customProperty"/>
  <Override PartName="/xl/drawings/drawing6.xml" ContentType="application/vnd.openxmlformats-officedocument.drawing+xml"/>
  <Override PartName="/xl/customProperty24.bin" ContentType="application/vnd.openxmlformats-officedocument.spreadsheetml.customProperty"/>
  <Override PartName="/xl/drawings/drawing7.xml" ContentType="application/vnd.openxmlformats-officedocument.drawing+xml"/>
  <Override PartName="/xl/customProperty25.bin" ContentType="application/vnd.openxmlformats-officedocument.spreadsheetml.customProperty"/>
  <Override PartName="/xl/drawings/drawing8.xml" ContentType="application/vnd.openxmlformats-officedocument.drawing+xml"/>
  <Override PartName="/xl/customProperty26.bin" ContentType="application/vnd.openxmlformats-officedocument.spreadsheetml.customProperty"/>
  <Override PartName="/xl/drawings/drawing9.xml" ContentType="application/vnd.openxmlformats-officedocument.drawing+xml"/>
  <Override PartName="/xl/customProperty27.bin" ContentType="application/vnd.openxmlformats-officedocument.spreadsheetml.customProperty"/>
  <Override PartName="/xl/drawings/drawing10.xml" ContentType="application/vnd.openxmlformats-officedocument.drawing+xml"/>
  <Override PartName="/xl/customProperty28.bin" ContentType="application/vnd.openxmlformats-officedocument.spreadsheetml.customProperty"/>
  <Override PartName="/xl/drawings/drawing11.xml" ContentType="application/vnd.openxmlformats-officedocument.drawing+xml"/>
  <Override PartName="/xl/customProperty29.bin" ContentType="application/vnd.openxmlformats-officedocument.spreadsheetml.customProperty"/>
  <Override PartName="/xl/drawings/drawing12.xml" ContentType="application/vnd.openxmlformats-officedocument.drawing+xml"/>
  <Override PartName="/xl/customProperty30.bin" ContentType="application/vnd.openxmlformats-officedocument.spreadsheetml.customProperty"/>
  <Override PartName="/xl/drawings/drawing13.xml" ContentType="application/vnd.openxmlformats-officedocument.drawing+xml"/>
  <Override PartName="/xl/customProperty31.bin" ContentType="application/vnd.openxmlformats-officedocument.spreadsheetml.customProperty"/>
  <Override PartName="/xl/drawings/drawing14.xml" ContentType="application/vnd.openxmlformats-officedocument.drawing+xml"/>
  <Override PartName="/xl/customProperty32.bin" ContentType="application/vnd.openxmlformats-officedocument.spreadsheetml.customProperty"/>
  <Override PartName="/xl/drawings/drawing15.xml" ContentType="application/vnd.openxmlformats-officedocument.drawing+xml"/>
  <Override PartName="/xl/customProperty33.bin" ContentType="application/vnd.openxmlformats-officedocument.spreadsheetml.customProperty"/>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howInkAnnotation="0" codeName="ThisWorkbook" defaultThemeVersion="124226"/>
  <bookViews>
    <workbookView xWindow="-110" yWindow="-110" windowWidth="19420" windowHeight="10300" firstSheet="4" activeTab="4"/>
  </bookViews>
  <sheets>
    <sheet name="Plan de travail et budget" sheetId="20" state="hidden" r:id="rId1"/>
    <sheet name="1. Budget" sheetId="3" state="hidden" r:id="rId2"/>
    <sheet name="2.Budget narratif" sheetId="5" state="hidden" r:id="rId3"/>
    <sheet name="ICE Budget detaillé " sheetId="132" state="hidden" r:id="rId4"/>
    <sheet name="A1_Aménagement d'une source sim" sheetId="147" r:id="rId5"/>
    <sheet name="A2_Forage mécanique équipé de p" sheetId="148" r:id="rId6"/>
    <sheet name="A3_Captage d'eau de pluie" sheetId="149" r:id="rId7"/>
    <sheet name="A4_Point de lavage des mains " sheetId="150" r:id="rId8"/>
    <sheet name="A7_Raccordement en eau  établ  " sheetId="153" r:id="rId9"/>
    <sheet name="A8_Bac à lessive avec deux robi" sheetId="154" r:id="rId10"/>
    <sheet name="A9_Douche" sheetId="155" r:id="rId11"/>
    <sheet name="A10_Latrine VIP à fosse altern " sheetId="156" r:id="rId12"/>
    <sheet name="A11_Latrine VIP à fosse alte F" sheetId="157" r:id="rId13"/>
    <sheet name="A13_Incinérateur De Monfort " sheetId="159" r:id="rId14"/>
    <sheet name="A14_Fosse à cendre" sheetId="160" r:id="rId15"/>
    <sheet name="A15_Fosse à placenta" sheetId="161" r:id="rId16"/>
    <sheet name="A16_Fosse à aiguille" sheetId="162" r:id="rId17"/>
    <sheet name="A17_Grillage de la zone de déch" sheetId="163" r:id="rId18"/>
    <sheet name="A18_Plan de travail laboratoire" sheetId="176" r:id="rId19"/>
    <sheet name="A21_Aménagement _broyeur" sheetId="174" r:id="rId20"/>
    <sheet name="Plan Implivium" sheetId="95" r:id="rId21"/>
    <sheet name="Plan latrine au CS ET EP" sheetId="98" r:id="rId22"/>
    <sheet name="Plan latrine avec GHM CS" sheetId="99" r:id="rId23"/>
    <sheet name="Plan de latrine avec GHM A EP" sheetId="100" r:id="rId24"/>
    <sheet name="Plan latrine aux PSH CS et EP" sheetId="101" r:id="rId25"/>
    <sheet name="Plan bloc douche au CS" sheetId="102" r:id="rId26"/>
    <sheet name="Plan fosse à placenta" sheetId="103" r:id="rId27"/>
    <sheet name="Plan Incinerateur" sheetId="104" r:id="rId28"/>
    <sheet name="Plan source simple" sheetId="105" r:id="rId29"/>
    <sheet name="Plan fosse à aiguille " sheetId="106" r:id="rId30"/>
    <sheet name="Plan source avec resevoir" sheetId="107" r:id="rId31"/>
    <sheet name="Plan tank de 5M3" sheetId="108" r:id="rId32"/>
    <sheet name="Pan abris CPS et zone de dechet" sheetId="109" r:id="rId33"/>
  </sheets>
  <externalReferences>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s>
  <definedNames>
    <definedName name="____________________________________pc2" localSheetId="11" hidden="1">{#N/A,#N/A,FALSE,"Benefits 01-06"}</definedName>
    <definedName name="____________________________________pc2" localSheetId="12" hidden="1">{#N/A,#N/A,FALSE,"Benefits 01-06"}</definedName>
    <definedName name="____________________________________pc2" localSheetId="13" hidden="1">{#N/A,#N/A,FALSE,"Benefits 01-06"}</definedName>
    <definedName name="____________________________________pc2" localSheetId="14" hidden="1">{#N/A,#N/A,FALSE,"Benefits 01-06"}</definedName>
    <definedName name="____________________________________pc2" localSheetId="15" hidden="1">{#N/A,#N/A,FALSE,"Benefits 01-06"}</definedName>
    <definedName name="____________________________________pc2" localSheetId="16" hidden="1">{#N/A,#N/A,FALSE,"Benefits 01-06"}</definedName>
    <definedName name="____________________________________pc2" localSheetId="17" hidden="1">{#N/A,#N/A,FALSE,"Benefits 01-06"}</definedName>
    <definedName name="____________________________________pc2" localSheetId="18" hidden="1">{#N/A,#N/A,FALSE,"Benefits 01-06"}</definedName>
    <definedName name="____________________________________pc2" localSheetId="5" hidden="1">{#N/A,#N/A,FALSE,"Benefits 01-06"}</definedName>
    <definedName name="____________________________________pc2" localSheetId="6" hidden="1">{#N/A,#N/A,FALSE,"Benefits 01-06"}</definedName>
    <definedName name="____________________________________pc2" localSheetId="7" hidden="1">{#N/A,#N/A,FALSE,"Benefits 01-06"}</definedName>
    <definedName name="____________________________________pc2" localSheetId="8" hidden="1">{#N/A,#N/A,FALSE,"Benefits 01-06"}</definedName>
    <definedName name="____________________________________pc2" localSheetId="9" hidden="1">{#N/A,#N/A,FALSE,"Benefits 01-06"}</definedName>
    <definedName name="____________________________________pc2" localSheetId="10" hidden="1">{#N/A,#N/A,FALSE,"Benefits 01-06"}</definedName>
    <definedName name="____________________________________pc2" hidden="1">{#N/A,#N/A,FALSE,"Benefits 01-06"}</definedName>
    <definedName name="___________________________________pc2" localSheetId="11" hidden="1">{#N/A,#N/A,FALSE,"Benefits 01-06"}</definedName>
    <definedName name="___________________________________pc2" localSheetId="12" hidden="1">{#N/A,#N/A,FALSE,"Benefits 01-06"}</definedName>
    <definedName name="___________________________________pc2" localSheetId="13" hidden="1">{#N/A,#N/A,FALSE,"Benefits 01-06"}</definedName>
    <definedName name="___________________________________pc2" localSheetId="14" hidden="1">{#N/A,#N/A,FALSE,"Benefits 01-06"}</definedName>
    <definedName name="___________________________________pc2" localSheetId="15" hidden="1">{#N/A,#N/A,FALSE,"Benefits 01-06"}</definedName>
    <definedName name="___________________________________pc2" localSheetId="16" hidden="1">{#N/A,#N/A,FALSE,"Benefits 01-06"}</definedName>
    <definedName name="___________________________________pc2" localSheetId="17" hidden="1">{#N/A,#N/A,FALSE,"Benefits 01-06"}</definedName>
    <definedName name="___________________________________pc2" localSheetId="18" hidden="1">{#N/A,#N/A,FALSE,"Benefits 01-06"}</definedName>
    <definedName name="___________________________________pc2" localSheetId="5" hidden="1">{#N/A,#N/A,FALSE,"Benefits 01-06"}</definedName>
    <definedName name="___________________________________pc2" localSheetId="6" hidden="1">{#N/A,#N/A,FALSE,"Benefits 01-06"}</definedName>
    <definedName name="___________________________________pc2" localSheetId="7" hidden="1">{#N/A,#N/A,FALSE,"Benefits 01-06"}</definedName>
    <definedName name="___________________________________pc2" localSheetId="8" hidden="1">{#N/A,#N/A,FALSE,"Benefits 01-06"}</definedName>
    <definedName name="___________________________________pc2" localSheetId="9" hidden="1">{#N/A,#N/A,FALSE,"Benefits 01-06"}</definedName>
    <definedName name="___________________________________pc2" localSheetId="10" hidden="1">{#N/A,#N/A,FALSE,"Benefits 01-06"}</definedName>
    <definedName name="___________________________________pc2" hidden="1">{#N/A,#N/A,FALSE,"Benefits 01-06"}</definedName>
    <definedName name="__________________________________pc1" localSheetId="11" hidden="1">{#N/A,#N/A,FALSE,"Benefits 01-06"}</definedName>
    <definedName name="__________________________________pc1" localSheetId="12" hidden="1">{#N/A,#N/A,FALSE,"Benefits 01-06"}</definedName>
    <definedName name="__________________________________pc1" localSheetId="13" hidden="1">{#N/A,#N/A,FALSE,"Benefits 01-06"}</definedName>
    <definedName name="__________________________________pc1" localSheetId="14" hidden="1">{#N/A,#N/A,FALSE,"Benefits 01-06"}</definedName>
    <definedName name="__________________________________pc1" localSheetId="15" hidden="1">{#N/A,#N/A,FALSE,"Benefits 01-06"}</definedName>
    <definedName name="__________________________________pc1" localSheetId="16" hidden="1">{#N/A,#N/A,FALSE,"Benefits 01-06"}</definedName>
    <definedName name="__________________________________pc1" localSheetId="17" hidden="1">{#N/A,#N/A,FALSE,"Benefits 01-06"}</definedName>
    <definedName name="__________________________________pc1" localSheetId="18" hidden="1">{#N/A,#N/A,FALSE,"Benefits 01-06"}</definedName>
    <definedName name="__________________________________pc1" localSheetId="5" hidden="1">{#N/A,#N/A,FALSE,"Benefits 01-06"}</definedName>
    <definedName name="__________________________________pc1" localSheetId="6" hidden="1">{#N/A,#N/A,FALSE,"Benefits 01-06"}</definedName>
    <definedName name="__________________________________pc1" localSheetId="7" hidden="1">{#N/A,#N/A,FALSE,"Benefits 01-06"}</definedName>
    <definedName name="__________________________________pc1" localSheetId="8" hidden="1">{#N/A,#N/A,FALSE,"Benefits 01-06"}</definedName>
    <definedName name="__________________________________pc1" localSheetId="9" hidden="1">{#N/A,#N/A,FALSE,"Benefits 01-06"}</definedName>
    <definedName name="__________________________________pc1" localSheetId="10" hidden="1">{#N/A,#N/A,FALSE,"Benefits 01-06"}</definedName>
    <definedName name="__________________________________pc1" hidden="1">{#N/A,#N/A,FALSE,"Benefits 01-06"}</definedName>
    <definedName name="__________________________________pc2" localSheetId="11" hidden="1">{#N/A,#N/A,FALSE,"Benefits 01-06"}</definedName>
    <definedName name="__________________________________pc2" localSheetId="12" hidden="1">{#N/A,#N/A,FALSE,"Benefits 01-06"}</definedName>
    <definedName name="__________________________________pc2" localSheetId="13" hidden="1">{#N/A,#N/A,FALSE,"Benefits 01-06"}</definedName>
    <definedName name="__________________________________pc2" localSheetId="14" hidden="1">{#N/A,#N/A,FALSE,"Benefits 01-06"}</definedName>
    <definedName name="__________________________________pc2" localSheetId="15" hidden="1">{#N/A,#N/A,FALSE,"Benefits 01-06"}</definedName>
    <definedName name="__________________________________pc2" localSheetId="16" hidden="1">{#N/A,#N/A,FALSE,"Benefits 01-06"}</definedName>
    <definedName name="__________________________________pc2" localSheetId="17" hidden="1">{#N/A,#N/A,FALSE,"Benefits 01-06"}</definedName>
    <definedName name="__________________________________pc2" localSheetId="18" hidden="1">{#N/A,#N/A,FALSE,"Benefits 01-06"}</definedName>
    <definedName name="__________________________________pc2" localSheetId="5" hidden="1">{#N/A,#N/A,FALSE,"Benefits 01-06"}</definedName>
    <definedName name="__________________________________pc2" localSheetId="6" hidden="1">{#N/A,#N/A,FALSE,"Benefits 01-06"}</definedName>
    <definedName name="__________________________________pc2" localSheetId="7" hidden="1">{#N/A,#N/A,FALSE,"Benefits 01-06"}</definedName>
    <definedName name="__________________________________pc2" localSheetId="8" hidden="1">{#N/A,#N/A,FALSE,"Benefits 01-06"}</definedName>
    <definedName name="__________________________________pc2" localSheetId="9" hidden="1">{#N/A,#N/A,FALSE,"Benefits 01-06"}</definedName>
    <definedName name="__________________________________pc2" localSheetId="10" hidden="1">{#N/A,#N/A,FALSE,"Benefits 01-06"}</definedName>
    <definedName name="__________________________________pc2" hidden="1">{#N/A,#N/A,FALSE,"Benefits 01-06"}</definedName>
    <definedName name="_________________________________pc1" localSheetId="11" hidden="1">{#N/A,#N/A,FALSE,"Benefits 01-06"}</definedName>
    <definedName name="_________________________________pc1" localSheetId="12" hidden="1">{#N/A,#N/A,FALSE,"Benefits 01-06"}</definedName>
    <definedName name="_________________________________pc1" localSheetId="13" hidden="1">{#N/A,#N/A,FALSE,"Benefits 01-06"}</definedName>
    <definedName name="_________________________________pc1" localSheetId="14" hidden="1">{#N/A,#N/A,FALSE,"Benefits 01-06"}</definedName>
    <definedName name="_________________________________pc1" localSheetId="15" hidden="1">{#N/A,#N/A,FALSE,"Benefits 01-06"}</definedName>
    <definedName name="_________________________________pc1" localSheetId="16" hidden="1">{#N/A,#N/A,FALSE,"Benefits 01-06"}</definedName>
    <definedName name="_________________________________pc1" localSheetId="17" hidden="1">{#N/A,#N/A,FALSE,"Benefits 01-06"}</definedName>
    <definedName name="_________________________________pc1" localSheetId="18" hidden="1">{#N/A,#N/A,FALSE,"Benefits 01-06"}</definedName>
    <definedName name="_________________________________pc1" localSheetId="5" hidden="1">{#N/A,#N/A,FALSE,"Benefits 01-06"}</definedName>
    <definedName name="_________________________________pc1" localSheetId="6" hidden="1">{#N/A,#N/A,FALSE,"Benefits 01-06"}</definedName>
    <definedName name="_________________________________pc1" localSheetId="7" hidden="1">{#N/A,#N/A,FALSE,"Benefits 01-06"}</definedName>
    <definedName name="_________________________________pc1" localSheetId="8" hidden="1">{#N/A,#N/A,FALSE,"Benefits 01-06"}</definedName>
    <definedName name="_________________________________pc1" localSheetId="9" hidden="1">{#N/A,#N/A,FALSE,"Benefits 01-06"}</definedName>
    <definedName name="_________________________________pc1" localSheetId="10" hidden="1">{#N/A,#N/A,FALSE,"Benefits 01-06"}</definedName>
    <definedName name="_________________________________pc1" hidden="1">{#N/A,#N/A,FALSE,"Benefits 01-06"}</definedName>
    <definedName name="_________________________________pc2" localSheetId="11" hidden="1">{#N/A,#N/A,FALSE,"Benefits 01-06"}</definedName>
    <definedName name="_________________________________pc2" localSheetId="12" hidden="1">{#N/A,#N/A,FALSE,"Benefits 01-06"}</definedName>
    <definedName name="_________________________________pc2" localSheetId="13" hidden="1">{#N/A,#N/A,FALSE,"Benefits 01-06"}</definedName>
    <definedName name="_________________________________pc2" localSheetId="14" hidden="1">{#N/A,#N/A,FALSE,"Benefits 01-06"}</definedName>
    <definedName name="_________________________________pc2" localSheetId="15" hidden="1">{#N/A,#N/A,FALSE,"Benefits 01-06"}</definedName>
    <definedName name="_________________________________pc2" localSheetId="16" hidden="1">{#N/A,#N/A,FALSE,"Benefits 01-06"}</definedName>
    <definedName name="_________________________________pc2" localSheetId="17" hidden="1">{#N/A,#N/A,FALSE,"Benefits 01-06"}</definedName>
    <definedName name="_________________________________pc2" localSheetId="18" hidden="1">{#N/A,#N/A,FALSE,"Benefits 01-06"}</definedName>
    <definedName name="_________________________________pc2" localSheetId="5" hidden="1">{#N/A,#N/A,FALSE,"Benefits 01-06"}</definedName>
    <definedName name="_________________________________pc2" localSheetId="6" hidden="1">{#N/A,#N/A,FALSE,"Benefits 01-06"}</definedName>
    <definedName name="_________________________________pc2" localSheetId="7" hidden="1">{#N/A,#N/A,FALSE,"Benefits 01-06"}</definedName>
    <definedName name="_________________________________pc2" localSheetId="8" hidden="1">{#N/A,#N/A,FALSE,"Benefits 01-06"}</definedName>
    <definedName name="_________________________________pc2" localSheetId="9" hidden="1">{#N/A,#N/A,FALSE,"Benefits 01-06"}</definedName>
    <definedName name="_________________________________pc2" localSheetId="10" hidden="1">{#N/A,#N/A,FALSE,"Benefits 01-06"}</definedName>
    <definedName name="_________________________________pc2" hidden="1">{#N/A,#N/A,FALSE,"Benefits 01-06"}</definedName>
    <definedName name="________________________________pc1" localSheetId="11" hidden="1">{#N/A,#N/A,FALSE,"Benefits 01-06"}</definedName>
    <definedName name="________________________________pc1" localSheetId="12" hidden="1">{#N/A,#N/A,FALSE,"Benefits 01-06"}</definedName>
    <definedName name="________________________________pc1" localSheetId="13" hidden="1">{#N/A,#N/A,FALSE,"Benefits 01-06"}</definedName>
    <definedName name="________________________________pc1" localSheetId="14" hidden="1">{#N/A,#N/A,FALSE,"Benefits 01-06"}</definedName>
    <definedName name="________________________________pc1" localSheetId="15" hidden="1">{#N/A,#N/A,FALSE,"Benefits 01-06"}</definedName>
    <definedName name="________________________________pc1" localSheetId="16" hidden="1">{#N/A,#N/A,FALSE,"Benefits 01-06"}</definedName>
    <definedName name="________________________________pc1" localSheetId="17" hidden="1">{#N/A,#N/A,FALSE,"Benefits 01-06"}</definedName>
    <definedName name="________________________________pc1" localSheetId="18" hidden="1">{#N/A,#N/A,FALSE,"Benefits 01-06"}</definedName>
    <definedName name="________________________________pc1" localSheetId="5" hidden="1">{#N/A,#N/A,FALSE,"Benefits 01-06"}</definedName>
    <definedName name="________________________________pc1" localSheetId="6" hidden="1">{#N/A,#N/A,FALSE,"Benefits 01-06"}</definedName>
    <definedName name="________________________________pc1" localSheetId="7" hidden="1">{#N/A,#N/A,FALSE,"Benefits 01-06"}</definedName>
    <definedName name="________________________________pc1" localSheetId="8" hidden="1">{#N/A,#N/A,FALSE,"Benefits 01-06"}</definedName>
    <definedName name="________________________________pc1" localSheetId="9" hidden="1">{#N/A,#N/A,FALSE,"Benefits 01-06"}</definedName>
    <definedName name="________________________________pc1" localSheetId="10" hidden="1">{#N/A,#N/A,FALSE,"Benefits 01-06"}</definedName>
    <definedName name="________________________________pc1" hidden="1">{#N/A,#N/A,FALSE,"Benefits 01-06"}</definedName>
    <definedName name="________________________________pc2" localSheetId="11" hidden="1">{#N/A,#N/A,FALSE,"Benefits 01-06"}</definedName>
    <definedName name="________________________________pc2" localSheetId="12" hidden="1">{#N/A,#N/A,FALSE,"Benefits 01-06"}</definedName>
    <definedName name="________________________________pc2" localSheetId="13" hidden="1">{#N/A,#N/A,FALSE,"Benefits 01-06"}</definedName>
    <definedName name="________________________________pc2" localSheetId="14" hidden="1">{#N/A,#N/A,FALSE,"Benefits 01-06"}</definedName>
    <definedName name="________________________________pc2" localSheetId="15" hidden="1">{#N/A,#N/A,FALSE,"Benefits 01-06"}</definedName>
    <definedName name="________________________________pc2" localSheetId="16" hidden="1">{#N/A,#N/A,FALSE,"Benefits 01-06"}</definedName>
    <definedName name="________________________________pc2" localSheetId="17" hidden="1">{#N/A,#N/A,FALSE,"Benefits 01-06"}</definedName>
    <definedName name="________________________________pc2" localSheetId="18" hidden="1">{#N/A,#N/A,FALSE,"Benefits 01-06"}</definedName>
    <definedName name="________________________________pc2" localSheetId="5" hidden="1">{#N/A,#N/A,FALSE,"Benefits 01-06"}</definedName>
    <definedName name="________________________________pc2" localSheetId="6" hidden="1">{#N/A,#N/A,FALSE,"Benefits 01-06"}</definedName>
    <definedName name="________________________________pc2" localSheetId="7" hidden="1">{#N/A,#N/A,FALSE,"Benefits 01-06"}</definedName>
    <definedName name="________________________________pc2" localSheetId="8" hidden="1">{#N/A,#N/A,FALSE,"Benefits 01-06"}</definedName>
    <definedName name="________________________________pc2" localSheetId="9" hidden="1">{#N/A,#N/A,FALSE,"Benefits 01-06"}</definedName>
    <definedName name="________________________________pc2" localSheetId="10" hidden="1">{#N/A,#N/A,FALSE,"Benefits 01-06"}</definedName>
    <definedName name="________________________________pc2" hidden="1">{#N/A,#N/A,FALSE,"Benefits 01-06"}</definedName>
    <definedName name="_______________________________pc1" localSheetId="11" hidden="1">{#N/A,#N/A,FALSE,"Benefits 01-06"}</definedName>
    <definedName name="_______________________________pc1" localSheetId="12" hidden="1">{#N/A,#N/A,FALSE,"Benefits 01-06"}</definedName>
    <definedName name="_______________________________pc1" localSheetId="13" hidden="1">{#N/A,#N/A,FALSE,"Benefits 01-06"}</definedName>
    <definedName name="_______________________________pc1" localSheetId="14" hidden="1">{#N/A,#N/A,FALSE,"Benefits 01-06"}</definedName>
    <definedName name="_______________________________pc1" localSheetId="15" hidden="1">{#N/A,#N/A,FALSE,"Benefits 01-06"}</definedName>
    <definedName name="_______________________________pc1" localSheetId="16" hidden="1">{#N/A,#N/A,FALSE,"Benefits 01-06"}</definedName>
    <definedName name="_______________________________pc1" localSheetId="17" hidden="1">{#N/A,#N/A,FALSE,"Benefits 01-06"}</definedName>
    <definedName name="_______________________________pc1" localSheetId="18" hidden="1">{#N/A,#N/A,FALSE,"Benefits 01-06"}</definedName>
    <definedName name="_______________________________pc1" localSheetId="5" hidden="1">{#N/A,#N/A,FALSE,"Benefits 01-06"}</definedName>
    <definedName name="_______________________________pc1" localSheetId="6" hidden="1">{#N/A,#N/A,FALSE,"Benefits 01-06"}</definedName>
    <definedName name="_______________________________pc1" localSheetId="7" hidden="1">{#N/A,#N/A,FALSE,"Benefits 01-06"}</definedName>
    <definedName name="_______________________________pc1" localSheetId="8" hidden="1">{#N/A,#N/A,FALSE,"Benefits 01-06"}</definedName>
    <definedName name="_______________________________pc1" localSheetId="9" hidden="1">{#N/A,#N/A,FALSE,"Benefits 01-06"}</definedName>
    <definedName name="_______________________________pc1" localSheetId="10" hidden="1">{#N/A,#N/A,FALSE,"Benefits 01-06"}</definedName>
    <definedName name="_______________________________pc1" hidden="1">{#N/A,#N/A,FALSE,"Benefits 01-06"}</definedName>
    <definedName name="______________________________pc1" localSheetId="11" hidden="1">{#N/A,#N/A,FALSE,"Benefits 01-06"}</definedName>
    <definedName name="______________________________pc1" localSheetId="12" hidden="1">{#N/A,#N/A,FALSE,"Benefits 01-06"}</definedName>
    <definedName name="______________________________pc1" localSheetId="13" hidden="1">{#N/A,#N/A,FALSE,"Benefits 01-06"}</definedName>
    <definedName name="______________________________pc1" localSheetId="14" hidden="1">{#N/A,#N/A,FALSE,"Benefits 01-06"}</definedName>
    <definedName name="______________________________pc1" localSheetId="15" hidden="1">{#N/A,#N/A,FALSE,"Benefits 01-06"}</definedName>
    <definedName name="______________________________pc1" localSheetId="16" hidden="1">{#N/A,#N/A,FALSE,"Benefits 01-06"}</definedName>
    <definedName name="______________________________pc1" localSheetId="17" hidden="1">{#N/A,#N/A,FALSE,"Benefits 01-06"}</definedName>
    <definedName name="______________________________pc1" localSheetId="18" hidden="1">{#N/A,#N/A,FALSE,"Benefits 01-06"}</definedName>
    <definedName name="______________________________pc1" localSheetId="5" hidden="1">{#N/A,#N/A,FALSE,"Benefits 01-06"}</definedName>
    <definedName name="______________________________pc1" localSheetId="6" hidden="1">{#N/A,#N/A,FALSE,"Benefits 01-06"}</definedName>
    <definedName name="______________________________pc1" localSheetId="7" hidden="1">{#N/A,#N/A,FALSE,"Benefits 01-06"}</definedName>
    <definedName name="______________________________pc1" localSheetId="8" hidden="1">{#N/A,#N/A,FALSE,"Benefits 01-06"}</definedName>
    <definedName name="______________________________pc1" localSheetId="9" hidden="1">{#N/A,#N/A,FALSE,"Benefits 01-06"}</definedName>
    <definedName name="______________________________pc1" localSheetId="10" hidden="1">{#N/A,#N/A,FALSE,"Benefits 01-06"}</definedName>
    <definedName name="______________________________pc1" hidden="1">{#N/A,#N/A,FALSE,"Benefits 01-06"}</definedName>
    <definedName name="______________________________pc2" localSheetId="11" hidden="1">{#N/A,#N/A,FALSE,"Benefits 01-06"}</definedName>
    <definedName name="______________________________pc2" localSheetId="12" hidden="1">{#N/A,#N/A,FALSE,"Benefits 01-06"}</definedName>
    <definedName name="______________________________pc2" localSheetId="13" hidden="1">{#N/A,#N/A,FALSE,"Benefits 01-06"}</definedName>
    <definedName name="______________________________pc2" localSheetId="14" hidden="1">{#N/A,#N/A,FALSE,"Benefits 01-06"}</definedName>
    <definedName name="______________________________pc2" localSheetId="15" hidden="1">{#N/A,#N/A,FALSE,"Benefits 01-06"}</definedName>
    <definedName name="______________________________pc2" localSheetId="16" hidden="1">{#N/A,#N/A,FALSE,"Benefits 01-06"}</definedName>
    <definedName name="______________________________pc2" localSheetId="17" hidden="1">{#N/A,#N/A,FALSE,"Benefits 01-06"}</definedName>
    <definedName name="______________________________pc2" localSheetId="18" hidden="1">{#N/A,#N/A,FALSE,"Benefits 01-06"}</definedName>
    <definedName name="______________________________pc2" localSheetId="5" hidden="1">{#N/A,#N/A,FALSE,"Benefits 01-06"}</definedName>
    <definedName name="______________________________pc2" localSheetId="6" hidden="1">{#N/A,#N/A,FALSE,"Benefits 01-06"}</definedName>
    <definedName name="______________________________pc2" localSheetId="7" hidden="1">{#N/A,#N/A,FALSE,"Benefits 01-06"}</definedName>
    <definedName name="______________________________pc2" localSheetId="8" hidden="1">{#N/A,#N/A,FALSE,"Benefits 01-06"}</definedName>
    <definedName name="______________________________pc2" localSheetId="9" hidden="1">{#N/A,#N/A,FALSE,"Benefits 01-06"}</definedName>
    <definedName name="______________________________pc2" localSheetId="10" hidden="1">{#N/A,#N/A,FALSE,"Benefits 01-06"}</definedName>
    <definedName name="______________________________pc2" hidden="1">{#N/A,#N/A,FALSE,"Benefits 01-06"}</definedName>
    <definedName name="_____________________________pc2" localSheetId="11" hidden="1">{#N/A,#N/A,FALSE,"Benefits 01-06"}</definedName>
    <definedName name="_____________________________pc2" localSheetId="12" hidden="1">{#N/A,#N/A,FALSE,"Benefits 01-06"}</definedName>
    <definedName name="_____________________________pc2" localSheetId="13" hidden="1">{#N/A,#N/A,FALSE,"Benefits 01-06"}</definedName>
    <definedName name="_____________________________pc2" localSheetId="14" hidden="1">{#N/A,#N/A,FALSE,"Benefits 01-06"}</definedName>
    <definedName name="_____________________________pc2" localSheetId="15" hidden="1">{#N/A,#N/A,FALSE,"Benefits 01-06"}</definedName>
    <definedName name="_____________________________pc2" localSheetId="16" hidden="1">{#N/A,#N/A,FALSE,"Benefits 01-06"}</definedName>
    <definedName name="_____________________________pc2" localSheetId="17" hidden="1">{#N/A,#N/A,FALSE,"Benefits 01-06"}</definedName>
    <definedName name="_____________________________pc2" localSheetId="18" hidden="1">{#N/A,#N/A,FALSE,"Benefits 01-06"}</definedName>
    <definedName name="_____________________________pc2" localSheetId="5" hidden="1">{#N/A,#N/A,FALSE,"Benefits 01-06"}</definedName>
    <definedName name="_____________________________pc2" localSheetId="6" hidden="1">{#N/A,#N/A,FALSE,"Benefits 01-06"}</definedName>
    <definedName name="_____________________________pc2" localSheetId="7" hidden="1">{#N/A,#N/A,FALSE,"Benefits 01-06"}</definedName>
    <definedName name="_____________________________pc2" localSheetId="8" hidden="1">{#N/A,#N/A,FALSE,"Benefits 01-06"}</definedName>
    <definedName name="_____________________________pc2" localSheetId="9" hidden="1">{#N/A,#N/A,FALSE,"Benefits 01-06"}</definedName>
    <definedName name="_____________________________pc2" localSheetId="10" hidden="1">{#N/A,#N/A,FALSE,"Benefits 01-06"}</definedName>
    <definedName name="_____________________________pc2" hidden="1">{#N/A,#N/A,FALSE,"Benefits 01-06"}</definedName>
    <definedName name="____________________________pc1" localSheetId="11" hidden="1">{#N/A,#N/A,FALSE,"Benefits 01-06"}</definedName>
    <definedName name="____________________________pc1" localSheetId="12" hidden="1">{#N/A,#N/A,FALSE,"Benefits 01-06"}</definedName>
    <definedName name="____________________________pc1" localSheetId="13" hidden="1">{#N/A,#N/A,FALSE,"Benefits 01-06"}</definedName>
    <definedName name="____________________________pc1" localSheetId="14" hidden="1">{#N/A,#N/A,FALSE,"Benefits 01-06"}</definedName>
    <definedName name="____________________________pc1" localSheetId="15" hidden="1">{#N/A,#N/A,FALSE,"Benefits 01-06"}</definedName>
    <definedName name="____________________________pc1" localSheetId="16" hidden="1">{#N/A,#N/A,FALSE,"Benefits 01-06"}</definedName>
    <definedName name="____________________________pc1" localSheetId="17" hidden="1">{#N/A,#N/A,FALSE,"Benefits 01-06"}</definedName>
    <definedName name="____________________________pc1" localSheetId="18" hidden="1">{#N/A,#N/A,FALSE,"Benefits 01-06"}</definedName>
    <definedName name="____________________________pc1" localSheetId="5" hidden="1">{#N/A,#N/A,FALSE,"Benefits 01-06"}</definedName>
    <definedName name="____________________________pc1" localSheetId="6" hidden="1">{#N/A,#N/A,FALSE,"Benefits 01-06"}</definedName>
    <definedName name="____________________________pc1" localSheetId="7" hidden="1">{#N/A,#N/A,FALSE,"Benefits 01-06"}</definedName>
    <definedName name="____________________________pc1" localSheetId="8" hidden="1">{#N/A,#N/A,FALSE,"Benefits 01-06"}</definedName>
    <definedName name="____________________________pc1" localSheetId="9" hidden="1">{#N/A,#N/A,FALSE,"Benefits 01-06"}</definedName>
    <definedName name="____________________________pc1" localSheetId="10" hidden="1">{#N/A,#N/A,FALSE,"Benefits 01-06"}</definedName>
    <definedName name="____________________________pc1" hidden="1">{#N/A,#N/A,FALSE,"Benefits 01-06"}</definedName>
    <definedName name="___________________________pc1" localSheetId="11" hidden="1">{#N/A,#N/A,FALSE,"Benefits 01-06"}</definedName>
    <definedName name="___________________________pc1" localSheetId="12" hidden="1">{#N/A,#N/A,FALSE,"Benefits 01-06"}</definedName>
    <definedName name="___________________________pc1" localSheetId="13" hidden="1">{#N/A,#N/A,FALSE,"Benefits 01-06"}</definedName>
    <definedName name="___________________________pc1" localSheetId="14" hidden="1">{#N/A,#N/A,FALSE,"Benefits 01-06"}</definedName>
    <definedName name="___________________________pc1" localSheetId="15" hidden="1">{#N/A,#N/A,FALSE,"Benefits 01-06"}</definedName>
    <definedName name="___________________________pc1" localSheetId="16" hidden="1">{#N/A,#N/A,FALSE,"Benefits 01-06"}</definedName>
    <definedName name="___________________________pc1" localSheetId="17" hidden="1">{#N/A,#N/A,FALSE,"Benefits 01-06"}</definedName>
    <definedName name="___________________________pc1" localSheetId="18" hidden="1">{#N/A,#N/A,FALSE,"Benefits 01-06"}</definedName>
    <definedName name="___________________________pc1" localSheetId="5" hidden="1">{#N/A,#N/A,FALSE,"Benefits 01-06"}</definedName>
    <definedName name="___________________________pc1" localSheetId="6" hidden="1">{#N/A,#N/A,FALSE,"Benefits 01-06"}</definedName>
    <definedName name="___________________________pc1" localSheetId="7" hidden="1">{#N/A,#N/A,FALSE,"Benefits 01-06"}</definedName>
    <definedName name="___________________________pc1" localSheetId="8" hidden="1">{#N/A,#N/A,FALSE,"Benefits 01-06"}</definedName>
    <definedName name="___________________________pc1" localSheetId="9" hidden="1">{#N/A,#N/A,FALSE,"Benefits 01-06"}</definedName>
    <definedName name="___________________________pc1" localSheetId="10" hidden="1">{#N/A,#N/A,FALSE,"Benefits 01-06"}</definedName>
    <definedName name="___________________________pc1" hidden="1">{#N/A,#N/A,FALSE,"Benefits 01-06"}</definedName>
    <definedName name="_______________________pc1" localSheetId="11" hidden="1">{#N/A,#N/A,FALSE,"Benefits 01-06"}</definedName>
    <definedName name="_______________________pc1" localSheetId="12" hidden="1">{#N/A,#N/A,FALSE,"Benefits 01-06"}</definedName>
    <definedName name="_______________________pc1" localSheetId="13" hidden="1">{#N/A,#N/A,FALSE,"Benefits 01-06"}</definedName>
    <definedName name="_______________________pc1" localSheetId="14" hidden="1">{#N/A,#N/A,FALSE,"Benefits 01-06"}</definedName>
    <definedName name="_______________________pc1" localSheetId="15" hidden="1">{#N/A,#N/A,FALSE,"Benefits 01-06"}</definedName>
    <definedName name="_______________________pc1" localSheetId="16" hidden="1">{#N/A,#N/A,FALSE,"Benefits 01-06"}</definedName>
    <definedName name="_______________________pc1" localSheetId="17" hidden="1">{#N/A,#N/A,FALSE,"Benefits 01-06"}</definedName>
    <definedName name="_______________________pc1" localSheetId="18" hidden="1">{#N/A,#N/A,FALSE,"Benefits 01-06"}</definedName>
    <definedName name="_______________________pc1" localSheetId="5" hidden="1">{#N/A,#N/A,FALSE,"Benefits 01-06"}</definedName>
    <definedName name="_______________________pc1" localSheetId="6" hidden="1">{#N/A,#N/A,FALSE,"Benefits 01-06"}</definedName>
    <definedName name="_______________________pc1" localSheetId="7" hidden="1">{#N/A,#N/A,FALSE,"Benefits 01-06"}</definedName>
    <definedName name="_______________________pc1" localSheetId="8" hidden="1">{#N/A,#N/A,FALSE,"Benefits 01-06"}</definedName>
    <definedName name="_______________________pc1" localSheetId="9" hidden="1">{#N/A,#N/A,FALSE,"Benefits 01-06"}</definedName>
    <definedName name="_______________________pc1" localSheetId="10" hidden="1">{#N/A,#N/A,FALSE,"Benefits 01-06"}</definedName>
    <definedName name="_______________________pc1" hidden="1">{#N/A,#N/A,FALSE,"Benefits 01-06"}</definedName>
    <definedName name="_______________________pc2" localSheetId="11" hidden="1">{#N/A,#N/A,FALSE,"Benefits 01-06"}</definedName>
    <definedName name="_______________________pc2" localSheetId="12" hidden="1">{#N/A,#N/A,FALSE,"Benefits 01-06"}</definedName>
    <definedName name="_______________________pc2" localSheetId="13" hidden="1">{#N/A,#N/A,FALSE,"Benefits 01-06"}</definedName>
    <definedName name="_______________________pc2" localSheetId="14" hidden="1">{#N/A,#N/A,FALSE,"Benefits 01-06"}</definedName>
    <definedName name="_______________________pc2" localSheetId="15" hidden="1">{#N/A,#N/A,FALSE,"Benefits 01-06"}</definedName>
    <definedName name="_______________________pc2" localSheetId="16" hidden="1">{#N/A,#N/A,FALSE,"Benefits 01-06"}</definedName>
    <definedName name="_______________________pc2" localSheetId="17" hidden="1">{#N/A,#N/A,FALSE,"Benefits 01-06"}</definedName>
    <definedName name="_______________________pc2" localSheetId="18" hidden="1">{#N/A,#N/A,FALSE,"Benefits 01-06"}</definedName>
    <definedName name="_______________________pc2" localSheetId="5" hidden="1">{#N/A,#N/A,FALSE,"Benefits 01-06"}</definedName>
    <definedName name="_______________________pc2" localSheetId="6" hidden="1">{#N/A,#N/A,FALSE,"Benefits 01-06"}</definedName>
    <definedName name="_______________________pc2" localSheetId="7" hidden="1">{#N/A,#N/A,FALSE,"Benefits 01-06"}</definedName>
    <definedName name="_______________________pc2" localSheetId="8" hidden="1">{#N/A,#N/A,FALSE,"Benefits 01-06"}</definedName>
    <definedName name="_______________________pc2" localSheetId="9" hidden="1">{#N/A,#N/A,FALSE,"Benefits 01-06"}</definedName>
    <definedName name="_______________________pc2" localSheetId="10" hidden="1">{#N/A,#N/A,FALSE,"Benefits 01-06"}</definedName>
    <definedName name="_______________________pc2" hidden="1">{#N/A,#N/A,FALSE,"Benefits 01-06"}</definedName>
    <definedName name="__________________pc1" localSheetId="11" hidden="1">{#N/A,#N/A,FALSE,"Benefits 01-06"}</definedName>
    <definedName name="__________________pc1" localSheetId="12" hidden="1">{#N/A,#N/A,FALSE,"Benefits 01-06"}</definedName>
    <definedName name="__________________pc1" localSheetId="13" hidden="1">{#N/A,#N/A,FALSE,"Benefits 01-06"}</definedName>
    <definedName name="__________________pc1" localSheetId="14" hidden="1">{#N/A,#N/A,FALSE,"Benefits 01-06"}</definedName>
    <definedName name="__________________pc1" localSheetId="15" hidden="1">{#N/A,#N/A,FALSE,"Benefits 01-06"}</definedName>
    <definedName name="__________________pc1" localSheetId="16" hidden="1">{#N/A,#N/A,FALSE,"Benefits 01-06"}</definedName>
    <definedName name="__________________pc1" localSheetId="17" hidden="1">{#N/A,#N/A,FALSE,"Benefits 01-06"}</definedName>
    <definedName name="__________________pc1" localSheetId="18" hidden="1">{#N/A,#N/A,FALSE,"Benefits 01-06"}</definedName>
    <definedName name="__________________pc1" localSheetId="5" hidden="1">{#N/A,#N/A,FALSE,"Benefits 01-06"}</definedName>
    <definedName name="__________________pc1" localSheetId="6" hidden="1">{#N/A,#N/A,FALSE,"Benefits 01-06"}</definedName>
    <definedName name="__________________pc1" localSheetId="7" hidden="1">{#N/A,#N/A,FALSE,"Benefits 01-06"}</definedName>
    <definedName name="__________________pc1" localSheetId="8" hidden="1">{#N/A,#N/A,FALSE,"Benefits 01-06"}</definedName>
    <definedName name="__________________pc1" localSheetId="9" hidden="1">{#N/A,#N/A,FALSE,"Benefits 01-06"}</definedName>
    <definedName name="__________________pc1" localSheetId="10" hidden="1">{#N/A,#N/A,FALSE,"Benefits 01-06"}</definedName>
    <definedName name="__________________pc1" hidden="1">{#N/A,#N/A,FALSE,"Benefits 01-06"}</definedName>
    <definedName name="__________________pc2" localSheetId="11" hidden="1">{#N/A,#N/A,FALSE,"Benefits 01-06"}</definedName>
    <definedName name="__________________pc2" localSheetId="12" hidden="1">{#N/A,#N/A,FALSE,"Benefits 01-06"}</definedName>
    <definedName name="__________________pc2" localSheetId="13" hidden="1">{#N/A,#N/A,FALSE,"Benefits 01-06"}</definedName>
    <definedName name="__________________pc2" localSheetId="14" hidden="1">{#N/A,#N/A,FALSE,"Benefits 01-06"}</definedName>
    <definedName name="__________________pc2" localSheetId="15" hidden="1">{#N/A,#N/A,FALSE,"Benefits 01-06"}</definedName>
    <definedName name="__________________pc2" localSheetId="16" hidden="1">{#N/A,#N/A,FALSE,"Benefits 01-06"}</definedName>
    <definedName name="__________________pc2" localSheetId="17" hidden="1">{#N/A,#N/A,FALSE,"Benefits 01-06"}</definedName>
    <definedName name="__________________pc2" localSheetId="18" hidden="1">{#N/A,#N/A,FALSE,"Benefits 01-06"}</definedName>
    <definedName name="__________________pc2" localSheetId="5" hidden="1">{#N/A,#N/A,FALSE,"Benefits 01-06"}</definedName>
    <definedName name="__________________pc2" localSheetId="6" hidden="1">{#N/A,#N/A,FALSE,"Benefits 01-06"}</definedName>
    <definedName name="__________________pc2" localSheetId="7" hidden="1">{#N/A,#N/A,FALSE,"Benefits 01-06"}</definedName>
    <definedName name="__________________pc2" localSheetId="8" hidden="1">{#N/A,#N/A,FALSE,"Benefits 01-06"}</definedName>
    <definedName name="__________________pc2" localSheetId="9" hidden="1">{#N/A,#N/A,FALSE,"Benefits 01-06"}</definedName>
    <definedName name="__________________pc2" localSheetId="10" hidden="1">{#N/A,#N/A,FALSE,"Benefits 01-06"}</definedName>
    <definedName name="__________________pc2" hidden="1">{#N/A,#N/A,FALSE,"Benefits 01-06"}</definedName>
    <definedName name="__________________U1000" localSheetId="11" hidden="1">{#N/A,#N/A,FALSE,"Grant to date"}</definedName>
    <definedName name="__________________U1000" localSheetId="12" hidden="1">{#N/A,#N/A,FALSE,"Grant to date"}</definedName>
    <definedName name="__________________U1000" localSheetId="13" hidden="1">{#N/A,#N/A,FALSE,"Grant to date"}</definedName>
    <definedName name="__________________U1000" localSheetId="14" hidden="1">{#N/A,#N/A,FALSE,"Grant to date"}</definedName>
    <definedName name="__________________U1000" localSheetId="15" hidden="1">{#N/A,#N/A,FALSE,"Grant to date"}</definedName>
    <definedName name="__________________U1000" localSheetId="16" hidden="1">{#N/A,#N/A,FALSE,"Grant to date"}</definedName>
    <definedName name="__________________U1000" localSheetId="17" hidden="1">{#N/A,#N/A,FALSE,"Grant to date"}</definedName>
    <definedName name="__________________U1000" localSheetId="18" hidden="1">{#N/A,#N/A,FALSE,"Grant to date"}</definedName>
    <definedName name="__________________U1000" localSheetId="5" hidden="1">{#N/A,#N/A,FALSE,"Grant to date"}</definedName>
    <definedName name="__________________U1000" localSheetId="6" hidden="1">{#N/A,#N/A,FALSE,"Grant to date"}</definedName>
    <definedName name="__________________U1000" localSheetId="7" hidden="1">{#N/A,#N/A,FALSE,"Grant to date"}</definedName>
    <definedName name="__________________U1000" localSheetId="8" hidden="1">{#N/A,#N/A,FALSE,"Grant to date"}</definedName>
    <definedName name="__________________U1000" localSheetId="9" hidden="1">{#N/A,#N/A,FALSE,"Grant to date"}</definedName>
    <definedName name="__________________U1000" localSheetId="10" hidden="1">{#N/A,#N/A,FALSE,"Grant to date"}</definedName>
    <definedName name="__________________U1000" hidden="1">{#N/A,#N/A,FALSE,"Grant to date"}</definedName>
    <definedName name="________________na23" localSheetId="11" hidden="1">{#N/A,#N/A,FALSE,"Benefits 01-06"}</definedName>
    <definedName name="________________na23" localSheetId="12" hidden="1">{#N/A,#N/A,FALSE,"Benefits 01-06"}</definedName>
    <definedName name="________________na23" localSheetId="13" hidden="1">{#N/A,#N/A,FALSE,"Benefits 01-06"}</definedName>
    <definedName name="________________na23" localSheetId="14" hidden="1">{#N/A,#N/A,FALSE,"Benefits 01-06"}</definedName>
    <definedName name="________________na23" localSheetId="15" hidden="1">{#N/A,#N/A,FALSE,"Benefits 01-06"}</definedName>
    <definedName name="________________na23" localSheetId="16" hidden="1">{#N/A,#N/A,FALSE,"Benefits 01-06"}</definedName>
    <definedName name="________________na23" localSheetId="17" hidden="1">{#N/A,#N/A,FALSE,"Benefits 01-06"}</definedName>
    <definedName name="________________na23" localSheetId="18" hidden="1">{#N/A,#N/A,FALSE,"Benefits 01-06"}</definedName>
    <definedName name="________________na23" localSheetId="5" hidden="1">{#N/A,#N/A,FALSE,"Benefits 01-06"}</definedName>
    <definedName name="________________na23" localSheetId="6" hidden="1">{#N/A,#N/A,FALSE,"Benefits 01-06"}</definedName>
    <definedName name="________________na23" localSheetId="7" hidden="1">{#N/A,#N/A,FALSE,"Benefits 01-06"}</definedName>
    <definedName name="________________na23" localSheetId="8" hidden="1">{#N/A,#N/A,FALSE,"Benefits 01-06"}</definedName>
    <definedName name="________________na23" localSheetId="9" hidden="1">{#N/A,#N/A,FALSE,"Benefits 01-06"}</definedName>
    <definedName name="________________na23" localSheetId="10" hidden="1">{#N/A,#N/A,FALSE,"Benefits 01-06"}</definedName>
    <definedName name="________________na23" hidden="1">{#N/A,#N/A,FALSE,"Benefits 01-06"}</definedName>
    <definedName name="______________pc1" localSheetId="11" hidden="1">{#N/A,#N/A,FALSE,"Benefits 01-06"}</definedName>
    <definedName name="______________pc1" localSheetId="12" hidden="1">{#N/A,#N/A,FALSE,"Benefits 01-06"}</definedName>
    <definedName name="______________pc1" localSheetId="13" hidden="1">{#N/A,#N/A,FALSE,"Benefits 01-06"}</definedName>
    <definedName name="______________pc1" localSheetId="14" hidden="1">{#N/A,#N/A,FALSE,"Benefits 01-06"}</definedName>
    <definedName name="______________pc1" localSheetId="15" hidden="1">{#N/A,#N/A,FALSE,"Benefits 01-06"}</definedName>
    <definedName name="______________pc1" localSheetId="16" hidden="1">{#N/A,#N/A,FALSE,"Benefits 01-06"}</definedName>
    <definedName name="______________pc1" localSheetId="17" hidden="1">{#N/A,#N/A,FALSE,"Benefits 01-06"}</definedName>
    <definedName name="______________pc1" localSheetId="18" hidden="1">{#N/A,#N/A,FALSE,"Benefits 01-06"}</definedName>
    <definedName name="______________pc1" localSheetId="5" hidden="1">{#N/A,#N/A,FALSE,"Benefits 01-06"}</definedName>
    <definedName name="______________pc1" localSheetId="6" hidden="1">{#N/A,#N/A,FALSE,"Benefits 01-06"}</definedName>
    <definedName name="______________pc1" localSheetId="7" hidden="1">{#N/A,#N/A,FALSE,"Benefits 01-06"}</definedName>
    <definedName name="______________pc1" localSheetId="8" hidden="1">{#N/A,#N/A,FALSE,"Benefits 01-06"}</definedName>
    <definedName name="______________pc1" localSheetId="9" hidden="1">{#N/A,#N/A,FALSE,"Benefits 01-06"}</definedName>
    <definedName name="______________pc1" localSheetId="10" hidden="1">{#N/A,#N/A,FALSE,"Benefits 01-06"}</definedName>
    <definedName name="______________pc1" hidden="1">{#N/A,#N/A,FALSE,"Benefits 01-06"}</definedName>
    <definedName name="______________pc2" localSheetId="11" hidden="1">{#N/A,#N/A,FALSE,"Benefits 01-06"}</definedName>
    <definedName name="______________pc2" localSheetId="12" hidden="1">{#N/A,#N/A,FALSE,"Benefits 01-06"}</definedName>
    <definedName name="______________pc2" localSheetId="13" hidden="1">{#N/A,#N/A,FALSE,"Benefits 01-06"}</definedName>
    <definedName name="______________pc2" localSheetId="14" hidden="1">{#N/A,#N/A,FALSE,"Benefits 01-06"}</definedName>
    <definedName name="______________pc2" localSheetId="15" hidden="1">{#N/A,#N/A,FALSE,"Benefits 01-06"}</definedName>
    <definedName name="______________pc2" localSheetId="16" hidden="1">{#N/A,#N/A,FALSE,"Benefits 01-06"}</definedName>
    <definedName name="______________pc2" localSheetId="17" hidden="1">{#N/A,#N/A,FALSE,"Benefits 01-06"}</definedName>
    <definedName name="______________pc2" localSheetId="18" hidden="1">{#N/A,#N/A,FALSE,"Benefits 01-06"}</definedName>
    <definedName name="______________pc2" localSheetId="5" hidden="1">{#N/A,#N/A,FALSE,"Benefits 01-06"}</definedName>
    <definedName name="______________pc2" localSheetId="6" hidden="1">{#N/A,#N/A,FALSE,"Benefits 01-06"}</definedName>
    <definedName name="______________pc2" localSheetId="7" hidden="1">{#N/A,#N/A,FALSE,"Benefits 01-06"}</definedName>
    <definedName name="______________pc2" localSheetId="8" hidden="1">{#N/A,#N/A,FALSE,"Benefits 01-06"}</definedName>
    <definedName name="______________pc2" localSheetId="9" hidden="1">{#N/A,#N/A,FALSE,"Benefits 01-06"}</definedName>
    <definedName name="______________pc2" localSheetId="10" hidden="1">{#N/A,#N/A,FALSE,"Benefits 01-06"}</definedName>
    <definedName name="______________pc2" hidden="1">{#N/A,#N/A,FALSE,"Benefits 01-06"}</definedName>
    <definedName name="______________U1000" localSheetId="11" hidden="1">{#N/A,#N/A,FALSE,"Grant to date"}</definedName>
    <definedName name="______________U1000" localSheetId="12" hidden="1">{#N/A,#N/A,FALSE,"Grant to date"}</definedName>
    <definedName name="______________U1000" localSheetId="13" hidden="1">{#N/A,#N/A,FALSE,"Grant to date"}</definedName>
    <definedName name="______________U1000" localSheetId="14" hidden="1">{#N/A,#N/A,FALSE,"Grant to date"}</definedName>
    <definedName name="______________U1000" localSheetId="15" hidden="1">{#N/A,#N/A,FALSE,"Grant to date"}</definedName>
    <definedName name="______________U1000" localSheetId="16" hidden="1">{#N/A,#N/A,FALSE,"Grant to date"}</definedName>
    <definedName name="______________U1000" localSheetId="17" hidden="1">{#N/A,#N/A,FALSE,"Grant to date"}</definedName>
    <definedName name="______________U1000" localSheetId="18" hidden="1">{#N/A,#N/A,FALSE,"Grant to date"}</definedName>
    <definedName name="______________U1000" localSheetId="5" hidden="1">{#N/A,#N/A,FALSE,"Grant to date"}</definedName>
    <definedName name="______________U1000" localSheetId="6" hidden="1">{#N/A,#N/A,FALSE,"Grant to date"}</definedName>
    <definedName name="______________U1000" localSheetId="7" hidden="1">{#N/A,#N/A,FALSE,"Grant to date"}</definedName>
    <definedName name="______________U1000" localSheetId="8" hidden="1">{#N/A,#N/A,FALSE,"Grant to date"}</definedName>
    <definedName name="______________U1000" localSheetId="9" hidden="1">{#N/A,#N/A,FALSE,"Grant to date"}</definedName>
    <definedName name="______________U1000" localSheetId="10" hidden="1">{#N/A,#N/A,FALSE,"Grant to date"}</definedName>
    <definedName name="______________U1000" hidden="1">{#N/A,#N/A,FALSE,"Grant to date"}</definedName>
    <definedName name="__________na23" localSheetId="11" hidden="1">{#N/A,#N/A,FALSE,"Benefits 01-06"}</definedName>
    <definedName name="__________na23" localSheetId="12" hidden="1">{#N/A,#N/A,FALSE,"Benefits 01-06"}</definedName>
    <definedName name="__________na23" localSheetId="13" hidden="1">{#N/A,#N/A,FALSE,"Benefits 01-06"}</definedName>
    <definedName name="__________na23" localSheetId="14" hidden="1">{#N/A,#N/A,FALSE,"Benefits 01-06"}</definedName>
    <definedName name="__________na23" localSheetId="15" hidden="1">{#N/A,#N/A,FALSE,"Benefits 01-06"}</definedName>
    <definedName name="__________na23" localSheetId="16" hidden="1">{#N/A,#N/A,FALSE,"Benefits 01-06"}</definedName>
    <definedName name="__________na23" localSheetId="17" hidden="1">{#N/A,#N/A,FALSE,"Benefits 01-06"}</definedName>
    <definedName name="__________na23" localSheetId="18" hidden="1">{#N/A,#N/A,FALSE,"Benefits 01-06"}</definedName>
    <definedName name="__________na23" localSheetId="5" hidden="1">{#N/A,#N/A,FALSE,"Benefits 01-06"}</definedName>
    <definedName name="__________na23" localSheetId="6" hidden="1">{#N/A,#N/A,FALSE,"Benefits 01-06"}</definedName>
    <definedName name="__________na23" localSheetId="7" hidden="1">{#N/A,#N/A,FALSE,"Benefits 01-06"}</definedName>
    <definedName name="__________na23" localSheetId="8" hidden="1">{#N/A,#N/A,FALSE,"Benefits 01-06"}</definedName>
    <definedName name="__________na23" localSheetId="9" hidden="1">{#N/A,#N/A,FALSE,"Benefits 01-06"}</definedName>
    <definedName name="__________na23" localSheetId="10" hidden="1">{#N/A,#N/A,FALSE,"Benefits 01-06"}</definedName>
    <definedName name="__________na23" hidden="1">{#N/A,#N/A,FALSE,"Benefits 01-06"}</definedName>
    <definedName name="__________pc1" localSheetId="11" hidden="1">{#N/A,#N/A,FALSE,"Benefits 01-06"}</definedName>
    <definedName name="__________pc1" localSheetId="12" hidden="1">{#N/A,#N/A,FALSE,"Benefits 01-06"}</definedName>
    <definedName name="__________pc1" localSheetId="13" hidden="1">{#N/A,#N/A,FALSE,"Benefits 01-06"}</definedName>
    <definedName name="__________pc1" localSheetId="14" hidden="1">{#N/A,#N/A,FALSE,"Benefits 01-06"}</definedName>
    <definedName name="__________pc1" localSheetId="15" hidden="1">{#N/A,#N/A,FALSE,"Benefits 01-06"}</definedName>
    <definedName name="__________pc1" localSheetId="16" hidden="1">{#N/A,#N/A,FALSE,"Benefits 01-06"}</definedName>
    <definedName name="__________pc1" localSheetId="17" hidden="1">{#N/A,#N/A,FALSE,"Benefits 01-06"}</definedName>
    <definedName name="__________pc1" localSheetId="18" hidden="1">{#N/A,#N/A,FALSE,"Benefits 01-06"}</definedName>
    <definedName name="__________pc1" localSheetId="5" hidden="1">{#N/A,#N/A,FALSE,"Benefits 01-06"}</definedName>
    <definedName name="__________pc1" localSheetId="6" hidden="1">{#N/A,#N/A,FALSE,"Benefits 01-06"}</definedName>
    <definedName name="__________pc1" localSheetId="7" hidden="1">{#N/A,#N/A,FALSE,"Benefits 01-06"}</definedName>
    <definedName name="__________pc1" localSheetId="8" hidden="1">{#N/A,#N/A,FALSE,"Benefits 01-06"}</definedName>
    <definedName name="__________pc1" localSheetId="9" hidden="1">{#N/A,#N/A,FALSE,"Benefits 01-06"}</definedName>
    <definedName name="__________pc1" localSheetId="10" hidden="1">{#N/A,#N/A,FALSE,"Benefits 01-06"}</definedName>
    <definedName name="__________pc1" hidden="1">{#N/A,#N/A,FALSE,"Benefits 01-06"}</definedName>
    <definedName name="__________pc2" localSheetId="11" hidden="1">{#N/A,#N/A,FALSE,"Benefits 01-06"}</definedName>
    <definedName name="__________pc2" localSheetId="12" hidden="1">{#N/A,#N/A,FALSE,"Benefits 01-06"}</definedName>
    <definedName name="__________pc2" localSheetId="13" hidden="1">{#N/A,#N/A,FALSE,"Benefits 01-06"}</definedName>
    <definedName name="__________pc2" localSheetId="14" hidden="1">{#N/A,#N/A,FALSE,"Benefits 01-06"}</definedName>
    <definedName name="__________pc2" localSheetId="15" hidden="1">{#N/A,#N/A,FALSE,"Benefits 01-06"}</definedName>
    <definedName name="__________pc2" localSheetId="16" hidden="1">{#N/A,#N/A,FALSE,"Benefits 01-06"}</definedName>
    <definedName name="__________pc2" localSheetId="17" hidden="1">{#N/A,#N/A,FALSE,"Benefits 01-06"}</definedName>
    <definedName name="__________pc2" localSheetId="18" hidden="1">{#N/A,#N/A,FALSE,"Benefits 01-06"}</definedName>
    <definedName name="__________pc2" localSheetId="5" hidden="1">{#N/A,#N/A,FALSE,"Benefits 01-06"}</definedName>
    <definedName name="__________pc2" localSheetId="6" hidden="1">{#N/A,#N/A,FALSE,"Benefits 01-06"}</definedName>
    <definedName name="__________pc2" localSheetId="7" hidden="1">{#N/A,#N/A,FALSE,"Benefits 01-06"}</definedName>
    <definedName name="__________pc2" localSheetId="8" hidden="1">{#N/A,#N/A,FALSE,"Benefits 01-06"}</definedName>
    <definedName name="__________pc2" localSheetId="9" hidden="1">{#N/A,#N/A,FALSE,"Benefits 01-06"}</definedName>
    <definedName name="__________pc2" localSheetId="10" hidden="1">{#N/A,#N/A,FALSE,"Benefits 01-06"}</definedName>
    <definedName name="__________pc2" hidden="1">{#N/A,#N/A,FALSE,"Benefits 01-06"}</definedName>
    <definedName name="__________U1000" localSheetId="11" hidden="1">{#N/A,#N/A,FALSE,"Grant to date"}</definedName>
    <definedName name="__________U1000" localSheetId="12" hidden="1">{#N/A,#N/A,FALSE,"Grant to date"}</definedName>
    <definedName name="__________U1000" localSheetId="13" hidden="1">{#N/A,#N/A,FALSE,"Grant to date"}</definedName>
    <definedName name="__________U1000" localSheetId="14" hidden="1">{#N/A,#N/A,FALSE,"Grant to date"}</definedName>
    <definedName name="__________U1000" localSheetId="15" hidden="1">{#N/A,#N/A,FALSE,"Grant to date"}</definedName>
    <definedName name="__________U1000" localSheetId="16" hidden="1">{#N/A,#N/A,FALSE,"Grant to date"}</definedName>
    <definedName name="__________U1000" localSheetId="17" hidden="1">{#N/A,#N/A,FALSE,"Grant to date"}</definedName>
    <definedName name="__________U1000" localSheetId="18" hidden="1">{#N/A,#N/A,FALSE,"Grant to date"}</definedName>
    <definedName name="__________U1000" localSheetId="5" hidden="1">{#N/A,#N/A,FALSE,"Grant to date"}</definedName>
    <definedName name="__________U1000" localSheetId="6" hidden="1">{#N/A,#N/A,FALSE,"Grant to date"}</definedName>
    <definedName name="__________U1000" localSheetId="7" hidden="1">{#N/A,#N/A,FALSE,"Grant to date"}</definedName>
    <definedName name="__________U1000" localSheetId="8" hidden="1">{#N/A,#N/A,FALSE,"Grant to date"}</definedName>
    <definedName name="__________U1000" localSheetId="9" hidden="1">{#N/A,#N/A,FALSE,"Grant to date"}</definedName>
    <definedName name="__________U1000" localSheetId="10" hidden="1">{#N/A,#N/A,FALSE,"Grant to date"}</definedName>
    <definedName name="__________U1000" hidden="1">{#N/A,#N/A,FALSE,"Grant to date"}</definedName>
    <definedName name="_xlnm._FilterDatabase" localSheetId="3" hidden="1">'ICE Budget detaillé '!$B$7:$B$815</definedName>
    <definedName name="_ftn1_1" localSheetId="4">'[1]Guidance 2010'!#REF!</definedName>
    <definedName name="_ftn1_1" localSheetId="11">'[1]Guidance 2010'!#REF!</definedName>
    <definedName name="_ftn1_1" localSheetId="12">'[1]Guidance 2010'!#REF!</definedName>
    <definedName name="_ftn1_1" localSheetId="13">'[1]Guidance 2010'!#REF!</definedName>
    <definedName name="_ftn1_1" localSheetId="14">'[1]Guidance 2010'!#REF!</definedName>
    <definedName name="_ftn1_1" localSheetId="15">'[1]Guidance 2010'!#REF!</definedName>
    <definedName name="_ftn1_1" localSheetId="16">'[1]Guidance 2010'!#REF!</definedName>
    <definedName name="_ftn1_1" localSheetId="17">'[1]Guidance 2010'!#REF!</definedName>
    <definedName name="_ftn1_1" localSheetId="18">'[1]Guidance 2010'!#REF!</definedName>
    <definedName name="_ftn1_1" localSheetId="5">'[1]Guidance 2010'!#REF!</definedName>
    <definedName name="_ftn1_1" localSheetId="6">'[1]Guidance 2010'!#REF!</definedName>
    <definedName name="_ftn1_1" localSheetId="7">'[1]Guidance 2010'!#REF!</definedName>
    <definedName name="_ftn1_1" localSheetId="8">'[1]Guidance 2010'!#REF!</definedName>
    <definedName name="_ftn1_1" localSheetId="9">'[1]Guidance 2010'!#REF!</definedName>
    <definedName name="_ftn1_1" localSheetId="10">'[1]Guidance 2010'!#REF!</definedName>
    <definedName name="_ftn1_1">'[1]Guidance 2010'!#REF!</definedName>
    <definedName name="_ftn2" localSheetId="0">#N/A</definedName>
    <definedName name="_ftn3" localSheetId="0">#N/A</definedName>
    <definedName name="_ftn4" localSheetId="0">#N/A</definedName>
    <definedName name="_ftn5" localSheetId="0">#N/A</definedName>
    <definedName name="_ftnref1" localSheetId="0">#N/A</definedName>
    <definedName name="_ftnref2" localSheetId="0">#N/A</definedName>
    <definedName name="_ftnref3" localSheetId="0">#N/A</definedName>
    <definedName name="_ftnref4" localSheetId="0">#N/A</definedName>
    <definedName name="_ftnref5" localSheetId="0">#N/A</definedName>
    <definedName name="_ftnref6" localSheetId="0">#N/A</definedName>
    <definedName name="_Key3" localSheetId="18" hidden="1">#REF!</definedName>
    <definedName name="_Key3" hidden="1">#REF!</definedName>
    <definedName name="_Key4" localSheetId="18" hidden="1">[2]SUDBASE!#REF!</definedName>
    <definedName name="_Key4" hidden="1">[2]SUDBASE!#REF!</definedName>
    <definedName name="_Sort2" localSheetId="18" hidden="1">#REF!</definedName>
    <definedName name="_Sort2" hidden="1">#REF!</definedName>
    <definedName name="_Sort3" localSheetId="18" hidden="1">#REF!</definedName>
    <definedName name="_Sort3" hidden="1">#REF!</definedName>
    <definedName name="a11c">[3]admin!$C$1:$C$65536</definedName>
    <definedName name="a11s">[3]admin!$C$1</definedName>
    <definedName name="aaaaa" localSheetId="11" hidden="1">{"Yr1",#N/A,FALSE,"Budget Detail";"Yr2",#N/A,FALSE,"Budget Detail";"Yr3",#N/A,FALSE,"Budget Detail";"Yr4",#N/A,FALSE,"Budget Detail";"Yr5",#N/A,FALSE,"Budget Detail";"Total",#N/A,FALSE,"Budget Detail"}</definedName>
    <definedName name="aaaaa" localSheetId="12" hidden="1">{"Yr1",#N/A,FALSE,"Budget Detail";"Yr2",#N/A,FALSE,"Budget Detail";"Yr3",#N/A,FALSE,"Budget Detail";"Yr4",#N/A,FALSE,"Budget Detail";"Yr5",#N/A,FALSE,"Budget Detail";"Total",#N/A,FALSE,"Budget Detail"}</definedName>
    <definedName name="aaaaa" localSheetId="13" hidden="1">{"Yr1",#N/A,FALSE,"Budget Detail";"Yr2",#N/A,FALSE,"Budget Detail";"Yr3",#N/A,FALSE,"Budget Detail";"Yr4",#N/A,FALSE,"Budget Detail";"Yr5",#N/A,FALSE,"Budget Detail";"Total",#N/A,FALSE,"Budget Detail"}</definedName>
    <definedName name="aaaaa" localSheetId="14" hidden="1">{"Yr1",#N/A,FALSE,"Budget Detail";"Yr2",#N/A,FALSE,"Budget Detail";"Yr3",#N/A,FALSE,"Budget Detail";"Yr4",#N/A,FALSE,"Budget Detail";"Yr5",#N/A,FALSE,"Budget Detail";"Total",#N/A,FALSE,"Budget Detail"}</definedName>
    <definedName name="aaaaa" localSheetId="15" hidden="1">{"Yr1",#N/A,FALSE,"Budget Detail";"Yr2",#N/A,FALSE,"Budget Detail";"Yr3",#N/A,FALSE,"Budget Detail";"Yr4",#N/A,FALSE,"Budget Detail";"Yr5",#N/A,FALSE,"Budget Detail";"Total",#N/A,FALSE,"Budget Detail"}</definedName>
    <definedName name="aaaaa" localSheetId="16" hidden="1">{"Yr1",#N/A,FALSE,"Budget Detail";"Yr2",#N/A,FALSE,"Budget Detail";"Yr3",#N/A,FALSE,"Budget Detail";"Yr4",#N/A,FALSE,"Budget Detail";"Yr5",#N/A,FALSE,"Budget Detail";"Total",#N/A,FALSE,"Budget Detail"}</definedName>
    <definedName name="aaaaa" localSheetId="17" hidden="1">{"Yr1",#N/A,FALSE,"Budget Detail";"Yr2",#N/A,FALSE,"Budget Detail";"Yr3",#N/A,FALSE,"Budget Detail";"Yr4",#N/A,FALSE,"Budget Detail";"Yr5",#N/A,FALSE,"Budget Detail";"Total",#N/A,FALSE,"Budget Detail"}</definedName>
    <definedName name="aaaaa" localSheetId="18" hidden="1">{"Yr1",#N/A,FALSE,"Budget Detail";"Yr2",#N/A,FALSE,"Budget Detail";"Yr3",#N/A,FALSE,"Budget Detail";"Yr4",#N/A,FALSE,"Budget Detail";"Yr5",#N/A,FALSE,"Budget Detail";"Total",#N/A,FALSE,"Budget Detail"}</definedName>
    <definedName name="aaaaa" localSheetId="5" hidden="1">{"Yr1",#N/A,FALSE,"Budget Detail";"Yr2",#N/A,FALSE,"Budget Detail";"Yr3",#N/A,FALSE,"Budget Detail";"Yr4",#N/A,FALSE,"Budget Detail";"Yr5",#N/A,FALSE,"Budget Detail";"Total",#N/A,FALSE,"Budget Detail"}</definedName>
    <definedName name="aaaaa" localSheetId="6" hidden="1">{"Yr1",#N/A,FALSE,"Budget Detail";"Yr2",#N/A,FALSE,"Budget Detail";"Yr3",#N/A,FALSE,"Budget Detail";"Yr4",#N/A,FALSE,"Budget Detail";"Yr5",#N/A,FALSE,"Budget Detail";"Total",#N/A,FALSE,"Budget Detail"}</definedName>
    <definedName name="aaaaa" localSheetId="7" hidden="1">{"Yr1",#N/A,FALSE,"Budget Detail";"Yr2",#N/A,FALSE,"Budget Detail";"Yr3",#N/A,FALSE,"Budget Detail";"Yr4",#N/A,FALSE,"Budget Detail";"Yr5",#N/A,FALSE,"Budget Detail";"Total",#N/A,FALSE,"Budget Detail"}</definedName>
    <definedName name="aaaaa" localSheetId="8" hidden="1">{"Yr1",#N/A,FALSE,"Budget Detail";"Yr2",#N/A,FALSE,"Budget Detail";"Yr3",#N/A,FALSE,"Budget Detail";"Yr4",#N/A,FALSE,"Budget Detail";"Yr5",#N/A,FALSE,"Budget Detail";"Total",#N/A,FALSE,"Budget Detail"}</definedName>
    <definedName name="aaaaa" localSheetId="9" hidden="1">{"Yr1",#N/A,FALSE,"Budget Detail";"Yr2",#N/A,FALSE,"Budget Detail";"Yr3",#N/A,FALSE,"Budget Detail";"Yr4",#N/A,FALSE,"Budget Detail";"Yr5",#N/A,FALSE,"Budget Detail";"Total",#N/A,FALSE,"Budget Detail"}</definedName>
    <definedName name="aaaaa" localSheetId="10" hidden="1">{"Yr1",#N/A,FALSE,"Budget Detail";"Yr2",#N/A,FALSE,"Budget Detail";"Yr3",#N/A,FALSE,"Budget Detail";"Yr4",#N/A,FALSE,"Budget Detail";"Yr5",#N/A,FALSE,"Budget Detail";"Total",#N/A,FALSE,"Budget Detail"}</definedName>
    <definedName name="aaaaa" hidden="1">{"Yr1",#N/A,FALSE,"Budget Detail";"Yr2",#N/A,FALSE,"Budget Detail";"Yr3",#N/A,FALSE,"Budget Detail";"Yr4",#N/A,FALSE,"Budget Detail";"Yr5",#N/A,FALSE,"Budget Detail";"Total",#N/A,FALSE,"Budget Detail"}</definedName>
    <definedName name="ABC" localSheetId="11" hidden="1">{"Yr1",#N/A,FALSE,"Budget Detail";"Yr2",#N/A,FALSE,"Budget Detail";"Yr3",#N/A,FALSE,"Budget Detail";"Yr4",#N/A,FALSE,"Budget Detail";"Yr5",#N/A,FALSE,"Budget Detail";"Total",#N/A,FALSE,"Budget Detail"}</definedName>
    <definedName name="ABC" localSheetId="12" hidden="1">{"Yr1",#N/A,FALSE,"Budget Detail";"Yr2",#N/A,FALSE,"Budget Detail";"Yr3",#N/A,FALSE,"Budget Detail";"Yr4",#N/A,FALSE,"Budget Detail";"Yr5",#N/A,FALSE,"Budget Detail";"Total",#N/A,FALSE,"Budget Detail"}</definedName>
    <definedName name="ABC" localSheetId="13" hidden="1">{"Yr1",#N/A,FALSE,"Budget Detail";"Yr2",#N/A,FALSE,"Budget Detail";"Yr3",#N/A,FALSE,"Budget Detail";"Yr4",#N/A,FALSE,"Budget Detail";"Yr5",#N/A,FALSE,"Budget Detail";"Total",#N/A,FALSE,"Budget Detail"}</definedName>
    <definedName name="ABC" localSheetId="14" hidden="1">{"Yr1",#N/A,FALSE,"Budget Detail";"Yr2",#N/A,FALSE,"Budget Detail";"Yr3",#N/A,FALSE,"Budget Detail";"Yr4",#N/A,FALSE,"Budget Detail";"Yr5",#N/A,FALSE,"Budget Detail";"Total",#N/A,FALSE,"Budget Detail"}</definedName>
    <definedName name="ABC" localSheetId="15" hidden="1">{"Yr1",#N/A,FALSE,"Budget Detail";"Yr2",#N/A,FALSE,"Budget Detail";"Yr3",#N/A,FALSE,"Budget Detail";"Yr4",#N/A,FALSE,"Budget Detail";"Yr5",#N/A,FALSE,"Budget Detail";"Total",#N/A,FALSE,"Budget Detail"}</definedName>
    <definedName name="ABC" localSheetId="16" hidden="1">{"Yr1",#N/A,FALSE,"Budget Detail";"Yr2",#N/A,FALSE,"Budget Detail";"Yr3",#N/A,FALSE,"Budget Detail";"Yr4",#N/A,FALSE,"Budget Detail";"Yr5",#N/A,FALSE,"Budget Detail";"Total",#N/A,FALSE,"Budget Detail"}</definedName>
    <definedName name="ABC" localSheetId="17" hidden="1">{"Yr1",#N/A,FALSE,"Budget Detail";"Yr2",#N/A,FALSE,"Budget Detail";"Yr3",#N/A,FALSE,"Budget Detail";"Yr4",#N/A,FALSE,"Budget Detail";"Yr5",#N/A,FALSE,"Budget Detail";"Total",#N/A,FALSE,"Budget Detail"}</definedName>
    <definedName name="ABC" localSheetId="18" hidden="1">{"Yr1",#N/A,FALSE,"Budget Detail";"Yr2",#N/A,FALSE,"Budget Detail";"Yr3",#N/A,FALSE,"Budget Detail";"Yr4",#N/A,FALSE,"Budget Detail";"Yr5",#N/A,FALSE,"Budget Detail";"Total",#N/A,FALSE,"Budget Detail"}</definedName>
    <definedName name="ABC" localSheetId="5" hidden="1">{"Yr1",#N/A,FALSE,"Budget Detail";"Yr2",#N/A,FALSE,"Budget Detail";"Yr3",#N/A,FALSE,"Budget Detail";"Yr4",#N/A,FALSE,"Budget Detail";"Yr5",#N/A,FALSE,"Budget Detail";"Total",#N/A,FALSE,"Budget Detail"}</definedName>
    <definedName name="ABC" localSheetId="6" hidden="1">{"Yr1",#N/A,FALSE,"Budget Detail";"Yr2",#N/A,FALSE,"Budget Detail";"Yr3",#N/A,FALSE,"Budget Detail";"Yr4",#N/A,FALSE,"Budget Detail";"Yr5",#N/A,FALSE,"Budget Detail";"Total",#N/A,FALSE,"Budget Detail"}</definedName>
    <definedName name="ABC" localSheetId="7" hidden="1">{"Yr1",#N/A,FALSE,"Budget Detail";"Yr2",#N/A,FALSE,"Budget Detail";"Yr3",#N/A,FALSE,"Budget Detail";"Yr4",#N/A,FALSE,"Budget Detail";"Yr5",#N/A,FALSE,"Budget Detail";"Total",#N/A,FALSE,"Budget Detail"}</definedName>
    <definedName name="ABC" localSheetId="8" hidden="1">{"Yr1",#N/A,FALSE,"Budget Detail";"Yr2",#N/A,FALSE,"Budget Detail";"Yr3",#N/A,FALSE,"Budget Detail";"Yr4",#N/A,FALSE,"Budget Detail";"Yr5",#N/A,FALSE,"Budget Detail";"Total",#N/A,FALSE,"Budget Detail"}</definedName>
    <definedName name="ABC" localSheetId="9" hidden="1">{"Yr1",#N/A,FALSE,"Budget Detail";"Yr2",#N/A,FALSE,"Budget Detail";"Yr3",#N/A,FALSE,"Budget Detail";"Yr4",#N/A,FALSE,"Budget Detail";"Yr5",#N/A,FALSE,"Budget Detail";"Total",#N/A,FALSE,"Budget Detail"}</definedName>
    <definedName name="ABC" localSheetId="10" hidden="1">{"Yr1",#N/A,FALSE,"Budget Detail";"Yr2",#N/A,FALSE,"Budget Detail";"Yr3",#N/A,FALSE,"Budget Detail";"Yr4",#N/A,FALSE,"Budget Detail";"Yr5",#N/A,FALSE,"Budget Detail";"Total",#N/A,FALSE,"Budget Detail"}</definedName>
    <definedName name="ABC" hidden="1">{"Yr1",#N/A,FALSE,"Budget Detail";"Yr2",#N/A,FALSE,"Budget Detail";"Yr3",#N/A,FALSE,"Budget Detail";"Yr4",#N/A,FALSE,"Budget Detail";"Yr5",#N/A,FALSE,"Budget Detail";"Total",#N/A,FALSE,"Budget Detail"}</definedName>
    <definedName name="AccessDatabase" hidden="1">"W:\WPFILES\GB759\EXCEL\FIGBUS.mdb"</definedName>
    <definedName name="Accruals" localSheetId="18" hidden="1">[2]SUDBASE!#REF!</definedName>
    <definedName name="Accruals" hidden="1">[2]SUDBASE!#REF!</definedName>
    <definedName name="APPEAL" localSheetId="18">#REF!</definedName>
    <definedName name="APPEAL">#REF!</definedName>
    <definedName name="AS2DocOpenMode" hidden="1">"AS2DocumentEdit"</definedName>
    <definedName name="ashley" localSheetId="11" hidden="1">{"Yr1",#N/A,FALSE,"Budget Detail";"Yr2",#N/A,FALSE,"Budget Detail";"Yr3",#N/A,FALSE,"Budget Detail";"Yr4",#N/A,FALSE,"Budget Detail";"Yr5",#N/A,FALSE,"Budget Detail";"Total",#N/A,FALSE,"Budget Detail"}</definedName>
    <definedName name="ashley" localSheetId="12" hidden="1">{"Yr1",#N/A,FALSE,"Budget Detail";"Yr2",#N/A,FALSE,"Budget Detail";"Yr3",#N/A,FALSE,"Budget Detail";"Yr4",#N/A,FALSE,"Budget Detail";"Yr5",#N/A,FALSE,"Budget Detail";"Total",#N/A,FALSE,"Budget Detail"}</definedName>
    <definedName name="ashley" localSheetId="13" hidden="1">{"Yr1",#N/A,FALSE,"Budget Detail";"Yr2",#N/A,FALSE,"Budget Detail";"Yr3",#N/A,FALSE,"Budget Detail";"Yr4",#N/A,FALSE,"Budget Detail";"Yr5",#N/A,FALSE,"Budget Detail";"Total",#N/A,FALSE,"Budget Detail"}</definedName>
    <definedName name="ashley" localSheetId="14" hidden="1">{"Yr1",#N/A,FALSE,"Budget Detail";"Yr2",#N/A,FALSE,"Budget Detail";"Yr3",#N/A,FALSE,"Budget Detail";"Yr4",#N/A,FALSE,"Budget Detail";"Yr5",#N/A,FALSE,"Budget Detail";"Total",#N/A,FALSE,"Budget Detail"}</definedName>
    <definedName name="ashley" localSheetId="15" hidden="1">{"Yr1",#N/A,FALSE,"Budget Detail";"Yr2",#N/A,FALSE,"Budget Detail";"Yr3",#N/A,FALSE,"Budget Detail";"Yr4",#N/A,FALSE,"Budget Detail";"Yr5",#N/A,FALSE,"Budget Detail";"Total",#N/A,FALSE,"Budget Detail"}</definedName>
    <definedName name="ashley" localSheetId="16" hidden="1">{"Yr1",#N/A,FALSE,"Budget Detail";"Yr2",#N/A,FALSE,"Budget Detail";"Yr3",#N/A,FALSE,"Budget Detail";"Yr4",#N/A,FALSE,"Budget Detail";"Yr5",#N/A,FALSE,"Budget Detail";"Total",#N/A,FALSE,"Budget Detail"}</definedName>
    <definedName name="ashley" localSheetId="17" hidden="1">{"Yr1",#N/A,FALSE,"Budget Detail";"Yr2",#N/A,FALSE,"Budget Detail";"Yr3",#N/A,FALSE,"Budget Detail";"Yr4",#N/A,FALSE,"Budget Detail";"Yr5",#N/A,FALSE,"Budget Detail";"Total",#N/A,FALSE,"Budget Detail"}</definedName>
    <definedName name="ashley" localSheetId="18" hidden="1">{"Yr1",#N/A,FALSE,"Budget Detail";"Yr2",#N/A,FALSE,"Budget Detail";"Yr3",#N/A,FALSE,"Budget Detail";"Yr4",#N/A,FALSE,"Budget Detail";"Yr5",#N/A,FALSE,"Budget Detail";"Total",#N/A,FALSE,"Budget Detail"}</definedName>
    <definedName name="ashley" localSheetId="5" hidden="1">{"Yr1",#N/A,FALSE,"Budget Detail";"Yr2",#N/A,FALSE,"Budget Detail";"Yr3",#N/A,FALSE,"Budget Detail";"Yr4",#N/A,FALSE,"Budget Detail";"Yr5",#N/A,FALSE,"Budget Detail";"Total",#N/A,FALSE,"Budget Detail"}</definedName>
    <definedName name="ashley" localSheetId="6" hidden="1">{"Yr1",#N/A,FALSE,"Budget Detail";"Yr2",#N/A,FALSE,"Budget Detail";"Yr3",#N/A,FALSE,"Budget Detail";"Yr4",#N/A,FALSE,"Budget Detail";"Yr5",#N/A,FALSE,"Budget Detail";"Total",#N/A,FALSE,"Budget Detail"}</definedName>
    <definedName name="ashley" localSheetId="7" hidden="1">{"Yr1",#N/A,FALSE,"Budget Detail";"Yr2",#N/A,FALSE,"Budget Detail";"Yr3",#N/A,FALSE,"Budget Detail";"Yr4",#N/A,FALSE,"Budget Detail";"Yr5",#N/A,FALSE,"Budget Detail";"Total",#N/A,FALSE,"Budget Detail"}</definedName>
    <definedName name="ashley" localSheetId="8" hidden="1">{"Yr1",#N/A,FALSE,"Budget Detail";"Yr2",#N/A,FALSE,"Budget Detail";"Yr3",#N/A,FALSE,"Budget Detail";"Yr4",#N/A,FALSE,"Budget Detail";"Yr5",#N/A,FALSE,"Budget Detail";"Total",#N/A,FALSE,"Budget Detail"}</definedName>
    <definedName name="ashley" localSheetId="9" hidden="1">{"Yr1",#N/A,FALSE,"Budget Detail";"Yr2",#N/A,FALSE,"Budget Detail";"Yr3",#N/A,FALSE,"Budget Detail";"Yr4",#N/A,FALSE,"Budget Detail";"Yr5",#N/A,FALSE,"Budget Detail";"Total",#N/A,FALSE,"Budget Detail"}</definedName>
    <definedName name="ashley" localSheetId="10" hidden="1">{"Yr1",#N/A,FALSE,"Budget Detail";"Yr2",#N/A,FALSE,"Budget Detail";"Yr3",#N/A,FALSE,"Budget Detail";"Yr4",#N/A,FALSE,"Budget Detail";"Yr5",#N/A,FALSE,"Budget Detail";"Total",#N/A,FALSE,"Budget Detail"}</definedName>
    <definedName name="ashley" hidden="1">{"Yr1",#N/A,FALSE,"Budget Detail";"Yr2",#N/A,FALSE,"Budget Detail";"Yr3",#N/A,FALSE,"Budget Detail";"Yr4",#N/A,FALSE,"Budget Detail";"Yr5",#N/A,FALSE,"Budget Detail";"Total",#N/A,FALSE,"Budget Detail"}</definedName>
    <definedName name="AZ" localSheetId="18" hidden="1">#REF!</definedName>
    <definedName name="AZ" hidden="1">#REF!</definedName>
    <definedName name="_xlnm.Database" localSheetId="18">#REF!</definedName>
    <definedName name="_xlnm.Database">#REF!</definedName>
    <definedName name="borehole" localSheetId="11" hidden="1">{"Yr1",#N/A,FALSE,"Budget Detail";"Yr2",#N/A,FALSE,"Budget Detail";"Yr3",#N/A,FALSE,"Budget Detail";"Yr4",#N/A,FALSE,"Budget Detail";"Yr5",#N/A,FALSE,"Budget Detail";"Total",#N/A,FALSE,"Budget Detail"}</definedName>
    <definedName name="borehole" localSheetId="12" hidden="1">{"Yr1",#N/A,FALSE,"Budget Detail";"Yr2",#N/A,FALSE,"Budget Detail";"Yr3",#N/A,FALSE,"Budget Detail";"Yr4",#N/A,FALSE,"Budget Detail";"Yr5",#N/A,FALSE,"Budget Detail";"Total",#N/A,FALSE,"Budget Detail"}</definedName>
    <definedName name="borehole" localSheetId="13" hidden="1">{"Yr1",#N/A,FALSE,"Budget Detail";"Yr2",#N/A,FALSE,"Budget Detail";"Yr3",#N/A,FALSE,"Budget Detail";"Yr4",#N/A,FALSE,"Budget Detail";"Yr5",#N/A,FALSE,"Budget Detail";"Total",#N/A,FALSE,"Budget Detail"}</definedName>
    <definedName name="borehole" localSheetId="14" hidden="1">{"Yr1",#N/A,FALSE,"Budget Detail";"Yr2",#N/A,FALSE,"Budget Detail";"Yr3",#N/A,FALSE,"Budget Detail";"Yr4",#N/A,FALSE,"Budget Detail";"Yr5",#N/A,FALSE,"Budget Detail";"Total",#N/A,FALSE,"Budget Detail"}</definedName>
    <definedName name="borehole" localSheetId="15" hidden="1">{"Yr1",#N/A,FALSE,"Budget Detail";"Yr2",#N/A,FALSE,"Budget Detail";"Yr3",#N/A,FALSE,"Budget Detail";"Yr4",#N/A,FALSE,"Budget Detail";"Yr5",#N/A,FALSE,"Budget Detail";"Total",#N/A,FALSE,"Budget Detail"}</definedName>
    <definedName name="borehole" localSheetId="16" hidden="1">{"Yr1",#N/A,FALSE,"Budget Detail";"Yr2",#N/A,FALSE,"Budget Detail";"Yr3",#N/A,FALSE,"Budget Detail";"Yr4",#N/A,FALSE,"Budget Detail";"Yr5",#N/A,FALSE,"Budget Detail";"Total",#N/A,FALSE,"Budget Detail"}</definedName>
    <definedName name="borehole" localSheetId="17" hidden="1">{"Yr1",#N/A,FALSE,"Budget Detail";"Yr2",#N/A,FALSE,"Budget Detail";"Yr3",#N/A,FALSE,"Budget Detail";"Yr4",#N/A,FALSE,"Budget Detail";"Yr5",#N/A,FALSE,"Budget Detail";"Total",#N/A,FALSE,"Budget Detail"}</definedName>
    <definedName name="borehole" localSheetId="18" hidden="1">{"Yr1",#N/A,FALSE,"Budget Detail";"Yr2",#N/A,FALSE,"Budget Detail";"Yr3",#N/A,FALSE,"Budget Detail";"Yr4",#N/A,FALSE,"Budget Detail";"Yr5",#N/A,FALSE,"Budget Detail";"Total",#N/A,FALSE,"Budget Detail"}</definedName>
    <definedName name="borehole" localSheetId="5" hidden="1">{"Yr1",#N/A,FALSE,"Budget Detail";"Yr2",#N/A,FALSE,"Budget Detail";"Yr3",#N/A,FALSE,"Budget Detail";"Yr4",#N/A,FALSE,"Budget Detail";"Yr5",#N/A,FALSE,"Budget Detail";"Total",#N/A,FALSE,"Budget Detail"}</definedName>
    <definedName name="borehole" localSheetId="6" hidden="1">{"Yr1",#N/A,FALSE,"Budget Detail";"Yr2",#N/A,FALSE,"Budget Detail";"Yr3",#N/A,FALSE,"Budget Detail";"Yr4",#N/A,FALSE,"Budget Detail";"Yr5",#N/A,FALSE,"Budget Detail";"Total",#N/A,FALSE,"Budget Detail"}</definedName>
    <definedName name="borehole" localSheetId="7" hidden="1">{"Yr1",#N/A,FALSE,"Budget Detail";"Yr2",#N/A,FALSE,"Budget Detail";"Yr3",#N/A,FALSE,"Budget Detail";"Yr4",#N/A,FALSE,"Budget Detail";"Yr5",#N/A,FALSE,"Budget Detail";"Total",#N/A,FALSE,"Budget Detail"}</definedName>
    <definedName name="borehole" localSheetId="8" hidden="1">{"Yr1",#N/A,FALSE,"Budget Detail";"Yr2",#N/A,FALSE,"Budget Detail";"Yr3",#N/A,FALSE,"Budget Detail";"Yr4",#N/A,FALSE,"Budget Detail";"Yr5",#N/A,FALSE,"Budget Detail";"Total",#N/A,FALSE,"Budget Detail"}</definedName>
    <definedName name="borehole" localSheetId="9" hidden="1">{"Yr1",#N/A,FALSE,"Budget Detail";"Yr2",#N/A,FALSE,"Budget Detail";"Yr3",#N/A,FALSE,"Budget Detail";"Yr4",#N/A,FALSE,"Budget Detail";"Yr5",#N/A,FALSE,"Budget Detail";"Total",#N/A,FALSE,"Budget Detail"}</definedName>
    <definedName name="borehole" localSheetId="10" hidden="1">{"Yr1",#N/A,FALSE,"Budget Detail";"Yr2",#N/A,FALSE,"Budget Detail";"Yr3",#N/A,FALSE,"Budget Detail";"Yr4",#N/A,FALSE,"Budget Detail";"Yr5",#N/A,FALSE,"Budget Detail";"Total",#N/A,FALSE,"Budget Detail"}</definedName>
    <definedName name="borehole" hidden="1">{"Yr1",#N/A,FALSE,"Budget Detail";"Yr2",#N/A,FALSE,"Budget Detail";"Yr3",#N/A,FALSE,"Budget Detail";"Yr4",#N/A,FALSE,"Budget Detail";"Yr5",#N/A,FALSE,"Budget Detail";"Total",#N/A,FALSE,"Budget Detail"}</definedName>
    <definedName name="Carburant" localSheetId="4">'[1]Guidance 2010'!#REF!</definedName>
    <definedName name="Carburant" localSheetId="11">'[1]Guidance 2010'!#REF!</definedName>
    <definedName name="Carburant" localSheetId="12">'[1]Guidance 2010'!#REF!</definedName>
    <definedName name="Carburant" localSheetId="13">'[1]Guidance 2010'!#REF!</definedName>
    <definedName name="Carburant" localSheetId="14">'[1]Guidance 2010'!#REF!</definedName>
    <definedName name="Carburant" localSheetId="15">'[1]Guidance 2010'!#REF!</definedName>
    <definedName name="Carburant" localSheetId="16">'[1]Guidance 2010'!#REF!</definedName>
    <definedName name="Carburant" localSheetId="17">'[1]Guidance 2010'!#REF!</definedName>
    <definedName name="Carburant" localSheetId="18">'[1]Guidance 2010'!#REF!</definedName>
    <definedName name="Carburant" localSheetId="5">'[1]Guidance 2010'!#REF!</definedName>
    <definedName name="Carburant" localSheetId="6">'[1]Guidance 2010'!#REF!</definedName>
    <definedName name="Carburant" localSheetId="7">'[1]Guidance 2010'!#REF!</definedName>
    <definedName name="Carburant" localSheetId="8">'[1]Guidance 2010'!#REF!</definedName>
    <definedName name="Carburant" localSheetId="9">'[1]Guidance 2010'!#REF!</definedName>
    <definedName name="Carburant" localSheetId="10">'[1]Guidance 2010'!#REF!</definedName>
    <definedName name="Carburant">'[1]Guidance 2010'!#REF!</definedName>
    <definedName name="CondSoc">'[4]Param Tx'!$L$2</definedName>
    <definedName name="ConsolidateItemCode">[5]!Table913[Item code]</definedName>
    <definedName name="COPY" localSheetId="11" hidden="1">{"Yr1",#N/A,FALSE,"Budget Detail";"Yr2",#N/A,FALSE,"Budget Detail";"Yr3",#N/A,FALSE,"Budget Detail";"Yr4",#N/A,FALSE,"Budget Detail";"Yr5",#N/A,FALSE,"Budget Detail";"Total",#N/A,FALSE,"Budget Detail"}</definedName>
    <definedName name="COPY" localSheetId="12" hidden="1">{"Yr1",#N/A,FALSE,"Budget Detail";"Yr2",#N/A,FALSE,"Budget Detail";"Yr3",#N/A,FALSE,"Budget Detail";"Yr4",#N/A,FALSE,"Budget Detail";"Yr5",#N/A,FALSE,"Budget Detail";"Total",#N/A,FALSE,"Budget Detail"}</definedName>
    <definedName name="COPY" localSheetId="13" hidden="1">{"Yr1",#N/A,FALSE,"Budget Detail";"Yr2",#N/A,FALSE,"Budget Detail";"Yr3",#N/A,FALSE,"Budget Detail";"Yr4",#N/A,FALSE,"Budget Detail";"Yr5",#N/A,FALSE,"Budget Detail";"Total",#N/A,FALSE,"Budget Detail"}</definedName>
    <definedName name="COPY" localSheetId="14" hidden="1">{"Yr1",#N/A,FALSE,"Budget Detail";"Yr2",#N/A,FALSE,"Budget Detail";"Yr3",#N/A,FALSE,"Budget Detail";"Yr4",#N/A,FALSE,"Budget Detail";"Yr5",#N/A,FALSE,"Budget Detail";"Total",#N/A,FALSE,"Budget Detail"}</definedName>
    <definedName name="COPY" localSheetId="15" hidden="1">{"Yr1",#N/A,FALSE,"Budget Detail";"Yr2",#N/A,FALSE,"Budget Detail";"Yr3",#N/A,FALSE,"Budget Detail";"Yr4",#N/A,FALSE,"Budget Detail";"Yr5",#N/A,FALSE,"Budget Detail";"Total",#N/A,FALSE,"Budget Detail"}</definedName>
    <definedName name="COPY" localSheetId="16" hidden="1">{"Yr1",#N/A,FALSE,"Budget Detail";"Yr2",#N/A,FALSE,"Budget Detail";"Yr3",#N/A,FALSE,"Budget Detail";"Yr4",#N/A,FALSE,"Budget Detail";"Yr5",#N/A,FALSE,"Budget Detail";"Total",#N/A,FALSE,"Budget Detail"}</definedName>
    <definedName name="COPY" localSheetId="17" hidden="1">{"Yr1",#N/A,FALSE,"Budget Detail";"Yr2",#N/A,FALSE,"Budget Detail";"Yr3",#N/A,FALSE,"Budget Detail";"Yr4",#N/A,FALSE,"Budget Detail";"Yr5",#N/A,FALSE,"Budget Detail";"Total",#N/A,FALSE,"Budget Detail"}</definedName>
    <definedName name="COPY" localSheetId="18" hidden="1">{"Yr1",#N/A,FALSE,"Budget Detail";"Yr2",#N/A,FALSE,"Budget Detail";"Yr3",#N/A,FALSE,"Budget Detail";"Yr4",#N/A,FALSE,"Budget Detail";"Yr5",#N/A,FALSE,"Budget Detail";"Total",#N/A,FALSE,"Budget Detail"}</definedName>
    <definedName name="COPY" localSheetId="5" hidden="1">{"Yr1",#N/A,FALSE,"Budget Detail";"Yr2",#N/A,FALSE,"Budget Detail";"Yr3",#N/A,FALSE,"Budget Detail";"Yr4",#N/A,FALSE,"Budget Detail";"Yr5",#N/A,FALSE,"Budget Detail";"Total",#N/A,FALSE,"Budget Detail"}</definedName>
    <definedName name="COPY" localSheetId="6" hidden="1">{"Yr1",#N/A,FALSE,"Budget Detail";"Yr2",#N/A,FALSE,"Budget Detail";"Yr3",#N/A,FALSE,"Budget Detail";"Yr4",#N/A,FALSE,"Budget Detail";"Yr5",#N/A,FALSE,"Budget Detail";"Total",#N/A,FALSE,"Budget Detail"}</definedName>
    <definedName name="COPY" localSheetId="7" hidden="1">{"Yr1",#N/A,FALSE,"Budget Detail";"Yr2",#N/A,FALSE,"Budget Detail";"Yr3",#N/A,FALSE,"Budget Detail";"Yr4",#N/A,FALSE,"Budget Detail";"Yr5",#N/A,FALSE,"Budget Detail";"Total",#N/A,FALSE,"Budget Detail"}</definedName>
    <definedName name="COPY" localSheetId="8" hidden="1">{"Yr1",#N/A,FALSE,"Budget Detail";"Yr2",#N/A,FALSE,"Budget Detail";"Yr3",#N/A,FALSE,"Budget Detail";"Yr4",#N/A,FALSE,"Budget Detail";"Yr5",#N/A,FALSE,"Budget Detail";"Total",#N/A,FALSE,"Budget Detail"}</definedName>
    <definedName name="COPY" localSheetId="9" hidden="1">{"Yr1",#N/A,FALSE,"Budget Detail";"Yr2",#N/A,FALSE,"Budget Detail";"Yr3",#N/A,FALSE,"Budget Detail";"Yr4",#N/A,FALSE,"Budget Detail";"Yr5",#N/A,FALSE,"Budget Detail";"Total",#N/A,FALSE,"Budget Detail"}</definedName>
    <definedName name="COPY" localSheetId="10" hidden="1">{"Yr1",#N/A,FALSE,"Budget Detail";"Yr2",#N/A,FALSE,"Budget Detail";"Yr3",#N/A,FALSE,"Budget Detail";"Yr4",#N/A,FALSE,"Budget Detail";"Yr5",#N/A,FALSE,"Budget Detail";"Total",#N/A,FALSE,"Budget Detail"}</definedName>
    <definedName name="COPY" hidden="1">{"Yr1",#N/A,FALSE,"Budget Detail";"Yr2",#N/A,FALSE,"Budget Detail";"Yr3",#N/A,FALSE,"Budget Detail";"Yr4",#N/A,FALSE,"Budget Detail";"Yr5",#N/A,FALSE,"Budget Detail";"Total",#N/A,FALSE,"Budget Detail"}</definedName>
    <definedName name="DEF" localSheetId="11" hidden="1">{"Yr1",#N/A,FALSE,"Budget Detail";"Yr2",#N/A,FALSE,"Budget Detail";"Yr3",#N/A,FALSE,"Budget Detail";"Yr4",#N/A,FALSE,"Budget Detail";"Yr5",#N/A,FALSE,"Budget Detail";"Total",#N/A,FALSE,"Budget Detail"}</definedName>
    <definedName name="DEF" localSheetId="12" hidden="1">{"Yr1",#N/A,FALSE,"Budget Detail";"Yr2",#N/A,FALSE,"Budget Detail";"Yr3",#N/A,FALSE,"Budget Detail";"Yr4",#N/A,FALSE,"Budget Detail";"Yr5",#N/A,FALSE,"Budget Detail";"Total",#N/A,FALSE,"Budget Detail"}</definedName>
    <definedName name="DEF" localSheetId="13" hidden="1">{"Yr1",#N/A,FALSE,"Budget Detail";"Yr2",#N/A,FALSE,"Budget Detail";"Yr3",#N/A,FALSE,"Budget Detail";"Yr4",#N/A,FALSE,"Budget Detail";"Yr5",#N/A,FALSE,"Budget Detail";"Total",#N/A,FALSE,"Budget Detail"}</definedName>
    <definedName name="DEF" localSheetId="14" hidden="1">{"Yr1",#N/A,FALSE,"Budget Detail";"Yr2",#N/A,FALSE,"Budget Detail";"Yr3",#N/A,FALSE,"Budget Detail";"Yr4",#N/A,FALSE,"Budget Detail";"Yr5",#N/A,FALSE,"Budget Detail";"Total",#N/A,FALSE,"Budget Detail"}</definedName>
    <definedName name="DEF" localSheetId="15" hidden="1">{"Yr1",#N/A,FALSE,"Budget Detail";"Yr2",#N/A,FALSE,"Budget Detail";"Yr3",#N/A,FALSE,"Budget Detail";"Yr4",#N/A,FALSE,"Budget Detail";"Yr5",#N/A,FALSE,"Budget Detail";"Total",#N/A,FALSE,"Budget Detail"}</definedName>
    <definedName name="DEF" localSheetId="16" hidden="1">{"Yr1",#N/A,FALSE,"Budget Detail";"Yr2",#N/A,FALSE,"Budget Detail";"Yr3",#N/A,FALSE,"Budget Detail";"Yr4",#N/A,FALSE,"Budget Detail";"Yr5",#N/A,FALSE,"Budget Detail";"Total",#N/A,FALSE,"Budget Detail"}</definedName>
    <definedName name="DEF" localSheetId="17" hidden="1">{"Yr1",#N/A,FALSE,"Budget Detail";"Yr2",#N/A,FALSE,"Budget Detail";"Yr3",#N/A,FALSE,"Budget Detail";"Yr4",#N/A,FALSE,"Budget Detail";"Yr5",#N/A,FALSE,"Budget Detail";"Total",#N/A,FALSE,"Budget Detail"}</definedName>
    <definedName name="DEF" localSheetId="18" hidden="1">{"Yr1",#N/A,FALSE,"Budget Detail";"Yr2",#N/A,FALSE,"Budget Detail";"Yr3",#N/A,FALSE,"Budget Detail";"Yr4",#N/A,FALSE,"Budget Detail";"Yr5",#N/A,FALSE,"Budget Detail";"Total",#N/A,FALSE,"Budget Detail"}</definedName>
    <definedName name="DEF" localSheetId="5" hidden="1">{"Yr1",#N/A,FALSE,"Budget Detail";"Yr2",#N/A,FALSE,"Budget Detail";"Yr3",#N/A,FALSE,"Budget Detail";"Yr4",#N/A,FALSE,"Budget Detail";"Yr5",#N/A,FALSE,"Budget Detail";"Total",#N/A,FALSE,"Budget Detail"}</definedName>
    <definedName name="DEF" localSheetId="6" hidden="1">{"Yr1",#N/A,FALSE,"Budget Detail";"Yr2",#N/A,FALSE,"Budget Detail";"Yr3",#N/A,FALSE,"Budget Detail";"Yr4",#N/A,FALSE,"Budget Detail";"Yr5",#N/A,FALSE,"Budget Detail";"Total",#N/A,FALSE,"Budget Detail"}</definedName>
    <definedName name="DEF" localSheetId="7" hidden="1">{"Yr1",#N/A,FALSE,"Budget Detail";"Yr2",#N/A,FALSE,"Budget Detail";"Yr3",#N/A,FALSE,"Budget Detail";"Yr4",#N/A,FALSE,"Budget Detail";"Yr5",#N/A,FALSE,"Budget Detail";"Total",#N/A,FALSE,"Budget Detail"}</definedName>
    <definedName name="DEF" localSheetId="8" hidden="1">{"Yr1",#N/A,FALSE,"Budget Detail";"Yr2",#N/A,FALSE,"Budget Detail";"Yr3",#N/A,FALSE,"Budget Detail";"Yr4",#N/A,FALSE,"Budget Detail";"Yr5",#N/A,FALSE,"Budget Detail";"Total",#N/A,FALSE,"Budget Detail"}</definedName>
    <definedName name="DEF" localSheetId="9" hidden="1">{"Yr1",#N/A,FALSE,"Budget Detail";"Yr2",#N/A,FALSE,"Budget Detail";"Yr3",#N/A,FALSE,"Budget Detail";"Yr4",#N/A,FALSE,"Budget Detail";"Yr5",#N/A,FALSE,"Budget Detail";"Total",#N/A,FALSE,"Budget Detail"}</definedName>
    <definedName name="DEF" localSheetId="10" hidden="1">{"Yr1",#N/A,FALSE,"Budget Detail";"Yr2",#N/A,FALSE,"Budget Detail";"Yr3",#N/A,FALSE,"Budget Detail";"Yr4",#N/A,FALSE,"Budget Detail";"Yr5",#N/A,FALSE,"Budget Detail";"Total",#N/A,FALSE,"Budget Detail"}</definedName>
    <definedName name="DEF" hidden="1">{"Yr1",#N/A,FALSE,"Budget Detail";"Yr2",#N/A,FALSE,"Budget Detail";"Yr3",#N/A,FALSE,"Budget Detail";"Yr4",#N/A,FALSE,"Budget Detail";"Yr5",#N/A,FALSE,"Budget Detail";"Total",#N/A,FALSE,"Budget Detail"}</definedName>
    <definedName name="DESKTOP" localSheetId="11" hidden="1">{#N/A,#N/A,FALSE,"Grant to date"}</definedName>
    <definedName name="DESKTOP" localSheetId="12" hidden="1">{#N/A,#N/A,FALSE,"Grant to date"}</definedName>
    <definedName name="DESKTOP" localSheetId="13" hidden="1">{#N/A,#N/A,FALSE,"Grant to date"}</definedName>
    <definedName name="DESKTOP" localSheetId="14" hidden="1">{#N/A,#N/A,FALSE,"Grant to date"}</definedName>
    <definedName name="DESKTOP" localSheetId="15" hidden="1">{#N/A,#N/A,FALSE,"Grant to date"}</definedName>
    <definedName name="DESKTOP" localSheetId="16" hidden="1">{#N/A,#N/A,FALSE,"Grant to date"}</definedName>
    <definedName name="DESKTOP" localSheetId="17" hidden="1">{#N/A,#N/A,FALSE,"Grant to date"}</definedName>
    <definedName name="DESKTOP" localSheetId="18" hidden="1">{#N/A,#N/A,FALSE,"Grant to date"}</definedName>
    <definedName name="DESKTOP" localSheetId="5" hidden="1">{#N/A,#N/A,FALSE,"Grant to date"}</definedName>
    <definedName name="DESKTOP" localSheetId="6" hidden="1">{#N/A,#N/A,FALSE,"Grant to date"}</definedName>
    <definedName name="DESKTOP" localSheetId="7" hidden="1">{#N/A,#N/A,FALSE,"Grant to date"}</definedName>
    <definedName name="DESKTOP" localSheetId="8" hidden="1">{#N/A,#N/A,FALSE,"Grant to date"}</definedName>
    <definedName name="DESKTOP" localSheetId="9" hidden="1">{#N/A,#N/A,FALSE,"Grant to date"}</definedName>
    <definedName name="DESKTOP" localSheetId="10" hidden="1">{#N/A,#N/A,FALSE,"Grant to date"}</definedName>
    <definedName name="DESKTOP" hidden="1">{#N/A,#N/A,FALSE,"Grant to date"}</definedName>
    <definedName name="DispatchPartnerIssued_Qty">[5]!Table2[Issued Qty]</definedName>
    <definedName name="DispatchPartnerItemNumber">[5]!Table2[Item N'#]</definedName>
    <definedName name="dr" localSheetId="11" hidden="1">{"Yr1",#N/A,FALSE,"Budget Detail";"Yr2",#N/A,FALSE,"Budget Detail";"Yr3",#N/A,FALSE,"Budget Detail";"Yr4",#N/A,FALSE,"Budget Detail";"Yr5",#N/A,FALSE,"Budget Detail";"Total",#N/A,FALSE,"Budget Detail"}</definedName>
    <definedName name="dr" localSheetId="12" hidden="1">{"Yr1",#N/A,FALSE,"Budget Detail";"Yr2",#N/A,FALSE,"Budget Detail";"Yr3",#N/A,FALSE,"Budget Detail";"Yr4",#N/A,FALSE,"Budget Detail";"Yr5",#N/A,FALSE,"Budget Detail";"Total",#N/A,FALSE,"Budget Detail"}</definedName>
    <definedName name="dr" localSheetId="13" hidden="1">{"Yr1",#N/A,FALSE,"Budget Detail";"Yr2",#N/A,FALSE,"Budget Detail";"Yr3",#N/A,FALSE,"Budget Detail";"Yr4",#N/A,FALSE,"Budget Detail";"Yr5",#N/A,FALSE,"Budget Detail";"Total",#N/A,FALSE,"Budget Detail"}</definedName>
    <definedName name="dr" localSheetId="14" hidden="1">{"Yr1",#N/A,FALSE,"Budget Detail";"Yr2",#N/A,FALSE,"Budget Detail";"Yr3",#N/A,FALSE,"Budget Detail";"Yr4",#N/A,FALSE,"Budget Detail";"Yr5",#N/A,FALSE,"Budget Detail";"Total",#N/A,FALSE,"Budget Detail"}</definedName>
    <definedName name="dr" localSheetId="15" hidden="1">{"Yr1",#N/A,FALSE,"Budget Detail";"Yr2",#N/A,FALSE,"Budget Detail";"Yr3",#N/A,FALSE,"Budget Detail";"Yr4",#N/A,FALSE,"Budget Detail";"Yr5",#N/A,FALSE,"Budget Detail";"Total",#N/A,FALSE,"Budget Detail"}</definedName>
    <definedName name="dr" localSheetId="16" hidden="1">{"Yr1",#N/A,FALSE,"Budget Detail";"Yr2",#N/A,FALSE,"Budget Detail";"Yr3",#N/A,FALSE,"Budget Detail";"Yr4",#N/A,FALSE,"Budget Detail";"Yr5",#N/A,FALSE,"Budget Detail";"Total",#N/A,FALSE,"Budget Detail"}</definedName>
    <definedName name="dr" localSheetId="17" hidden="1">{"Yr1",#N/A,FALSE,"Budget Detail";"Yr2",#N/A,FALSE,"Budget Detail";"Yr3",#N/A,FALSE,"Budget Detail";"Yr4",#N/A,FALSE,"Budget Detail";"Yr5",#N/A,FALSE,"Budget Detail";"Total",#N/A,FALSE,"Budget Detail"}</definedName>
    <definedName name="dr" localSheetId="18" hidden="1">{"Yr1",#N/A,FALSE,"Budget Detail";"Yr2",#N/A,FALSE,"Budget Detail";"Yr3",#N/A,FALSE,"Budget Detail";"Yr4",#N/A,FALSE,"Budget Detail";"Yr5",#N/A,FALSE,"Budget Detail";"Total",#N/A,FALSE,"Budget Detail"}</definedName>
    <definedName name="dr" localSheetId="5" hidden="1">{"Yr1",#N/A,FALSE,"Budget Detail";"Yr2",#N/A,FALSE,"Budget Detail";"Yr3",#N/A,FALSE,"Budget Detail";"Yr4",#N/A,FALSE,"Budget Detail";"Yr5",#N/A,FALSE,"Budget Detail";"Total",#N/A,FALSE,"Budget Detail"}</definedName>
    <definedName name="dr" localSheetId="6" hidden="1">{"Yr1",#N/A,FALSE,"Budget Detail";"Yr2",#N/A,FALSE,"Budget Detail";"Yr3",#N/A,FALSE,"Budget Detail";"Yr4",#N/A,FALSE,"Budget Detail";"Yr5",#N/A,FALSE,"Budget Detail";"Total",#N/A,FALSE,"Budget Detail"}</definedName>
    <definedName name="dr" localSheetId="7" hidden="1">{"Yr1",#N/A,FALSE,"Budget Detail";"Yr2",#N/A,FALSE,"Budget Detail";"Yr3",#N/A,FALSE,"Budget Detail";"Yr4",#N/A,FALSE,"Budget Detail";"Yr5",#N/A,FALSE,"Budget Detail";"Total",#N/A,FALSE,"Budget Detail"}</definedName>
    <definedName name="dr" localSheetId="8" hidden="1">{"Yr1",#N/A,FALSE,"Budget Detail";"Yr2",#N/A,FALSE,"Budget Detail";"Yr3",#N/A,FALSE,"Budget Detail";"Yr4",#N/A,FALSE,"Budget Detail";"Yr5",#N/A,FALSE,"Budget Detail";"Total",#N/A,FALSE,"Budget Detail"}</definedName>
    <definedName name="dr" localSheetId="9" hidden="1">{"Yr1",#N/A,FALSE,"Budget Detail";"Yr2",#N/A,FALSE,"Budget Detail";"Yr3",#N/A,FALSE,"Budget Detail";"Yr4",#N/A,FALSE,"Budget Detail";"Yr5",#N/A,FALSE,"Budget Detail";"Total",#N/A,FALSE,"Budget Detail"}</definedName>
    <definedName name="dr" localSheetId="10" hidden="1">{"Yr1",#N/A,FALSE,"Budget Detail";"Yr2",#N/A,FALSE,"Budget Detail";"Yr3",#N/A,FALSE,"Budget Detail";"Yr4",#N/A,FALSE,"Budget Detail";"Yr5",#N/A,FALSE,"Budget Detail";"Total",#N/A,FALSE,"Budget Detail"}</definedName>
    <definedName name="dr" hidden="1">{"Yr1",#N/A,FALSE,"Budget Detail";"Yr2",#N/A,FALSE,"Budget Detail";"Yr3",#N/A,FALSE,"Budget Detail";"Yr4",#N/A,FALSE,"Budget Detail";"Yr5",#N/A,FALSE,"Budget Detail";"Total",#N/A,FALSE,"Budget Detail"}</definedName>
    <definedName name="e" localSheetId="11" hidden="1">{"Yr1",#N/A,FALSE,"Budget Detail";"Yr2",#N/A,FALSE,"Budget Detail";"Yr3",#N/A,FALSE,"Budget Detail";"Yr4",#N/A,FALSE,"Budget Detail";"Yr5",#N/A,FALSE,"Budget Detail";"Total",#N/A,FALSE,"Budget Detail"}</definedName>
    <definedName name="e" localSheetId="12" hidden="1">{"Yr1",#N/A,FALSE,"Budget Detail";"Yr2",#N/A,FALSE,"Budget Detail";"Yr3",#N/A,FALSE,"Budget Detail";"Yr4",#N/A,FALSE,"Budget Detail";"Yr5",#N/A,FALSE,"Budget Detail";"Total",#N/A,FALSE,"Budget Detail"}</definedName>
    <definedName name="e" localSheetId="13" hidden="1">{"Yr1",#N/A,FALSE,"Budget Detail";"Yr2",#N/A,FALSE,"Budget Detail";"Yr3",#N/A,FALSE,"Budget Detail";"Yr4",#N/A,FALSE,"Budget Detail";"Yr5",#N/A,FALSE,"Budget Detail";"Total",#N/A,FALSE,"Budget Detail"}</definedName>
    <definedName name="e" localSheetId="14" hidden="1">{"Yr1",#N/A,FALSE,"Budget Detail";"Yr2",#N/A,FALSE,"Budget Detail";"Yr3",#N/A,FALSE,"Budget Detail";"Yr4",#N/A,FALSE,"Budget Detail";"Yr5",#N/A,FALSE,"Budget Detail";"Total",#N/A,FALSE,"Budget Detail"}</definedName>
    <definedName name="e" localSheetId="15" hidden="1">{"Yr1",#N/A,FALSE,"Budget Detail";"Yr2",#N/A,FALSE,"Budget Detail";"Yr3",#N/A,FALSE,"Budget Detail";"Yr4",#N/A,FALSE,"Budget Detail";"Yr5",#N/A,FALSE,"Budget Detail";"Total",#N/A,FALSE,"Budget Detail"}</definedName>
    <definedName name="e" localSheetId="16" hidden="1">{"Yr1",#N/A,FALSE,"Budget Detail";"Yr2",#N/A,FALSE,"Budget Detail";"Yr3",#N/A,FALSE,"Budget Detail";"Yr4",#N/A,FALSE,"Budget Detail";"Yr5",#N/A,FALSE,"Budget Detail";"Total",#N/A,FALSE,"Budget Detail"}</definedName>
    <definedName name="e" localSheetId="17" hidden="1">{"Yr1",#N/A,FALSE,"Budget Detail";"Yr2",#N/A,FALSE,"Budget Detail";"Yr3",#N/A,FALSE,"Budget Detail";"Yr4",#N/A,FALSE,"Budget Detail";"Yr5",#N/A,FALSE,"Budget Detail";"Total",#N/A,FALSE,"Budget Detail"}</definedName>
    <definedName name="e" localSheetId="18" hidden="1">{"Yr1",#N/A,FALSE,"Budget Detail";"Yr2",#N/A,FALSE,"Budget Detail";"Yr3",#N/A,FALSE,"Budget Detail";"Yr4",#N/A,FALSE,"Budget Detail";"Yr5",#N/A,FALSE,"Budget Detail";"Total",#N/A,FALSE,"Budget Detail"}</definedName>
    <definedName name="e" localSheetId="5" hidden="1">{"Yr1",#N/A,FALSE,"Budget Detail";"Yr2",#N/A,FALSE,"Budget Detail";"Yr3",#N/A,FALSE,"Budget Detail";"Yr4",#N/A,FALSE,"Budget Detail";"Yr5",#N/A,FALSE,"Budget Detail";"Total",#N/A,FALSE,"Budget Detail"}</definedName>
    <definedName name="e" localSheetId="6" hidden="1">{"Yr1",#N/A,FALSE,"Budget Detail";"Yr2",#N/A,FALSE,"Budget Detail";"Yr3",#N/A,FALSE,"Budget Detail";"Yr4",#N/A,FALSE,"Budget Detail";"Yr5",#N/A,FALSE,"Budget Detail";"Total",#N/A,FALSE,"Budget Detail"}</definedName>
    <definedName name="e" localSheetId="7" hidden="1">{"Yr1",#N/A,FALSE,"Budget Detail";"Yr2",#N/A,FALSE,"Budget Detail";"Yr3",#N/A,FALSE,"Budget Detail";"Yr4",#N/A,FALSE,"Budget Detail";"Yr5",#N/A,FALSE,"Budget Detail";"Total",#N/A,FALSE,"Budget Detail"}</definedName>
    <definedName name="e" localSheetId="8" hidden="1">{"Yr1",#N/A,FALSE,"Budget Detail";"Yr2",#N/A,FALSE,"Budget Detail";"Yr3",#N/A,FALSE,"Budget Detail";"Yr4",#N/A,FALSE,"Budget Detail";"Yr5",#N/A,FALSE,"Budget Detail";"Total",#N/A,FALSE,"Budget Detail"}</definedName>
    <definedName name="e" localSheetId="9" hidden="1">{"Yr1",#N/A,FALSE,"Budget Detail";"Yr2",#N/A,FALSE,"Budget Detail";"Yr3",#N/A,FALSE,"Budget Detail";"Yr4",#N/A,FALSE,"Budget Detail";"Yr5",#N/A,FALSE,"Budget Detail";"Total",#N/A,FALSE,"Budget Detail"}</definedName>
    <definedName name="e" localSheetId="10" hidden="1">{"Yr1",#N/A,FALSE,"Budget Detail";"Yr2",#N/A,FALSE,"Budget Detail";"Yr3",#N/A,FALSE,"Budget Detail";"Yr4",#N/A,FALSE,"Budget Detail";"Yr5",#N/A,FALSE,"Budget Detail";"Total",#N/A,FALSE,"Budget Detail"}</definedName>
    <definedName name="e" hidden="1">{"Yr1",#N/A,FALSE,"Budget Detail";"Yr2",#N/A,FALSE,"Budget Detail";"Yr3",#N/A,FALSE,"Budget Detail";"Yr4",#N/A,FALSE,"Budget Detail";"Yr5",#N/A,FALSE,"Budget Detail";"Total",#N/A,FALSE,"Budget Detail"}</definedName>
    <definedName name="emergency" localSheetId="18" hidden="1">[2]SUDBASE!#REF!</definedName>
    <definedName name="emergency" hidden="1">[2]SUDBASE!#REF!</definedName>
    <definedName name="EO" localSheetId="18" hidden="1">[2]SUDBASE!#REF!</definedName>
    <definedName name="EO" hidden="1">[2]SUDBASE!#REF!</definedName>
    <definedName name="EV__LASTREFTIME__" hidden="1">39622.6580902778</definedName>
    <definedName name="EV__LASTREFTIME___1" hidden="1">39696.5797569444</definedName>
    <definedName name="Excel_BuiltIn_Print_Titles_2" localSheetId="4">'[1]GRAND BUDGET'!#REF!</definedName>
    <definedName name="Excel_BuiltIn_Print_Titles_2" localSheetId="11">'[1]GRAND BUDGET'!#REF!</definedName>
    <definedName name="Excel_BuiltIn_Print_Titles_2" localSheetId="12">'[1]GRAND BUDGET'!#REF!</definedName>
    <definedName name="Excel_BuiltIn_Print_Titles_2" localSheetId="13">'[1]GRAND BUDGET'!#REF!</definedName>
    <definedName name="Excel_BuiltIn_Print_Titles_2" localSheetId="14">'[1]GRAND BUDGET'!#REF!</definedName>
    <definedName name="Excel_BuiltIn_Print_Titles_2" localSheetId="15">'[1]GRAND BUDGET'!#REF!</definedName>
    <definedName name="Excel_BuiltIn_Print_Titles_2" localSheetId="16">'[1]GRAND BUDGET'!#REF!</definedName>
    <definedName name="Excel_BuiltIn_Print_Titles_2" localSheetId="17">'[1]GRAND BUDGET'!#REF!</definedName>
    <definedName name="Excel_BuiltIn_Print_Titles_2" localSheetId="18">'[1]GRAND BUDGET'!#REF!</definedName>
    <definedName name="Excel_BuiltIn_Print_Titles_2" localSheetId="5">'[1]GRAND BUDGET'!#REF!</definedName>
    <definedName name="Excel_BuiltIn_Print_Titles_2" localSheetId="6">'[1]GRAND BUDGET'!#REF!</definedName>
    <definedName name="Excel_BuiltIn_Print_Titles_2" localSheetId="7">'[1]GRAND BUDGET'!#REF!</definedName>
    <definedName name="Excel_BuiltIn_Print_Titles_2" localSheetId="8">'[1]GRAND BUDGET'!#REF!</definedName>
    <definedName name="Excel_BuiltIn_Print_Titles_2" localSheetId="9">'[1]GRAND BUDGET'!#REF!</definedName>
    <definedName name="Excel_BuiltIn_Print_Titles_2" localSheetId="10">'[1]GRAND BUDGET'!#REF!</definedName>
    <definedName name="Excel_BuiltIn_Print_Titles_2">'[1]GRAND BUDGET'!#REF!</definedName>
    <definedName name="FP_TOTAL" localSheetId="18">#REF!</definedName>
    <definedName name="FP_TOTAL">#REF!</definedName>
    <definedName name="hygien" localSheetId="11" hidden="1">{"Yr1",#N/A,FALSE,"Budget Detail";"Yr2",#N/A,FALSE,"Budget Detail";"Yr3",#N/A,FALSE,"Budget Detail";"Yr4",#N/A,FALSE,"Budget Detail";"Yr5",#N/A,FALSE,"Budget Detail";"Total",#N/A,FALSE,"Budget Detail"}</definedName>
    <definedName name="hygien" localSheetId="12" hidden="1">{"Yr1",#N/A,FALSE,"Budget Detail";"Yr2",#N/A,FALSE,"Budget Detail";"Yr3",#N/A,FALSE,"Budget Detail";"Yr4",#N/A,FALSE,"Budget Detail";"Yr5",#N/A,FALSE,"Budget Detail";"Total",#N/A,FALSE,"Budget Detail"}</definedName>
    <definedName name="hygien" localSheetId="13" hidden="1">{"Yr1",#N/A,FALSE,"Budget Detail";"Yr2",#N/A,FALSE,"Budget Detail";"Yr3",#N/A,FALSE,"Budget Detail";"Yr4",#N/A,FALSE,"Budget Detail";"Yr5",#N/A,FALSE,"Budget Detail";"Total",#N/A,FALSE,"Budget Detail"}</definedName>
    <definedName name="hygien" localSheetId="14" hidden="1">{"Yr1",#N/A,FALSE,"Budget Detail";"Yr2",#N/A,FALSE,"Budget Detail";"Yr3",#N/A,FALSE,"Budget Detail";"Yr4",#N/A,FALSE,"Budget Detail";"Yr5",#N/A,FALSE,"Budget Detail";"Total",#N/A,FALSE,"Budget Detail"}</definedName>
    <definedName name="hygien" localSheetId="15" hidden="1">{"Yr1",#N/A,FALSE,"Budget Detail";"Yr2",#N/A,FALSE,"Budget Detail";"Yr3",#N/A,FALSE,"Budget Detail";"Yr4",#N/A,FALSE,"Budget Detail";"Yr5",#N/A,FALSE,"Budget Detail";"Total",#N/A,FALSE,"Budget Detail"}</definedName>
    <definedName name="hygien" localSheetId="16" hidden="1">{"Yr1",#N/A,FALSE,"Budget Detail";"Yr2",#N/A,FALSE,"Budget Detail";"Yr3",#N/A,FALSE,"Budget Detail";"Yr4",#N/A,FALSE,"Budget Detail";"Yr5",#N/A,FALSE,"Budget Detail";"Total",#N/A,FALSE,"Budget Detail"}</definedName>
    <definedName name="hygien" localSheetId="17" hidden="1">{"Yr1",#N/A,FALSE,"Budget Detail";"Yr2",#N/A,FALSE,"Budget Detail";"Yr3",#N/A,FALSE,"Budget Detail";"Yr4",#N/A,FALSE,"Budget Detail";"Yr5",#N/A,FALSE,"Budget Detail";"Total",#N/A,FALSE,"Budget Detail"}</definedName>
    <definedName name="hygien" localSheetId="18" hidden="1">{"Yr1",#N/A,FALSE,"Budget Detail";"Yr2",#N/A,FALSE,"Budget Detail";"Yr3",#N/A,FALSE,"Budget Detail";"Yr4",#N/A,FALSE,"Budget Detail";"Yr5",#N/A,FALSE,"Budget Detail";"Total",#N/A,FALSE,"Budget Detail"}</definedName>
    <definedName name="hygien" localSheetId="5" hidden="1">{"Yr1",#N/A,FALSE,"Budget Detail";"Yr2",#N/A,FALSE,"Budget Detail";"Yr3",#N/A,FALSE,"Budget Detail";"Yr4",#N/A,FALSE,"Budget Detail";"Yr5",#N/A,FALSE,"Budget Detail";"Total",#N/A,FALSE,"Budget Detail"}</definedName>
    <definedName name="hygien" localSheetId="6" hidden="1">{"Yr1",#N/A,FALSE,"Budget Detail";"Yr2",#N/A,FALSE,"Budget Detail";"Yr3",#N/A,FALSE,"Budget Detail";"Yr4",#N/A,FALSE,"Budget Detail";"Yr5",#N/A,FALSE,"Budget Detail";"Total",#N/A,FALSE,"Budget Detail"}</definedName>
    <definedName name="hygien" localSheetId="7" hidden="1">{"Yr1",#N/A,FALSE,"Budget Detail";"Yr2",#N/A,FALSE,"Budget Detail";"Yr3",#N/A,FALSE,"Budget Detail";"Yr4",#N/A,FALSE,"Budget Detail";"Yr5",#N/A,FALSE,"Budget Detail";"Total",#N/A,FALSE,"Budget Detail"}</definedName>
    <definedName name="hygien" localSheetId="8" hidden="1">{"Yr1",#N/A,FALSE,"Budget Detail";"Yr2",#N/A,FALSE,"Budget Detail";"Yr3",#N/A,FALSE,"Budget Detail";"Yr4",#N/A,FALSE,"Budget Detail";"Yr5",#N/A,FALSE,"Budget Detail";"Total",#N/A,FALSE,"Budget Detail"}</definedName>
    <definedName name="hygien" localSheetId="9" hidden="1">{"Yr1",#N/A,FALSE,"Budget Detail";"Yr2",#N/A,FALSE,"Budget Detail";"Yr3",#N/A,FALSE,"Budget Detail";"Yr4",#N/A,FALSE,"Budget Detail";"Yr5",#N/A,FALSE,"Budget Detail";"Total",#N/A,FALSE,"Budget Detail"}</definedName>
    <definedName name="hygien" localSheetId="10" hidden="1">{"Yr1",#N/A,FALSE,"Budget Detail";"Yr2",#N/A,FALSE,"Budget Detail";"Yr3",#N/A,FALSE,"Budget Detail";"Yr4",#N/A,FALSE,"Budget Detail";"Yr5",#N/A,FALSE,"Budget Detail";"Total",#N/A,FALSE,"Budget Detail"}</definedName>
    <definedName name="hygien" hidden="1">{"Yr1",#N/A,FALSE,"Budget Detail";"Yr2",#N/A,FALSE,"Budget Detail";"Yr3",#N/A,FALSE,"Budget Detail";"Yr4",#N/A,FALSE,"Budget Detail";"Yr5",#N/A,FALSE,"Budget Detail";"Total",#N/A,FALSE,"Budget Detail"}</definedName>
    <definedName name="In_Stock_Qty">[5]!Table114[In Stock Qty]</definedName>
    <definedName name="jk" localSheetId="11" hidden="1">{#N/A,#N/A,FALSE,"Benefits 01-06"}</definedName>
    <definedName name="jk" localSheetId="12" hidden="1">{#N/A,#N/A,FALSE,"Benefits 01-06"}</definedName>
    <definedName name="jk" localSheetId="13" hidden="1">{#N/A,#N/A,FALSE,"Benefits 01-06"}</definedName>
    <definedName name="jk" localSheetId="14" hidden="1">{#N/A,#N/A,FALSE,"Benefits 01-06"}</definedName>
    <definedName name="jk" localSheetId="15" hidden="1">{#N/A,#N/A,FALSE,"Benefits 01-06"}</definedName>
    <definedName name="jk" localSheetId="16" hidden="1">{#N/A,#N/A,FALSE,"Benefits 01-06"}</definedName>
    <definedName name="jk" localSheetId="17" hidden="1">{#N/A,#N/A,FALSE,"Benefits 01-06"}</definedName>
    <definedName name="jk" localSheetId="18" hidden="1">{#N/A,#N/A,FALSE,"Benefits 01-06"}</definedName>
    <definedName name="jk" localSheetId="5" hidden="1">{#N/A,#N/A,FALSE,"Benefits 01-06"}</definedName>
    <definedName name="jk" localSheetId="6" hidden="1">{#N/A,#N/A,FALSE,"Benefits 01-06"}</definedName>
    <definedName name="jk" localSheetId="7" hidden="1">{#N/A,#N/A,FALSE,"Benefits 01-06"}</definedName>
    <definedName name="jk" localSheetId="8" hidden="1">{#N/A,#N/A,FALSE,"Benefits 01-06"}</definedName>
    <definedName name="jk" localSheetId="9" hidden="1">{#N/A,#N/A,FALSE,"Benefits 01-06"}</definedName>
    <definedName name="jk" localSheetId="10" hidden="1">{#N/A,#N/A,FALSE,"Benefits 01-06"}</definedName>
    <definedName name="jk" hidden="1">{#N/A,#N/A,FALSE,"Benefits 01-06"}</definedName>
    <definedName name="jkl" localSheetId="11" hidden="1">{"Yr1",#N/A,FALSE,"Budget Detail";"Yr2",#N/A,FALSE,"Budget Detail";"Yr3",#N/A,FALSE,"Budget Detail";"Yr4",#N/A,FALSE,"Budget Detail";"Yr5",#N/A,FALSE,"Budget Detail";"Total",#N/A,FALSE,"Budget Detail"}</definedName>
    <definedName name="jkl" localSheetId="12" hidden="1">{"Yr1",#N/A,FALSE,"Budget Detail";"Yr2",#N/A,FALSE,"Budget Detail";"Yr3",#N/A,FALSE,"Budget Detail";"Yr4",#N/A,FALSE,"Budget Detail";"Yr5",#N/A,FALSE,"Budget Detail";"Total",#N/A,FALSE,"Budget Detail"}</definedName>
    <definedName name="jkl" localSheetId="13" hidden="1">{"Yr1",#N/A,FALSE,"Budget Detail";"Yr2",#N/A,FALSE,"Budget Detail";"Yr3",#N/A,FALSE,"Budget Detail";"Yr4",#N/A,FALSE,"Budget Detail";"Yr5",#N/A,FALSE,"Budget Detail";"Total",#N/A,FALSE,"Budget Detail"}</definedName>
    <definedName name="jkl" localSheetId="14" hidden="1">{"Yr1",#N/A,FALSE,"Budget Detail";"Yr2",#N/A,FALSE,"Budget Detail";"Yr3",#N/A,FALSE,"Budget Detail";"Yr4",#N/A,FALSE,"Budget Detail";"Yr5",#N/A,FALSE,"Budget Detail";"Total",#N/A,FALSE,"Budget Detail"}</definedName>
    <definedName name="jkl" localSheetId="15" hidden="1">{"Yr1",#N/A,FALSE,"Budget Detail";"Yr2",#N/A,FALSE,"Budget Detail";"Yr3",#N/A,FALSE,"Budget Detail";"Yr4",#N/A,FALSE,"Budget Detail";"Yr5",#N/A,FALSE,"Budget Detail";"Total",#N/A,FALSE,"Budget Detail"}</definedName>
    <definedName name="jkl" localSheetId="16" hidden="1">{"Yr1",#N/A,FALSE,"Budget Detail";"Yr2",#N/A,FALSE,"Budget Detail";"Yr3",#N/A,FALSE,"Budget Detail";"Yr4",#N/A,FALSE,"Budget Detail";"Yr5",#N/A,FALSE,"Budget Detail";"Total",#N/A,FALSE,"Budget Detail"}</definedName>
    <definedName name="jkl" localSheetId="17" hidden="1">{"Yr1",#N/A,FALSE,"Budget Detail";"Yr2",#N/A,FALSE,"Budget Detail";"Yr3",#N/A,FALSE,"Budget Detail";"Yr4",#N/A,FALSE,"Budget Detail";"Yr5",#N/A,FALSE,"Budget Detail";"Total",#N/A,FALSE,"Budget Detail"}</definedName>
    <definedName name="jkl" localSheetId="18" hidden="1">{"Yr1",#N/A,FALSE,"Budget Detail";"Yr2",#N/A,FALSE,"Budget Detail";"Yr3",#N/A,FALSE,"Budget Detail";"Yr4",#N/A,FALSE,"Budget Detail";"Yr5",#N/A,FALSE,"Budget Detail";"Total",#N/A,FALSE,"Budget Detail"}</definedName>
    <definedName name="jkl" localSheetId="5" hidden="1">{"Yr1",#N/A,FALSE,"Budget Detail";"Yr2",#N/A,FALSE,"Budget Detail";"Yr3",#N/A,FALSE,"Budget Detail";"Yr4",#N/A,FALSE,"Budget Detail";"Yr5",#N/A,FALSE,"Budget Detail";"Total",#N/A,FALSE,"Budget Detail"}</definedName>
    <definedName name="jkl" localSheetId="6" hidden="1">{"Yr1",#N/A,FALSE,"Budget Detail";"Yr2",#N/A,FALSE,"Budget Detail";"Yr3",#N/A,FALSE,"Budget Detail";"Yr4",#N/A,FALSE,"Budget Detail";"Yr5",#N/A,FALSE,"Budget Detail";"Total",#N/A,FALSE,"Budget Detail"}</definedName>
    <definedName name="jkl" localSheetId="7" hidden="1">{"Yr1",#N/A,FALSE,"Budget Detail";"Yr2",#N/A,FALSE,"Budget Detail";"Yr3",#N/A,FALSE,"Budget Detail";"Yr4",#N/A,FALSE,"Budget Detail";"Yr5",#N/A,FALSE,"Budget Detail";"Total",#N/A,FALSE,"Budget Detail"}</definedName>
    <definedName name="jkl" localSheetId="8" hidden="1">{"Yr1",#N/A,FALSE,"Budget Detail";"Yr2",#N/A,FALSE,"Budget Detail";"Yr3",#N/A,FALSE,"Budget Detail";"Yr4",#N/A,FALSE,"Budget Detail";"Yr5",#N/A,FALSE,"Budget Detail";"Total",#N/A,FALSE,"Budget Detail"}</definedName>
    <definedName name="jkl" localSheetId="9" hidden="1">{"Yr1",#N/A,FALSE,"Budget Detail";"Yr2",#N/A,FALSE,"Budget Detail";"Yr3",#N/A,FALSE,"Budget Detail";"Yr4",#N/A,FALSE,"Budget Detail";"Yr5",#N/A,FALSE,"Budget Detail";"Total",#N/A,FALSE,"Budget Detail"}</definedName>
    <definedName name="jkl" localSheetId="10" hidden="1">{"Yr1",#N/A,FALSE,"Budget Detail";"Yr2",#N/A,FALSE,"Budget Detail";"Yr3",#N/A,FALSE,"Budget Detail";"Yr4",#N/A,FALSE,"Budget Detail";"Yr5",#N/A,FALSE,"Budget Detail";"Total",#N/A,FALSE,"Budget Detail"}</definedName>
    <definedName name="jkl" hidden="1">{"Yr1",#N/A,FALSE,"Budget Detail";"Yr2",#N/A,FALSE,"Budget Detail";"Yr3",#N/A,FALSE,"Budget Detail";"Yr4",#N/A,FALSE,"Budget Detail";"Yr5",#N/A,FALSE,"Budget Detail";"Total",#N/A,FALSE,"Budget Detail"}</definedName>
    <definedName name="Latrine" localSheetId="11" hidden="1">{"Yr1",#N/A,FALSE,"Budget Detail";"Yr2",#N/A,FALSE,"Budget Detail";"Yr3",#N/A,FALSE,"Budget Detail";"Yr4",#N/A,FALSE,"Budget Detail";"Yr5",#N/A,FALSE,"Budget Detail";"Total",#N/A,FALSE,"Budget Detail"}</definedName>
    <definedName name="Latrine" localSheetId="12" hidden="1">{"Yr1",#N/A,FALSE,"Budget Detail";"Yr2",#N/A,FALSE,"Budget Detail";"Yr3",#N/A,FALSE,"Budget Detail";"Yr4",#N/A,FALSE,"Budget Detail";"Yr5",#N/A,FALSE,"Budget Detail";"Total",#N/A,FALSE,"Budget Detail"}</definedName>
    <definedName name="Latrine" localSheetId="13" hidden="1">{"Yr1",#N/A,FALSE,"Budget Detail";"Yr2",#N/A,FALSE,"Budget Detail";"Yr3",#N/A,FALSE,"Budget Detail";"Yr4",#N/A,FALSE,"Budget Detail";"Yr5",#N/A,FALSE,"Budget Detail";"Total",#N/A,FALSE,"Budget Detail"}</definedName>
    <definedName name="Latrine" localSheetId="14" hidden="1">{"Yr1",#N/A,FALSE,"Budget Detail";"Yr2",#N/A,FALSE,"Budget Detail";"Yr3",#N/A,FALSE,"Budget Detail";"Yr4",#N/A,FALSE,"Budget Detail";"Yr5",#N/A,FALSE,"Budget Detail";"Total",#N/A,FALSE,"Budget Detail"}</definedName>
    <definedName name="Latrine" localSheetId="15" hidden="1">{"Yr1",#N/A,FALSE,"Budget Detail";"Yr2",#N/A,FALSE,"Budget Detail";"Yr3",#N/A,FALSE,"Budget Detail";"Yr4",#N/A,FALSE,"Budget Detail";"Yr5",#N/A,FALSE,"Budget Detail";"Total",#N/A,FALSE,"Budget Detail"}</definedName>
    <definedName name="Latrine" localSheetId="16" hidden="1">{"Yr1",#N/A,FALSE,"Budget Detail";"Yr2",#N/A,FALSE,"Budget Detail";"Yr3",#N/A,FALSE,"Budget Detail";"Yr4",#N/A,FALSE,"Budget Detail";"Yr5",#N/A,FALSE,"Budget Detail";"Total",#N/A,FALSE,"Budget Detail"}</definedName>
    <definedName name="Latrine" localSheetId="17" hidden="1">{"Yr1",#N/A,FALSE,"Budget Detail";"Yr2",#N/A,FALSE,"Budget Detail";"Yr3",#N/A,FALSE,"Budget Detail";"Yr4",#N/A,FALSE,"Budget Detail";"Yr5",#N/A,FALSE,"Budget Detail";"Total",#N/A,FALSE,"Budget Detail"}</definedName>
    <definedName name="Latrine" localSheetId="18" hidden="1">{"Yr1",#N/A,FALSE,"Budget Detail";"Yr2",#N/A,FALSE,"Budget Detail";"Yr3",#N/A,FALSE,"Budget Detail";"Yr4",#N/A,FALSE,"Budget Detail";"Yr5",#N/A,FALSE,"Budget Detail";"Total",#N/A,FALSE,"Budget Detail"}</definedName>
    <definedName name="Latrine" localSheetId="5" hidden="1">{"Yr1",#N/A,FALSE,"Budget Detail";"Yr2",#N/A,FALSE,"Budget Detail";"Yr3",#N/A,FALSE,"Budget Detail";"Yr4",#N/A,FALSE,"Budget Detail";"Yr5",#N/A,FALSE,"Budget Detail";"Total",#N/A,FALSE,"Budget Detail"}</definedName>
    <definedName name="Latrine" localSheetId="6" hidden="1">{"Yr1",#N/A,FALSE,"Budget Detail";"Yr2",#N/A,FALSE,"Budget Detail";"Yr3",#N/A,FALSE,"Budget Detail";"Yr4",#N/A,FALSE,"Budget Detail";"Yr5",#N/A,FALSE,"Budget Detail";"Total",#N/A,FALSE,"Budget Detail"}</definedName>
    <definedName name="Latrine" localSheetId="7" hidden="1">{"Yr1",#N/A,FALSE,"Budget Detail";"Yr2",#N/A,FALSE,"Budget Detail";"Yr3",#N/A,FALSE,"Budget Detail";"Yr4",#N/A,FALSE,"Budget Detail";"Yr5",#N/A,FALSE,"Budget Detail";"Total",#N/A,FALSE,"Budget Detail"}</definedName>
    <definedName name="Latrine" localSheetId="8" hidden="1">{"Yr1",#N/A,FALSE,"Budget Detail";"Yr2",#N/A,FALSE,"Budget Detail";"Yr3",#N/A,FALSE,"Budget Detail";"Yr4",#N/A,FALSE,"Budget Detail";"Yr5",#N/A,FALSE,"Budget Detail";"Total",#N/A,FALSE,"Budget Detail"}</definedName>
    <definedName name="Latrine" localSheetId="9" hidden="1">{"Yr1",#N/A,FALSE,"Budget Detail";"Yr2",#N/A,FALSE,"Budget Detail";"Yr3",#N/A,FALSE,"Budget Detail";"Yr4",#N/A,FALSE,"Budget Detail";"Yr5",#N/A,FALSE,"Budget Detail";"Total",#N/A,FALSE,"Budget Detail"}</definedName>
    <definedName name="Latrine" localSheetId="10" hidden="1">{"Yr1",#N/A,FALSE,"Budget Detail";"Yr2",#N/A,FALSE,"Budget Detail";"Yr3",#N/A,FALSE,"Budget Detail";"Yr4",#N/A,FALSE,"Budget Detail";"Yr5",#N/A,FALSE,"Budget Detail";"Total",#N/A,FALSE,"Budget Detail"}</definedName>
    <definedName name="Latrine" hidden="1">{"Yr1",#N/A,FALSE,"Budget Detail";"Yr2",#N/A,FALSE,"Budget Detail";"Yr3",#N/A,FALSE,"Budget Detail";"Yr4",#N/A,FALSE,"Budget Detail";"Yr5",#N/A,FALSE,"Budget Detail";"Total",#N/A,FALSE,"Budget Detail"}</definedName>
    <definedName name="MaterialGross_Wt">[5]!Table16[Gross Wt]</definedName>
    <definedName name="MaterialItemNumber">[5]!Table16[Material]</definedName>
    <definedName name="MaterialVolume">[5]!Table16[Volume]</definedName>
    <definedName name="Method" localSheetId="11" hidden="1">{"Yr1",#N/A,FALSE,"Budget Detail";"Yr2",#N/A,FALSE,"Budget Detail";"Yr3",#N/A,FALSE,"Budget Detail";"Yr4",#N/A,FALSE,"Budget Detail";"Yr5",#N/A,FALSE,"Budget Detail";"Total",#N/A,FALSE,"Budget Detail"}</definedName>
    <definedName name="Method" localSheetId="12" hidden="1">{"Yr1",#N/A,FALSE,"Budget Detail";"Yr2",#N/A,FALSE,"Budget Detail";"Yr3",#N/A,FALSE,"Budget Detail";"Yr4",#N/A,FALSE,"Budget Detail";"Yr5",#N/A,FALSE,"Budget Detail";"Total",#N/A,FALSE,"Budget Detail"}</definedName>
    <definedName name="Method" localSheetId="13" hidden="1">{"Yr1",#N/A,FALSE,"Budget Detail";"Yr2",#N/A,FALSE,"Budget Detail";"Yr3",#N/A,FALSE,"Budget Detail";"Yr4",#N/A,FALSE,"Budget Detail";"Yr5",#N/A,FALSE,"Budget Detail";"Total",#N/A,FALSE,"Budget Detail"}</definedName>
    <definedName name="Method" localSheetId="14" hidden="1">{"Yr1",#N/A,FALSE,"Budget Detail";"Yr2",#N/A,FALSE,"Budget Detail";"Yr3",#N/A,FALSE,"Budget Detail";"Yr4",#N/A,FALSE,"Budget Detail";"Yr5",#N/A,FALSE,"Budget Detail";"Total",#N/A,FALSE,"Budget Detail"}</definedName>
    <definedName name="Method" localSheetId="15" hidden="1">{"Yr1",#N/A,FALSE,"Budget Detail";"Yr2",#N/A,FALSE,"Budget Detail";"Yr3",#N/A,FALSE,"Budget Detail";"Yr4",#N/A,FALSE,"Budget Detail";"Yr5",#N/A,FALSE,"Budget Detail";"Total",#N/A,FALSE,"Budget Detail"}</definedName>
    <definedName name="Method" localSheetId="16" hidden="1">{"Yr1",#N/A,FALSE,"Budget Detail";"Yr2",#N/A,FALSE,"Budget Detail";"Yr3",#N/A,FALSE,"Budget Detail";"Yr4",#N/A,FALSE,"Budget Detail";"Yr5",#N/A,FALSE,"Budget Detail";"Total",#N/A,FALSE,"Budget Detail"}</definedName>
    <definedName name="Method" localSheetId="17" hidden="1">{"Yr1",#N/A,FALSE,"Budget Detail";"Yr2",#N/A,FALSE,"Budget Detail";"Yr3",#N/A,FALSE,"Budget Detail";"Yr4",#N/A,FALSE,"Budget Detail";"Yr5",#N/A,FALSE,"Budget Detail";"Total",#N/A,FALSE,"Budget Detail"}</definedName>
    <definedName name="Method" localSheetId="18" hidden="1">{"Yr1",#N/A,FALSE,"Budget Detail";"Yr2",#N/A,FALSE,"Budget Detail";"Yr3",#N/A,FALSE,"Budget Detail";"Yr4",#N/A,FALSE,"Budget Detail";"Yr5",#N/A,FALSE,"Budget Detail";"Total",#N/A,FALSE,"Budget Detail"}</definedName>
    <definedName name="Method" localSheetId="5" hidden="1">{"Yr1",#N/A,FALSE,"Budget Detail";"Yr2",#N/A,FALSE,"Budget Detail";"Yr3",#N/A,FALSE,"Budget Detail";"Yr4",#N/A,FALSE,"Budget Detail";"Yr5",#N/A,FALSE,"Budget Detail";"Total",#N/A,FALSE,"Budget Detail"}</definedName>
    <definedName name="Method" localSheetId="6" hidden="1">{"Yr1",#N/A,FALSE,"Budget Detail";"Yr2",#N/A,FALSE,"Budget Detail";"Yr3",#N/A,FALSE,"Budget Detail";"Yr4",#N/A,FALSE,"Budget Detail";"Yr5",#N/A,FALSE,"Budget Detail";"Total",#N/A,FALSE,"Budget Detail"}</definedName>
    <definedName name="Method" localSheetId="7" hidden="1">{"Yr1",#N/A,FALSE,"Budget Detail";"Yr2",#N/A,FALSE,"Budget Detail";"Yr3",#N/A,FALSE,"Budget Detail";"Yr4",#N/A,FALSE,"Budget Detail";"Yr5",#N/A,FALSE,"Budget Detail";"Total",#N/A,FALSE,"Budget Detail"}</definedName>
    <definedName name="Method" localSheetId="8" hidden="1">{"Yr1",#N/A,FALSE,"Budget Detail";"Yr2",#N/A,FALSE,"Budget Detail";"Yr3",#N/A,FALSE,"Budget Detail";"Yr4",#N/A,FALSE,"Budget Detail";"Yr5",#N/A,FALSE,"Budget Detail";"Total",#N/A,FALSE,"Budget Detail"}</definedName>
    <definedName name="Method" localSheetId="9" hidden="1">{"Yr1",#N/A,FALSE,"Budget Detail";"Yr2",#N/A,FALSE,"Budget Detail";"Yr3",#N/A,FALSE,"Budget Detail";"Yr4",#N/A,FALSE,"Budget Detail";"Yr5",#N/A,FALSE,"Budget Detail";"Total",#N/A,FALSE,"Budget Detail"}</definedName>
    <definedName name="Method" localSheetId="10" hidden="1">{"Yr1",#N/A,FALSE,"Budget Detail";"Yr2",#N/A,FALSE,"Budget Detail";"Yr3",#N/A,FALSE,"Budget Detail";"Yr4",#N/A,FALSE,"Budget Detail";"Yr5",#N/A,FALSE,"Budget Detail";"Total",#N/A,FALSE,"Budget Detail"}</definedName>
    <definedName name="Method" hidden="1">{"Yr1",#N/A,FALSE,"Budget Detail";"Yr2",#N/A,FALSE,"Budget Detail";"Yr3",#N/A,FALSE,"Budget Detail";"Yr4",#N/A,FALSE,"Budget Detail";"Yr5",#N/A,FALSE,"Budget Detail";"Total",#N/A,FALSE,"Budget Detail"}</definedName>
    <definedName name="MvtPop">'[4]Param Tx'!$K$2</definedName>
    <definedName name="n_2">[6]Translation!$C$40</definedName>
    <definedName name="nb" localSheetId="11" hidden="1">{"Yr1",#N/A,FALSE,"Budget Detail";"Yr2",#N/A,FALSE,"Budget Detail";"Yr3",#N/A,FALSE,"Budget Detail";"Yr4",#N/A,FALSE,"Budget Detail";"Yr5",#N/A,FALSE,"Budget Detail";"Total",#N/A,FALSE,"Budget Detail"}</definedName>
    <definedName name="nb" localSheetId="12" hidden="1">{"Yr1",#N/A,FALSE,"Budget Detail";"Yr2",#N/A,FALSE,"Budget Detail";"Yr3",#N/A,FALSE,"Budget Detail";"Yr4",#N/A,FALSE,"Budget Detail";"Yr5",#N/A,FALSE,"Budget Detail";"Total",#N/A,FALSE,"Budget Detail"}</definedName>
    <definedName name="nb" localSheetId="13" hidden="1">{"Yr1",#N/A,FALSE,"Budget Detail";"Yr2",#N/A,FALSE,"Budget Detail";"Yr3",#N/A,FALSE,"Budget Detail";"Yr4",#N/A,FALSE,"Budget Detail";"Yr5",#N/A,FALSE,"Budget Detail";"Total",#N/A,FALSE,"Budget Detail"}</definedName>
    <definedName name="nb" localSheetId="14" hidden="1">{"Yr1",#N/A,FALSE,"Budget Detail";"Yr2",#N/A,FALSE,"Budget Detail";"Yr3",#N/A,FALSE,"Budget Detail";"Yr4",#N/A,FALSE,"Budget Detail";"Yr5",#N/A,FALSE,"Budget Detail";"Total",#N/A,FALSE,"Budget Detail"}</definedName>
    <definedName name="nb" localSheetId="15" hidden="1">{"Yr1",#N/A,FALSE,"Budget Detail";"Yr2",#N/A,FALSE,"Budget Detail";"Yr3",#N/A,FALSE,"Budget Detail";"Yr4",#N/A,FALSE,"Budget Detail";"Yr5",#N/A,FALSE,"Budget Detail";"Total",#N/A,FALSE,"Budget Detail"}</definedName>
    <definedName name="nb" localSheetId="16" hidden="1">{"Yr1",#N/A,FALSE,"Budget Detail";"Yr2",#N/A,FALSE,"Budget Detail";"Yr3",#N/A,FALSE,"Budget Detail";"Yr4",#N/A,FALSE,"Budget Detail";"Yr5",#N/A,FALSE,"Budget Detail";"Total",#N/A,FALSE,"Budget Detail"}</definedName>
    <definedName name="nb" localSheetId="17" hidden="1">{"Yr1",#N/A,FALSE,"Budget Detail";"Yr2",#N/A,FALSE,"Budget Detail";"Yr3",#N/A,FALSE,"Budget Detail";"Yr4",#N/A,FALSE,"Budget Detail";"Yr5",#N/A,FALSE,"Budget Detail";"Total",#N/A,FALSE,"Budget Detail"}</definedName>
    <definedName name="nb" localSheetId="18" hidden="1">{"Yr1",#N/A,FALSE,"Budget Detail";"Yr2",#N/A,FALSE,"Budget Detail";"Yr3",#N/A,FALSE,"Budget Detail";"Yr4",#N/A,FALSE,"Budget Detail";"Yr5",#N/A,FALSE,"Budget Detail";"Total",#N/A,FALSE,"Budget Detail"}</definedName>
    <definedName name="nb" localSheetId="5" hidden="1">{"Yr1",#N/A,FALSE,"Budget Detail";"Yr2",#N/A,FALSE,"Budget Detail";"Yr3",#N/A,FALSE,"Budget Detail";"Yr4",#N/A,FALSE,"Budget Detail";"Yr5",#N/A,FALSE,"Budget Detail";"Total",#N/A,FALSE,"Budget Detail"}</definedName>
    <definedName name="nb" localSheetId="6" hidden="1">{"Yr1",#N/A,FALSE,"Budget Detail";"Yr2",#N/A,FALSE,"Budget Detail";"Yr3",#N/A,FALSE,"Budget Detail";"Yr4",#N/A,FALSE,"Budget Detail";"Yr5",#N/A,FALSE,"Budget Detail";"Total",#N/A,FALSE,"Budget Detail"}</definedName>
    <definedName name="nb" localSheetId="7" hidden="1">{"Yr1",#N/A,FALSE,"Budget Detail";"Yr2",#N/A,FALSE,"Budget Detail";"Yr3",#N/A,FALSE,"Budget Detail";"Yr4",#N/A,FALSE,"Budget Detail";"Yr5",#N/A,FALSE,"Budget Detail";"Total",#N/A,FALSE,"Budget Detail"}</definedName>
    <definedName name="nb" localSheetId="8" hidden="1">{"Yr1",#N/A,FALSE,"Budget Detail";"Yr2",#N/A,FALSE,"Budget Detail";"Yr3",#N/A,FALSE,"Budget Detail";"Yr4",#N/A,FALSE,"Budget Detail";"Yr5",#N/A,FALSE,"Budget Detail";"Total",#N/A,FALSE,"Budget Detail"}</definedName>
    <definedName name="nb" localSheetId="9" hidden="1">{"Yr1",#N/A,FALSE,"Budget Detail";"Yr2",#N/A,FALSE,"Budget Detail";"Yr3",#N/A,FALSE,"Budget Detail";"Yr4",#N/A,FALSE,"Budget Detail";"Yr5",#N/A,FALSE,"Budget Detail";"Total",#N/A,FALSE,"Budget Detail"}</definedName>
    <definedName name="nb" localSheetId="10" hidden="1">{"Yr1",#N/A,FALSE,"Budget Detail";"Yr2",#N/A,FALSE,"Budget Detail";"Yr3",#N/A,FALSE,"Budget Detail";"Yr4",#N/A,FALSE,"Budget Detail";"Yr5",#N/A,FALSE,"Budget Detail";"Total",#N/A,FALSE,"Budget Detail"}</definedName>
    <definedName name="nb" hidden="1">{"Yr1",#N/A,FALSE,"Budget Detail";"Yr2",#N/A,FALSE,"Budget Detail";"Yr3",#N/A,FALSE,"Budget Detail";"Yr4",#N/A,FALSE,"Budget Detail";"Yr5",#N/A,FALSE,"Budget Detail";"Total",#N/A,FALSE,"Budget Detail"}</definedName>
    <definedName name="Nom">[7]Liste!$I$5:$I$489</definedName>
    <definedName name="NomFonction">[7]Liste!$I$5:$J$489</definedName>
    <definedName name="OLE_LINK1" localSheetId="0">#N/A</definedName>
    <definedName name="OP_TOTAL" localSheetId="18">#REF!</definedName>
    <definedName name="OP_TOTAL">#REF!</definedName>
    <definedName name="OP_VAR" localSheetId="18">#REF!</definedName>
    <definedName name="OP_VAR">#REF!</definedName>
    <definedName name="OrderedSDItemNumber">[5]!Table215[Material]</definedName>
    <definedName name="OrderedSDSO_Qty">[5]!Table215[SO Qty]</definedName>
    <definedName name="PipeSDSN_Quantity">[5]!Table215[SN Quantity]</definedName>
    <definedName name="PivotPGMItemNumber">'[5]Pivot PGM'!$D$4:$D$2235</definedName>
    <definedName name="PivotPGMSO_Qty">'[5]Pivot PGM'!$F$4:$F$2237</definedName>
    <definedName name="poids1">[8]Score2017!$L$15</definedName>
    <definedName name="poids2">[8]Score2017!$L$16</definedName>
    <definedName name="RDC17SEM31" localSheetId="18">#REF!</definedName>
    <definedName name="RDC17SEM31">#REF!</definedName>
    <definedName name="Rec_d_Qty">[5]!Table10[Rec''d Qty]</definedName>
    <definedName name="ReceiveFromSupplier">[5]!Table10[#Data]</definedName>
    <definedName name="ReceiveItemN0">[5]!Table10[Item N'#]</definedName>
    <definedName name="SDPipe27" localSheetId="18">#REF!</definedName>
    <definedName name="SDPipe27">#REF!</definedName>
    <definedName name="SDPIPEItemCode" localSheetId="18">#REF!</definedName>
    <definedName name="SDPIPEItemCode">#REF!</definedName>
    <definedName name="Section">[7]Liste!$N$4:$N$21</definedName>
    <definedName name="SourceBudget" localSheetId="4">'[9]ICE Budget detaillé '!$AE$11:$AL$691</definedName>
    <definedName name="SourceBudget" localSheetId="11">'[9]ICE Budget detaillé '!$AE$11:$AL$691</definedName>
    <definedName name="SourceBudget" localSheetId="12">'[9]ICE Budget detaillé '!$AE$11:$AL$691</definedName>
    <definedName name="SourceBudget" localSheetId="13">'[9]ICE Budget detaillé '!$AE$11:$AL$691</definedName>
    <definedName name="SourceBudget" localSheetId="14">'[9]ICE Budget detaillé '!$AE$11:$AL$691</definedName>
    <definedName name="SourceBudget" localSheetId="15">'[9]ICE Budget detaillé '!$AE$11:$AL$691</definedName>
    <definedName name="SourceBudget" localSheetId="16">'[9]ICE Budget detaillé '!$AE$11:$AL$691</definedName>
    <definedName name="SourceBudget" localSheetId="17">'[9]ICE Budget detaillé '!$AE$11:$AL$691</definedName>
    <definedName name="SourceBudget" localSheetId="18">'[9]ICE Budget detaillé '!$AE$11:$AL$691</definedName>
    <definedName name="SourceBudget" localSheetId="5">'[9]ICE Budget detaillé '!$AE$11:$AL$691</definedName>
    <definedName name="SourceBudget" localSheetId="6">'[9]ICE Budget detaillé '!$AE$11:$AL$691</definedName>
    <definedName name="SourceBudget" localSheetId="7">'[9]ICE Budget detaillé '!$AE$11:$AL$691</definedName>
    <definedName name="SourceBudget" localSheetId="8">'[9]ICE Budget detaillé '!$AE$11:$AL$691</definedName>
    <definedName name="SourceBudget" localSheetId="9">'[9]ICE Budget detaillé '!$AE$11:$AL$691</definedName>
    <definedName name="SourceBudget" localSheetId="10">'[9]ICE Budget detaillé '!$AE$11:$AL$691</definedName>
    <definedName name="SourceBudget">'ICE Budget detaillé '!$AE$11:$AL$691</definedName>
    <definedName name="SourceBudget2" localSheetId="4">'[9]ICE Budget detaillé '!$AE$11:$AP$691</definedName>
    <definedName name="SourceBudget2" localSheetId="11">'[9]ICE Budget detaillé '!$AE$11:$AP$691</definedName>
    <definedName name="SourceBudget2" localSheetId="12">'[9]ICE Budget detaillé '!$AE$11:$AP$691</definedName>
    <definedName name="SourceBudget2" localSheetId="13">'[9]ICE Budget detaillé '!$AE$11:$AP$691</definedName>
    <definedName name="SourceBudget2" localSheetId="14">'[9]ICE Budget detaillé '!$AE$11:$AP$691</definedName>
    <definedName name="SourceBudget2" localSheetId="15">'[9]ICE Budget detaillé '!$AE$11:$AP$691</definedName>
    <definedName name="SourceBudget2" localSheetId="16">'[9]ICE Budget detaillé '!$AE$11:$AP$691</definedName>
    <definedName name="SourceBudget2" localSheetId="17">'[9]ICE Budget detaillé '!$AE$11:$AP$691</definedName>
    <definedName name="SourceBudget2" localSheetId="18">'[9]ICE Budget detaillé '!$AE$11:$AP$691</definedName>
    <definedName name="SourceBudget2" localSheetId="5">'[9]ICE Budget detaillé '!$AE$11:$AP$691</definedName>
    <definedName name="SourceBudget2" localSheetId="6">'[9]ICE Budget detaillé '!$AE$11:$AP$691</definedName>
    <definedName name="SourceBudget2" localSheetId="7">'[9]ICE Budget detaillé '!$AE$11:$AP$691</definedName>
    <definedName name="SourceBudget2" localSheetId="8">'[9]ICE Budget detaillé '!$AE$11:$AP$691</definedName>
    <definedName name="SourceBudget2" localSheetId="9">'[9]ICE Budget detaillé '!$AE$11:$AP$691</definedName>
    <definedName name="SourceBudget2" localSheetId="10">'[9]ICE Budget detaillé '!$AE$11:$AP$691</definedName>
    <definedName name="SourceBudget2">'ICE Budget detaillé '!$AE$11:$AP$691</definedName>
    <definedName name="Stock_Arrival_Date">[5]!Table114[[#All],[Arrival Date]]</definedName>
    <definedName name="StockItemCode">[5]!Table114[Item N'#]</definedName>
    <definedName name="StockUpdate">[5]!Table114[#Data]</definedName>
    <definedName name="SuividesInspecteursItinérants" localSheetId="4">'[1]Guidance 2010'!#REF!</definedName>
    <definedName name="SuividesInspecteursItinérants" localSheetId="11">'[1]Guidance 2010'!#REF!</definedName>
    <definedName name="SuividesInspecteursItinérants" localSheetId="12">'[1]Guidance 2010'!#REF!</definedName>
    <definedName name="SuividesInspecteursItinérants" localSheetId="13">'[1]Guidance 2010'!#REF!</definedName>
    <definedName name="SuividesInspecteursItinérants" localSheetId="14">'[1]Guidance 2010'!#REF!</definedName>
    <definedName name="SuividesInspecteursItinérants" localSheetId="15">'[1]Guidance 2010'!#REF!</definedName>
    <definedName name="SuividesInspecteursItinérants" localSheetId="16">'[1]Guidance 2010'!#REF!</definedName>
    <definedName name="SuividesInspecteursItinérants" localSheetId="17">'[1]Guidance 2010'!#REF!</definedName>
    <definedName name="SuividesInspecteursItinérants" localSheetId="18">'[1]Guidance 2010'!#REF!</definedName>
    <definedName name="SuividesInspecteursItinérants" localSheetId="5">'[1]Guidance 2010'!#REF!</definedName>
    <definedName name="SuividesInspecteursItinérants" localSheetId="6">'[1]Guidance 2010'!#REF!</definedName>
    <definedName name="SuividesInspecteursItinérants" localSheetId="7">'[1]Guidance 2010'!#REF!</definedName>
    <definedName name="SuividesInspecteursItinérants" localSheetId="8">'[1]Guidance 2010'!#REF!</definedName>
    <definedName name="SuividesInspecteursItinérants" localSheetId="9">'[1]Guidance 2010'!#REF!</definedName>
    <definedName name="SuividesInspecteursItinérants" localSheetId="10">'[1]Guidance 2010'!#REF!</definedName>
    <definedName name="SuividesInspecteursItinérants">'[1]Guidance 2010'!#REF!</definedName>
    <definedName name="Table_IDP">[10]!Table2[#Data]</definedName>
    <definedName name="TabMaterialMaster">[5]!Table16[#Data]</definedName>
    <definedName name="TypeAbsence">[7]Liste!$M$5:$M$16</definedName>
    <definedName name="valuevx">42.314159</definedName>
    <definedName name="warm.mali" localSheetId="11" hidden="1">{"sum",#N/A,FALSE,"Summary";"admin1",#N/A,FALSE,"Admin";"admin2",#N/A,FALSE,"Admin";"admin3",#N/A,FALSE,"Admin";"nat",#N/A,FALSE,"Natugo";"irri1",#N/A,FALSE,"Irrigation";"irri2",#N/A,FALSE,"Irrigation";"oil1",#N/A,FALSE,"Press and Sesame";"oil2",#N/A,FALSE,"Press and Sesame";"stove1",#N/A,FALSE,"Stove";"stove2",#N/A,FALSE,"Stove"}</definedName>
    <definedName name="warm.mali" localSheetId="12" hidden="1">{"sum",#N/A,FALSE,"Summary";"admin1",#N/A,FALSE,"Admin";"admin2",#N/A,FALSE,"Admin";"admin3",#N/A,FALSE,"Admin";"nat",#N/A,FALSE,"Natugo";"irri1",#N/A,FALSE,"Irrigation";"irri2",#N/A,FALSE,"Irrigation";"oil1",#N/A,FALSE,"Press and Sesame";"oil2",#N/A,FALSE,"Press and Sesame";"stove1",#N/A,FALSE,"Stove";"stove2",#N/A,FALSE,"Stove"}</definedName>
    <definedName name="warm.mali" localSheetId="13" hidden="1">{"sum",#N/A,FALSE,"Summary";"admin1",#N/A,FALSE,"Admin";"admin2",#N/A,FALSE,"Admin";"admin3",#N/A,FALSE,"Admin";"nat",#N/A,FALSE,"Natugo";"irri1",#N/A,FALSE,"Irrigation";"irri2",#N/A,FALSE,"Irrigation";"oil1",#N/A,FALSE,"Press and Sesame";"oil2",#N/A,FALSE,"Press and Sesame";"stove1",#N/A,FALSE,"Stove";"stove2",#N/A,FALSE,"Stove"}</definedName>
    <definedName name="warm.mali" localSheetId="14" hidden="1">{"sum",#N/A,FALSE,"Summary";"admin1",#N/A,FALSE,"Admin";"admin2",#N/A,FALSE,"Admin";"admin3",#N/A,FALSE,"Admin";"nat",#N/A,FALSE,"Natugo";"irri1",#N/A,FALSE,"Irrigation";"irri2",#N/A,FALSE,"Irrigation";"oil1",#N/A,FALSE,"Press and Sesame";"oil2",#N/A,FALSE,"Press and Sesame";"stove1",#N/A,FALSE,"Stove";"stove2",#N/A,FALSE,"Stove"}</definedName>
    <definedName name="warm.mali" localSheetId="15" hidden="1">{"sum",#N/A,FALSE,"Summary";"admin1",#N/A,FALSE,"Admin";"admin2",#N/A,FALSE,"Admin";"admin3",#N/A,FALSE,"Admin";"nat",#N/A,FALSE,"Natugo";"irri1",#N/A,FALSE,"Irrigation";"irri2",#N/A,FALSE,"Irrigation";"oil1",#N/A,FALSE,"Press and Sesame";"oil2",#N/A,FALSE,"Press and Sesame";"stove1",#N/A,FALSE,"Stove";"stove2",#N/A,FALSE,"Stove"}</definedName>
    <definedName name="warm.mali" localSheetId="16" hidden="1">{"sum",#N/A,FALSE,"Summary";"admin1",#N/A,FALSE,"Admin";"admin2",#N/A,FALSE,"Admin";"admin3",#N/A,FALSE,"Admin";"nat",#N/A,FALSE,"Natugo";"irri1",#N/A,FALSE,"Irrigation";"irri2",#N/A,FALSE,"Irrigation";"oil1",#N/A,FALSE,"Press and Sesame";"oil2",#N/A,FALSE,"Press and Sesame";"stove1",#N/A,FALSE,"Stove";"stove2",#N/A,FALSE,"Stove"}</definedName>
    <definedName name="warm.mali" localSheetId="17" hidden="1">{"sum",#N/A,FALSE,"Summary";"admin1",#N/A,FALSE,"Admin";"admin2",#N/A,FALSE,"Admin";"admin3",#N/A,FALSE,"Admin";"nat",#N/A,FALSE,"Natugo";"irri1",#N/A,FALSE,"Irrigation";"irri2",#N/A,FALSE,"Irrigation";"oil1",#N/A,FALSE,"Press and Sesame";"oil2",#N/A,FALSE,"Press and Sesame";"stove1",#N/A,FALSE,"Stove";"stove2",#N/A,FALSE,"Stove"}</definedName>
    <definedName name="warm.mali" localSheetId="18" hidden="1">{"sum",#N/A,FALSE,"Summary";"admin1",#N/A,FALSE,"Admin";"admin2",#N/A,FALSE,"Admin";"admin3",#N/A,FALSE,"Admin";"nat",#N/A,FALSE,"Natugo";"irri1",#N/A,FALSE,"Irrigation";"irri2",#N/A,FALSE,"Irrigation";"oil1",#N/A,FALSE,"Press and Sesame";"oil2",#N/A,FALSE,"Press and Sesame";"stove1",#N/A,FALSE,"Stove";"stove2",#N/A,FALSE,"Stove"}</definedName>
    <definedName name="warm.mali" localSheetId="5" hidden="1">{"sum",#N/A,FALSE,"Summary";"admin1",#N/A,FALSE,"Admin";"admin2",#N/A,FALSE,"Admin";"admin3",#N/A,FALSE,"Admin";"nat",#N/A,FALSE,"Natugo";"irri1",#N/A,FALSE,"Irrigation";"irri2",#N/A,FALSE,"Irrigation";"oil1",#N/A,FALSE,"Press and Sesame";"oil2",#N/A,FALSE,"Press and Sesame";"stove1",#N/A,FALSE,"Stove";"stove2",#N/A,FALSE,"Stove"}</definedName>
    <definedName name="warm.mali" localSheetId="6" hidden="1">{"sum",#N/A,FALSE,"Summary";"admin1",#N/A,FALSE,"Admin";"admin2",#N/A,FALSE,"Admin";"admin3",#N/A,FALSE,"Admin";"nat",#N/A,FALSE,"Natugo";"irri1",#N/A,FALSE,"Irrigation";"irri2",#N/A,FALSE,"Irrigation";"oil1",#N/A,FALSE,"Press and Sesame";"oil2",#N/A,FALSE,"Press and Sesame";"stove1",#N/A,FALSE,"Stove";"stove2",#N/A,FALSE,"Stove"}</definedName>
    <definedName name="warm.mali" localSheetId="7" hidden="1">{"sum",#N/A,FALSE,"Summary";"admin1",#N/A,FALSE,"Admin";"admin2",#N/A,FALSE,"Admin";"admin3",#N/A,FALSE,"Admin";"nat",#N/A,FALSE,"Natugo";"irri1",#N/A,FALSE,"Irrigation";"irri2",#N/A,FALSE,"Irrigation";"oil1",#N/A,FALSE,"Press and Sesame";"oil2",#N/A,FALSE,"Press and Sesame";"stove1",#N/A,FALSE,"Stove";"stove2",#N/A,FALSE,"Stove"}</definedName>
    <definedName name="warm.mali" localSheetId="8" hidden="1">{"sum",#N/A,FALSE,"Summary";"admin1",#N/A,FALSE,"Admin";"admin2",#N/A,FALSE,"Admin";"admin3",#N/A,FALSE,"Admin";"nat",#N/A,FALSE,"Natugo";"irri1",#N/A,FALSE,"Irrigation";"irri2",#N/A,FALSE,"Irrigation";"oil1",#N/A,FALSE,"Press and Sesame";"oil2",#N/A,FALSE,"Press and Sesame";"stove1",#N/A,FALSE,"Stove";"stove2",#N/A,FALSE,"Stove"}</definedName>
    <definedName name="warm.mali" localSheetId="9" hidden="1">{"sum",#N/A,FALSE,"Summary";"admin1",#N/A,FALSE,"Admin";"admin2",#N/A,FALSE,"Admin";"admin3",#N/A,FALSE,"Admin";"nat",#N/A,FALSE,"Natugo";"irri1",#N/A,FALSE,"Irrigation";"irri2",#N/A,FALSE,"Irrigation";"oil1",#N/A,FALSE,"Press and Sesame";"oil2",#N/A,FALSE,"Press and Sesame";"stove1",#N/A,FALSE,"Stove";"stove2",#N/A,FALSE,"Stove"}</definedName>
    <definedName name="warm.mali" localSheetId="10" hidden="1">{"sum",#N/A,FALSE,"Summary";"admin1",#N/A,FALSE,"Admin";"admin2",#N/A,FALSE,"Admin";"admin3",#N/A,FALSE,"Admin";"nat",#N/A,FALSE,"Natugo";"irri1",#N/A,FALSE,"Irrigation";"irri2",#N/A,FALSE,"Irrigation";"oil1",#N/A,FALSE,"Press and Sesame";"oil2",#N/A,FALSE,"Press and Sesame";"stove1",#N/A,FALSE,"Stove";"stove2",#N/A,FALSE,"Stove"}</definedName>
    <definedName name="warm.mali" hidden="1">{"sum",#N/A,FALSE,"Summary";"admin1",#N/A,FALSE,"Admin";"admin2",#N/A,FALSE,"Admin";"admin3",#N/A,FALSE,"Admin";"nat",#N/A,FALSE,"Natugo";"irri1",#N/A,FALSE,"Irrigation";"irri2",#N/A,FALSE,"Irrigation";"oil1",#N/A,FALSE,"Press and Sesame";"oil2",#N/A,FALSE,"Press and Sesame";"stove1",#N/A,FALSE,"Stove";"stove2",#N/A,FALSE,"Stove"}</definedName>
    <definedName name="wrn.mali." localSheetId="11" hidden="1">{"sum",#N/A,FALSE,"Summary";"admin1",#N/A,FALSE,"Admin";"admin2",#N/A,FALSE,"Admin";"admin3",#N/A,FALSE,"Admin";"nat",#N/A,FALSE,"Natugo";"irri1",#N/A,FALSE,"Irrigation";"irri2",#N/A,FALSE,"Irrigation";"oil1",#N/A,FALSE,"Press and Sesame";"oil2",#N/A,FALSE,"Press and Sesame";"stove1",#N/A,FALSE,"Stove";"stove2",#N/A,FALSE,"Stove"}</definedName>
    <definedName name="wrn.mali." localSheetId="12" hidden="1">{"sum",#N/A,FALSE,"Summary";"admin1",#N/A,FALSE,"Admin";"admin2",#N/A,FALSE,"Admin";"admin3",#N/A,FALSE,"Admin";"nat",#N/A,FALSE,"Natugo";"irri1",#N/A,FALSE,"Irrigation";"irri2",#N/A,FALSE,"Irrigation";"oil1",#N/A,FALSE,"Press and Sesame";"oil2",#N/A,FALSE,"Press and Sesame";"stove1",#N/A,FALSE,"Stove";"stove2",#N/A,FALSE,"Stove"}</definedName>
    <definedName name="wrn.mali." localSheetId="13" hidden="1">{"sum",#N/A,FALSE,"Summary";"admin1",#N/A,FALSE,"Admin";"admin2",#N/A,FALSE,"Admin";"admin3",#N/A,FALSE,"Admin";"nat",#N/A,FALSE,"Natugo";"irri1",#N/A,FALSE,"Irrigation";"irri2",#N/A,FALSE,"Irrigation";"oil1",#N/A,FALSE,"Press and Sesame";"oil2",#N/A,FALSE,"Press and Sesame";"stove1",#N/A,FALSE,"Stove";"stove2",#N/A,FALSE,"Stove"}</definedName>
    <definedName name="wrn.mali." localSheetId="14" hidden="1">{"sum",#N/A,FALSE,"Summary";"admin1",#N/A,FALSE,"Admin";"admin2",#N/A,FALSE,"Admin";"admin3",#N/A,FALSE,"Admin";"nat",#N/A,FALSE,"Natugo";"irri1",#N/A,FALSE,"Irrigation";"irri2",#N/A,FALSE,"Irrigation";"oil1",#N/A,FALSE,"Press and Sesame";"oil2",#N/A,FALSE,"Press and Sesame";"stove1",#N/A,FALSE,"Stove";"stove2",#N/A,FALSE,"Stove"}</definedName>
    <definedName name="wrn.mali." localSheetId="15" hidden="1">{"sum",#N/A,FALSE,"Summary";"admin1",#N/A,FALSE,"Admin";"admin2",#N/A,FALSE,"Admin";"admin3",#N/A,FALSE,"Admin";"nat",#N/A,FALSE,"Natugo";"irri1",#N/A,FALSE,"Irrigation";"irri2",#N/A,FALSE,"Irrigation";"oil1",#N/A,FALSE,"Press and Sesame";"oil2",#N/A,FALSE,"Press and Sesame";"stove1",#N/A,FALSE,"Stove";"stove2",#N/A,FALSE,"Stove"}</definedName>
    <definedName name="wrn.mali." localSheetId="16" hidden="1">{"sum",#N/A,FALSE,"Summary";"admin1",#N/A,FALSE,"Admin";"admin2",#N/A,FALSE,"Admin";"admin3",#N/A,FALSE,"Admin";"nat",#N/A,FALSE,"Natugo";"irri1",#N/A,FALSE,"Irrigation";"irri2",#N/A,FALSE,"Irrigation";"oil1",#N/A,FALSE,"Press and Sesame";"oil2",#N/A,FALSE,"Press and Sesame";"stove1",#N/A,FALSE,"Stove";"stove2",#N/A,FALSE,"Stove"}</definedName>
    <definedName name="wrn.mali." localSheetId="17" hidden="1">{"sum",#N/A,FALSE,"Summary";"admin1",#N/A,FALSE,"Admin";"admin2",#N/A,FALSE,"Admin";"admin3",#N/A,FALSE,"Admin";"nat",#N/A,FALSE,"Natugo";"irri1",#N/A,FALSE,"Irrigation";"irri2",#N/A,FALSE,"Irrigation";"oil1",#N/A,FALSE,"Press and Sesame";"oil2",#N/A,FALSE,"Press and Sesame";"stove1",#N/A,FALSE,"Stove";"stove2",#N/A,FALSE,"Stove"}</definedName>
    <definedName name="wrn.mali." localSheetId="18" hidden="1">{"sum",#N/A,FALSE,"Summary";"admin1",#N/A,FALSE,"Admin";"admin2",#N/A,FALSE,"Admin";"admin3",#N/A,FALSE,"Admin";"nat",#N/A,FALSE,"Natugo";"irri1",#N/A,FALSE,"Irrigation";"irri2",#N/A,FALSE,"Irrigation";"oil1",#N/A,FALSE,"Press and Sesame";"oil2",#N/A,FALSE,"Press and Sesame";"stove1",#N/A,FALSE,"Stove";"stove2",#N/A,FALSE,"Stove"}</definedName>
    <definedName name="wrn.mali." localSheetId="5" hidden="1">{"sum",#N/A,FALSE,"Summary";"admin1",#N/A,FALSE,"Admin";"admin2",#N/A,FALSE,"Admin";"admin3",#N/A,FALSE,"Admin";"nat",#N/A,FALSE,"Natugo";"irri1",#N/A,FALSE,"Irrigation";"irri2",#N/A,FALSE,"Irrigation";"oil1",#N/A,FALSE,"Press and Sesame";"oil2",#N/A,FALSE,"Press and Sesame";"stove1",#N/A,FALSE,"Stove";"stove2",#N/A,FALSE,"Stove"}</definedName>
    <definedName name="wrn.mali." localSheetId="6" hidden="1">{"sum",#N/A,FALSE,"Summary";"admin1",#N/A,FALSE,"Admin";"admin2",#N/A,FALSE,"Admin";"admin3",#N/A,FALSE,"Admin";"nat",#N/A,FALSE,"Natugo";"irri1",#N/A,FALSE,"Irrigation";"irri2",#N/A,FALSE,"Irrigation";"oil1",#N/A,FALSE,"Press and Sesame";"oil2",#N/A,FALSE,"Press and Sesame";"stove1",#N/A,FALSE,"Stove";"stove2",#N/A,FALSE,"Stove"}</definedName>
    <definedName name="wrn.mali." localSheetId="7" hidden="1">{"sum",#N/A,FALSE,"Summary";"admin1",#N/A,FALSE,"Admin";"admin2",#N/A,FALSE,"Admin";"admin3",#N/A,FALSE,"Admin";"nat",#N/A,FALSE,"Natugo";"irri1",#N/A,FALSE,"Irrigation";"irri2",#N/A,FALSE,"Irrigation";"oil1",#N/A,FALSE,"Press and Sesame";"oil2",#N/A,FALSE,"Press and Sesame";"stove1",#N/A,FALSE,"Stove";"stove2",#N/A,FALSE,"Stove"}</definedName>
    <definedName name="wrn.mali." localSheetId="8" hidden="1">{"sum",#N/A,FALSE,"Summary";"admin1",#N/A,FALSE,"Admin";"admin2",#N/A,FALSE,"Admin";"admin3",#N/A,FALSE,"Admin";"nat",#N/A,FALSE,"Natugo";"irri1",#N/A,FALSE,"Irrigation";"irri2",#N/A,FALSE,"Irrigation";"oil1",#N/A,FALSE,"Press and Sesame";"oil2",#N/A,FALSE,"Press and Sesame";"stove1",#N/A,FALSE,"Stove";"stove2",#N/A,FALSE,"Stove"}</definedName>
    <definedName name="wrn.mali." localSheetId="9" hidden="1">{"sum",#N/A,FALSE,"Summary";"admin1",#N/A,FALSE,"Admin";"admin2",#N/A,FALSE,"Admin";"admin3",#N/A,FALSE,"Admin";"nat",#N/A,FALSE,"Natugo";"irri1",#N/A,FALSE,"Irrigation";"irri2",#N/A,FALSE,"Irrigation";"oil1",#N/A,FALSE,"Press and Sesame";"oil2",#N/A,FALSE,"Press and Sesame";"stove1",#N/A,FALSE,"Stove";"stove2",#N/A,FALSE,"Stove"}</definedName>
    <definedName name="wrn.mali." localSheetId="10" hidden="1">{"sum",#N/A,FALSE,"Summary";"admin1",#N/A,FALSE,"Admin";"admin2",#N/A,FALSE,"Admin";"admin3",#N/A,FALSE,"Admin";"nat",#N/A,FALSE,"Natugo";"irri1",#N/A,FALSE,"Irrigation";"irri2",#N/A,FALSE,"Irrigation";"oil1",#N/A,FALSE,"Press and Sesame";"oil2",#N/A,FALSE,"Press and Sesame";"stove1",#N/A,FALSE,"Stove";"stove2",#N/A,FALSE,"Stove"}</definedName>
    <definedName name="wrn.mali." hidden="1">{"sum",#N/A,FALSE,"Summary";"admin1",#N/A,FALSE,"Admin";"admin2",#N/A,FALSE,"Admin";"admin3",#N/A,FALSE,"Admin";"nat",#N/A,FALSE,"Natugo";"irri1",#N/A,FALSE,"Irrigation";"irri2",#N/A,FALSE,"Irrigation";"oil1",#N/A,FALSE,"Press and Sesame";"oil2",#N/A,FALSE,"Press and Sesame";"stove1",#N/A,FALSE,"Stove";"stove2",#N/A,FALSE,"Stove"}</definedName>
    <definedName name="XYZ" localSheetId="11" hidden="1">{"Yr1",#N/A,FALSE,"Budget Detail";"Yr2",#N/A,FALSE,"Budget Detail";"Yr3",#N/A,FALSE,"Budget Detail";"Yr4",#N/A,FALSE,"Budget Detail";"Yr5",#N/A,FALSE,"Budget Detail";"Total",#N/A,FALSE,"Budget Detail"}</definedName>
    <definedName name="XYZ" localSheetId="12" hidden="1">{"Yr1",#N/A,FALSE,"Budget Detail";"Yr2",#N/A,FALSE,"Budget Detail";"Yr3",#N/A,FALSE,"Budget Detail";"Yr4",#N/A,FALSE,"Budget Detail";"Yr5",#N/A,FALSE,"Budget Detail";"Total",#N/A,FALSE,"Budget Detail"}</definedName>
    <definedName name="XYZ" localSheetId="13" hidden="1">{"Yr1",#N/A,FALSE,"Budget Detail";"Yr2",#N/A,FALSE,"Budget Detail";"Yr3",#N/A,FALSE,"Budget Detail";"Yr4",#N/A,FALSE,"Budget Detail";"Yr5",#N/A,FALSE,"Budget Detail";"Total",#N/A,FALSE,"Budget Detail"}</definedName>
    <definedName name="XYZ" localSheetId="14" hidden="1">{"Yr1",#N/A,FALSE,"Budget Detail";"Yr2",#N/A,FALSE,"Budget Detail";"Yr3",#N/A,FALSE,"Budget Detail";"Yr4",#N/A,FALSE,"Budget Detail";"Yr5",#N/A,FALSE,"Budget Detail";"Total",#N/A,FALSE,"Budget Detail"}</definedName>
    <definedName name="XYZ" localSheetId="15" hidden="1">{"Yr1",#N/A,FALSE,"Budget Detail";"Yr2",#N/A,FALSE,"Budget Detail";"Yr3",#N/A,FALSE,"Budget Detail";"Yr4",#N/A,FALSE,"Budget Detail";"Yr5",#N/A,FALSE,"Budget Detail";"Total",#N/A,FALSE,"Budget Detail"}</definedName>
    <definedName name="XYZ" localSheetId="16" hidden="1">{"Yr1",#N/A,FALSE,"Budget Detail";"Yr2",#N/A,FALSE,"Budget Detail";"Yr3",#N/A,FALSE,"Budget Detail";"Yr4",#N/A,FALSE,"Budget Detail";"Yr5",#N/A,FALSE,"Budget Detail";"Total",#N/A,FALSE,"Budget Detail"}</definedName>
    <definedName name="XYZ" localSheetId="17" hidden="1">{"Yr1",#N/A,FALSE,"Budget Detail";"Yr2",#N/A,FALSE,"Budget Detail";"Yr3",#N/A,FALSE,"Budget Detail";"Yr4",#N/A,FALSE,"Budget Detail";"Yr5",#N/A,FALSE,"Budget Detail";"Total",#N/A,FALSE,"Budget Detail"}</definedName>
    <definedName name="XYZ" localSheetId="18" hidden="1">{"Yr1",#N/A,FALSE,"Budget Detail";"Yr2",#N/A,FALSE,"Budget Detail";"Yr3",#N/A,FALSE,"Budget Detail";"Yr4",#N/A,FALSE,"Budget Detail";"Yr5",#N/A,FALSE,"Budget Detail";"Total",#N/A,FALSE,"Budget Detail"}</definedName>
    <definedName name="XYZ" localSheetId="5" hidden="1">{"Yr1",#N/A,FALSE,"Budget Detail";"Yr2",#N/A,FALSE,"Budget Detail";"Yr3",#N/A,FALSE,"Budget Detail";"Yr4",#N/A,FALSE,"Budget Detail";"Yr5",#N/A,FALSE,"Budget Detail";"Total",#N/A,FALSE,"Budget Detail"}</definedName>
    <definedName name="XYZ" localSheetId="6" hidden="1">{"Yr1",#N/A,FALSE,"Budget Detail";"Yr2",#N/A,FALSE,"Budget Detail";"Yr3",#N/A,FALSE,"Budget Detail";"Yr4",#N/A,FALSE,"Budget Detail";"Yr5",#N/A,FALSE,"Budget Detail";"Total",#N/A,FALSE,"Budget Detail"}</definedName>
    <definedName name="XYZ" localSheetId="7" hidden="1">{"Yr1",#N/A,FALSE,"Budget Detail";"Yr2",#N/A,FALSE,"Budget Detail";"Yr3",#N/A,FALSE,"Budget Detail";"Yr4",#N/A,FALSE,"Budget Detail";"Yr5",#N/A,FALSE,"Budget Detail";"Total",#N/A,FALSE,"Budget Detail"}</definedName>
    <definedName name="XYZ" localSheetId="8" hidden="1">{"Yr1",#N/A,FALSE,"Budget Detail";"Yr2",#N/A,FALSE,"Budget Detail";"Yr3",#N/A,FALSE,"Budget Detail";"Yr4",#N/A,FALSE,"Budget Detail";"Yr5",#N/A,FALSE,"Budget Detail";"Total",#N/A,FALSE,"Budget Detail"}</definedName>
    <definedName name="XYZ" localSheetId="9" hidden="1">{"Yr1",#N/A,FALSE,"Budget Detail";"Yr2",#N/A,FALSE,"Budget Detail";"Yr3",#N/A,FALSE,"Budget Detail";"Yr4",#N/A,FALSE,"Budget Detail";"Yr5",#N/A,FALSE,"Budget Detail";"Total",#N/A,FALSE,"Budget Detail"}</definedName>
    <definedName name="XYZ" localSheetId="10" hidden="1">{"Yr1",#N/A,FALSE,"Budget Detail";"Yr2",#N/A,FALSE,"Budget Detail";"Yr3",#N/A,FALSE,"Budget Detail";"Yr4",#N/A,FALSE,"Budget Detail";"Yr5",#N/A,FALSE,"Budget Detail";"Total",#N/A,FALSE,"Budget Detail"}</definedName>
    <definedName name="XYZ" hidden="1">{"Yr1",#N/A,FALSE,"Budget Detail";"Yr2",#N/A,FALSE,"Budget Detail";"Yr3",#N/A,FALSE,"Budget Detail";"Yr4",#N/A,FALSE,"Budget Detail";"Yr5",#N/A,FALSE,"Budget Detail";"Total",#N/A,FALSE,"Budget Detail"}</definedName>
    <definedName name="Yasmine" localSheetId="18" hidden="1">#REF!</definedName>
    <definedName name="Yasmine" hidden="1">#REF!</definedName>
    <definedName name="yo" localSheetId="18" hidden="1">[2]SUDBASE!#REF!</definedName>
    <definedName name="yo" hidden="1">[2]SUDBASE!#REF!</definedName>
    <definedName name="_xlnm.Print_Area" localSheetId="1">#N/A</definedName>
    <definedName name="_xlnm.Print_Area" localSheetId="2">#N/A</definedName>
    <definedName name="_xlnm.Print_Area" localSheetId="4">'A1_Aménagement d''une source sim'!$A$1:$G$34</definedName>
    <definedName name="_xlnm.Print_Area" localSheetId="11">'A10_Latrine VIP à fosse altern '!$A$1:$G$39</definedName>
    <definedName name="_xlnm.Print_Area" localSheetId="12">'A11_Latrine VIP à fosse alte F'!$A$1:$G$44</definedName>
    <definedName name="_xlnm.Print_Area" localSheetId="13">'A13_Incinérateur De Monfort '!$A$1:$G$64</definedName>
    <definedName name="_xlnm.Print_Area" localSheetId="14">'A14_Fosse à cendre'!$A$1:$G$40</definedName>
    <definedName name="_xlnm.Print_Area" localSheetId="15">'A15_Fosse à placenta'!$A$1:$G$21</definedName>
    <definedName name="_xlnm.Print_Area" localSheetId="16">'A16_Fosse à aiguille'!$A$1:$G$20</definedName>
    <definedName name="_xlnm.Print_Area" localSheetId="17">'A17_Grillage de la zone de déch'!$A$1:$G$23</definedName>
    <definedName name="_xlnm.Print_Area" localSheetId="18">'A18_Plan de travail laboratoire'!$A$1:$G$23</definedName>
    <definedName name="_xlnm.Print_Area" localSheetId="5">'A2_Forage mécanique équipé de p'!$A$1:$G$36</definedName>
    <definedName name="_xlnm.Print_Area" localSheetId="19">'A21_Aménagement _broyeur'!$A$1:$G$21</definedName>
    <definedName name="_xlnm.Print_Area" localSheetId="6">'A3_Captage d''eau de pluie'!$A$1:$G$59</definedName>
    <definedName name="_xlnm.Print_Area" localSheetId="7">'A4_Point de lavage des mains '!$A$1:$G$38</definedName>
    <definedName name="_xlnm.Print_Area" localSheetId="8">'A7_Raccordement en eau  établ  '!$A$1:$G$39</definedName>
    <definedName name="_xlnm.Print_Area" localSheetId="9">'A8_Bac à lessive avec deux robi'!$A$1:$G$34</definedName>
    <definedName name="_xlnm.Print_Area" localSheetId="10">A9_Douche!$A$1:$G$65</definedName>
    <definedName name="_xlnm.Print_Area" localSheetId="3">'ICE Budget detaillé '!$A$3:$O$691,'ICE Budget detaillé '!$Q$7:$AC$691,'ICE Budget detaillé '!$AE$7:$AL$691</definedName>
    <definedName name="ZoneCrise">'[11]ZONE EN CRISE'!$C$2:$C$75</definedName>
    <definedName name="Zonerisque">'[11]ZONE A RISQUE'!$C$2:$C$38</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176" l="1"/>
  <c r="K7" i="176" s="1"/>
  <c r="F15" i="176" l="1"/>
  <c r="F16" i="176" s="1"/>
  <c r="F17" i="176" s="1"/>
  <c r="F13" i="174" l="1"/>
  <c r="F14" i="174" s="1"/>
  <c r="F15" i="174" s="1"/>
  <c r="F55" i="159" l="1"/>
  <c r="F40" i="159"/>
  <c r="F26" i="154"/>
  <c r="F34" i="149"/>
  <c r="F14" i="149"/>
  <c r="F7" i="148"/>
  <c r="F11" i="147"/>
  <c r="F7" i="147"/>
  <c r="F15" i="163" l="1"/>
  <c r="F20" i="148"/>
  <c r="F25" i="148"/>
  <c r="F29" i="148"/>
  <c r="F24" i="149"/>
  <c r="F50" i="149"/>
  <c r="F30" i="153"/>
  <c r="F56" i="155"/>
  <c r="F57" i="155" s="1"/>
  <c r="F58" i="155" s="1"/>
  <c r="F59" i="155" s="1"/>
  <c r="F13" i="161"/>
  <c r="F12" i="162"/>
  <c r="F13" i="162" s="1"/>
  <c r="F14" i="162" s="1"/>
  <c r="F26" i="147"/>
  <c r="F30" i="150"/>
  <c r="F31" i="150" s="1"/>
  <c r="F32" i="150" s="1"/>
  <c r="F8" i="159"/>
  <c r="F19" i="153"/>
  <c r="F30" i="156"/>
  <c r="F31" i="156" s="1"/>
  <c r="F32" i="156" s="1"/>
  <c r="F33" i="156" s="1"/>
  <c r="F35" i="157"/>
  <c r="F36" i="157" s="1"/>
  <c r="F37" i="157" s="1"/>
  <c r="F38" i="157" s="1"/>
  <c r="F16" i="159"/>
  <c r="F24" i="159"/>
  <c r="F35" i="159"/>
  <c r="F49" i="159"/>
  <c r="F32" i="160"/>
  <c r="F33" i="160" s="1"/>
  <c r="F34" i="160" s="1"/>
  <c r="F16" i="163"/>
  <c r="F17" i="163" s="1"/>
  <c r="F14" i="161"/>
  <c r="F15" i="161" s="1"/>
  <c r="F27" i="154"/>
  <c r="F28" i="154" s="1"/>
  <c r="F51" i="149"/>
  <c r="F27" i="147"/>
  <c r="F28" i="147" s="1"/>
  <c r="F31" i="153" l="1"/>
  <c r="F32" i="153" s="1"/>
  <c r="F33" i="153" s="1"/>
  <c r="F30" i="148"/>
  <c r="F56" i="159"/>
  <c r="F52" i="149"/>
  <c r="F53" i="149" s="1"/>
  <c r="F57" i="159" l="1"/>
  <c r="F58" i="159"/>
  <c r="I627" i="132" l="1"/>
  <c r="AB679" i="132" l="1"/>
  <c r="AB427" i="132"/>
  <c r="AA427" i="132"/>
  <c r="Z427" i="132"/>
  <c r="AB438" i="132"/>
  <c r="AA438" i="132"/>
  <c r="Z438" i="132"/>
  <c r="AB445" i="132"/>
  <c r="AA445" i="132"/>
  <c r="Z445" i="132"/>
  <c r="AB456" i="132"/>
  <c r="AA456" i="132"/>
  <c r="Z456" i="132"/>
  <c r="AB470" i="132"/>
  <c r="AA470" i="132"/>
  <c r="Z470" i="132"/>
  <c r="AB472" i="132"/>
  <c r="AA472" i="132"/>
  <c r="Z472" i="132"/>
  <c r="AB481" i="132"/>
  <c r="AA481" i="132"/>
  <c r="Z481" i="132"/>
  <c r="AB488" i="132"/>
  <c r="AA488" i="132"/>
  <c r="Z488" i="132"/>
  <c r="AE685" i="132"/>
  <c r="AE684" i="132"/>
  <c r="AE683" i="132"/>
  <c r="AE682" i="132"/>
  <c r="AE681" i="132"/>
  <c r="AE680" i="132"/>
  <c r="AE679" i="132"/>
  <c r="AE678" i="132"/>
  <c r="AE677" i="132"/>
  <c r="AE676" i="132"/>
  <c r="AE675" i="132"/>
  <c r="AE674" i="132"/>
  <c r="AE673" i="132"/>
  <c r="AE672" i="132"/>
  <c r="AE671" i="132"/>
  <c r="AE670" i="132"/>
  <c r="AE669" i="132"/>
  <c r="AE668" i="132"/>
  <c r="AE667" i="132"/>
  <c r="AE490" i="132"/>
  <c r="AE489" i="132"/>
  <c r="AE488" i="132"/>
  <c r="AE487" i="132"/>
  <c r="AE486" i="132"/>
  <c r="AE485" i="132"/>
  <c r="AE484" i="132"/>
  <c r="AE483" i="132"/>
  <c r="AE482" i="132"/>
  <c r="AE481" i="132"/>
  <c r="AE480" i="132"/>
  <c r="AE479" i="132"/>
  <c r="AE478" i="132"/>
  <c r="AE477" i="132"/>
  <c r="AE476" i="132"/>
  <c r="AE475" i="132"/>
  <c r="AE474" i="132"/>
  <c r="AE473" i="132"/>
  <c r="AE472" i="132"/>
  <c r="AE471" i="132"/>
  <c r="AE470" i="132"/>
  <c r="AE469" i="132"/>
  <c r="AE468" i="132"/>
  <c r="AE467" i="132"/>
  <c r="AE466" i="132"/>
  <c r="AE465" i="132"/>
  <c r="AE464" i="132"/>
  <c r="AE463" i="132"/>
  <c r="AE462" i="132"/>
  <c r="AE461" i="132"/>
  <c r="AE460" i="132"/>
  <c r="AE459" i="132"/>
  <c r="AE458" i="132"/>
  <c r="AE457" i="132"/>
  <c r="AE456" i="132"/>
  <c r="AE455" i="132"/>
  <c r="AE454" i="132"/>
  <c r="AE453" i="132"/>
  <c r="AE452" i="132"/>
  <c r="AE451" i="132"/>
  <c r="AE450" i="132"/>
  <c r="AE449" i="132"/>
  <c r="AE448" i="132"/>
  <c r="AE447" i="132"/>
  <c r="AE446" i="132"/>
  <c r="AE445" i="132"/>
  <c r="AE444" i="132"/>
  <c r="AE443" i="132"/>
  <c r="AE442" i="132"/>
  <c r="AE441" i="132"/>
  <c r="AE440" i="132"/>
  <c r="AE439" i="132"/>
  <c r="AE438" i="132"/>
  <c r="AE437" i="132"/>
  <c r="AE436" i="132"/>
  <c r="AE435" i="132"/>
  <c r="AE434" i="132"/>
  <c r="AE433" i="132"/>
  <c r="AE432" i="132"/>
  <c r="AE431" i="132"/>
  <c r="AE430" i="132"/>
  <c r="AE429" i="132"/>
  <c r="AE428" i="132"/>
  <c r="AE427" i="132"/>
  <c r="W685" i="132" l="1"/>
  <c r="AA685" i="132" s="1"/>
  <c r="V685" i="132"/>
  <c r="X685" i="132" s="1"/>
  <c r="W684" i="132"/>
  <c r="Y684" i="132" s="1"/>
  <c r="V684" i="132"/>
  <c r="X684" i="132" s="1"/>
  <c r="W683" i="132"/>
  <c r="AA683" i="132" s="1"/>
  <c r="V683" i="132"/>
  <c r="X683" i="132" s="1"/>
  <c r="W682" i="132"/>
  <c r="AA682" i="132" s="1"/>
  <c r="V682" i="132"/>
  <c r="X682" i="132" s="1"/>
  <c r="W681" i="132"/>
  <c r="AA681" i="132" s="1"/>
  <c r="V681" i="132"/>
  <c r="X681" i="132" s="1"/>
  <c r="W680" i="132"/>
  <c r="V680" i="132"/>
  <c r="X680" i="132" s="1"/>
  <c r="W678" i="132"/>
  <c r="AO678" i="132" s="1"/>
  <c r="V678" i="132"/>
  <c r="X678" i="132" s="1"/>
  <c r="W677" i="132"/>
  <c r="AA677" i="132" s="1"/>
  <c r="V677" i="132"/>
  <c r="X677" i="132" s="1"/>
  <c r="W676" i="132"/>
  <c r="Z676" i="132" s="1"/>
  <c r="V676" i="132"/>
  <c r="X676" i="132" s="1"/>
  <c r="W675" i="132"/>
  <c r="V675" i="132"/>
  <c r="X675" i="132" s="1"/>
  <c r="W673" i="132"/>
  <c r="Y673" i="132" s="1"/>
  <c r="V673" i="132"/>
  <c r="X673" i="132" s="1"/>
  <c r="W672" i="132"/>
  <c r="AA672" i="132" s="1"/>
  <c r="V672" i="132"/>
  <c r="X672" i="132" s="1"/>
  <c r="W671" i="132"/>
  <c r="AA671" i="132" s="1"/>
  <c r="V671" i="132"/>
  <c r="X671" i="132" s="1"/>
  <c r="W670" i="132"/>
  <c r="AA670" i="132" s="1"/>
  <c r="V670" i="132"/>
  <c r="X670" i="132" s="1"/>
  <c r="W669" i="132"/>
  <c r="Z669" i="132" s="1"/>
  <c r="V669" i="132"/>
  <c r="X669" i="132" s="1"/>
  <c r="W490" i="132"/>
  <c r="Y490" i="132" s="1"/>
  <c r="V490" i="132"/>
  <c r="X490" i="132" s="1"/>
  <c r="W489" i="132"/>
  <c r="V489" i="132"/>
  <c r="X489" i="132" s="1"/>
  <c r="X488" i="132" s="1"/>
  <c r="W487" i="132"/>
  <c r="AO487" i="132" s="1"/>
  <c r="V487" i="132"/>
  <c r="X487" i="132" s="1"/>
  <c r="W486" i="132"/>
  <c r="Y486" i="132" s="1"/>
  <c r="V486" i="132"/>
  <c r="X486" i="132" s="1"/>
  <c r="W485" i="132"/>
  <c r="AO485" i="132" s="1"/>
  <c r="V485" i="132"/>
  <c r="X485" i="132" s="1"/>
  <c r="W484" i="132"/>
  <c r="Y484" i="132" s="1"/>
  <c r="V484" i="132"/>
  <c r="X484" i="132" s="1"/>
  <c r="W483" i="132"/>
  <c r="Y483" i="132" s="1"/>
  <c r="V483" i="132"/>
  <c r="X483" i="132" s="1"/>
  <c r="W482" i="132"/>
  <c r="Y482" i="132" s="1"/>
  <c r="V482" i="132"/>
  <c r="X482" i="132" s="1"/>
  <c r="W480" i="132"/>
  <c r="Y480" i="132" s="1"/>
  <c r="V480" i="132"/>
  <c r="X480" i="132" s="1"/>
  <c r="W479" i="132"/>
  <c r="Y479" i="132" s="1"/>
  <c r="V479" i="132"/>
  <c r="X479" i="132" s="1"/>
  <c r="W478" i="132"/>
  <c r="Y478" i="132" s="1"/>
  <c r="V478" i="132"/>
  <c r="X478" i="132" s="1"/>
  <c r="W477" i="132"/>
  <c r="Y477" i="132" s="1"/>
  <c r="V477" i="132"/>
  <c r="X477" i="132" s="1"/>
  <c r="W476" i="132"/>
  <c r="Y476" i="132" s="1"/>
  <c r="V476" i="132"/>
  <c r="X476" i="132" s="1"/>
  <c r="W475" i="132"/>
  <c r="Y475" i="132" s="1"/>
  <c r="V475" i="132"/>
  <c r="X475" i="132" s="1"/>
  <c r="W474" i="132"/>
  <c r="Y474" i="132" s="1"/>
  <c r="V474" i="132"/>
  <c r="X474" i="132" s="1"/>
  <c r="W473" i="132"/>
  <c r="V473" i="132"/>
  <c r="X473" i="132" s="1"/>
  <c r="W471" i="132"/>
  <c r="V471" i="132"/>
  <c r="X471" i="132" s="1"/>
  <c r="X470" i="132" s="1"/>
  <c r="W469" i="132"/>
  <c r="Y469" i="132" s="1"/>
  <c r="V469" i="132"/>
  <c r="X469" i="132" s="1"/>
  <c r="W468" i="132"/>
  <c r="Y468" i="132" s="1"/>
  <c r="V468" i="132"/>
  <c r="X468" i="132" s="1"/>
  <c r="W467" i="132"/>
  <c r="AO467" i="132" s="1"/>
  <c r="V467" i="132"/>
  <c r="X467" i="132" s="1"/>
  <c r="W465" i="132"/>
  <c r="Y465" i="132" s="1"/>
  <c r="V465" i="132"/>
  <c r="X465" i="132" s="1"/>
  <c r="W464" i="132"/>
  <c r="Y464" i="132" s="1"/>
  <c r="V464" i="132"/>
  <c r="X464" i="132" s="1"/>
  <c r="W463" i="132"/>
  <c r="V463" i="132"/>
  <c r="X463" i="132" s="1"/>
  <c r="W461" i="132"/>
  <c r="Y461" i="132" s="1"/>
  <c r="V461" i="132"/>
  <c r="X461" i="132" s="1"/>
  <c r="W460" i="132"/>
  <c r="Y460" i="132" s="1"/>
  <c r="V460" i="132"/>
  <c r="X460" i="132" s="1"/>
  <c r="W459" i="132"/>
  <c r="V459" i="132"/>
  <c r="X459" i="132" s="1"/>
  <c r="W457" i="132"/>
  <c r="V457" i="132"/>
  <c r="X457" i="132" s="1"/>
  <c r="X456" i="132" s="1"/>
  <c r="W455" i="132"/>
  <c r="Y455" i="132" s="1"/>
  <c r="V455" i="132"/>
  <c r="X455" i="132" s="1"/>
  <c r="W454" i="132"/>
  <c r="Y454" i="132" s="1"/>
  <c r="V454" i="132"/>
  <c r="X454" i="132" s="1"/>
  <c r="W453" i="132"/>
  <c r="V453" i="132"/>
  <c r="X453" i="132" s="1"/>
  <c r="W451" i="132"/>
  <c r="Y451" i="132" s="1"/>
  <c r="V451" i="132"/>
  <c r="X451" i="132" s="1"/>
  <c r="W450" i="132"/>
  <c r="Y450" i="132" s="1"/>
  <c r="V450" i="132"/>
  <c r="X450" i="132" s="1"/>
  <c r="W449" i="132"/>
  <c r="Y449" i="132" s="1"/>
  <c r="V449" i="132"/>
  <c r="X449" i="132" s="1"/>
  <c r="W448" i="132"/>
  <c r="Y448" i="132" s="1"/>
  <c r="V448" i="132"/>
  <c r="X448" i="132" s="1"/>
  <c r="W447" i="132"/>
  <c r="Y447" i="132" s="1"/>
  <c r="V447" i="132"/>
  <c r="X447" i="132" s="1"/>
  <c r="W446" i="132"/>
  <c r="Y446" i="132" s="1"/>
  <c r="V446" i="132"/>
  <c r="X446" i="132" s="1"/>
  <c r="W444" i="132"/>
  <c r="Y444" i="132" s="1"/>
  <c r="V444" i="132"/>
  <c r="X444" i="132" s="1"/>
  <c r="W443" i="132"/>
  <c r="Y443" i="132" s="1"/>
  <c r="V443" i="132"/>
  <c r="X443" i="132" s="1"/>
  <c r="W442" i="132"/>
  <c r="Y442" i="132" s="1"/>
  <c r="V442" i="132"/>
  <c r="X442" i="132" s="1"/>
  <c r="W441" i="132"/>
  <c r="Y441" i="132" s="1"/>
  <c r="V441" i="132"/>
  <c r="X441" i="132" s="1"/>
  <c r="W440" i="132"/>
  <c r="Y440" i="132" s="1"/>
  <c r="V440" i="132"/>
  <c r="X440" i="132" s="1"/>
  <c r="W439" i="132"/>
  <c r="Y439" i="132" s="1"/>
  <c r="V439" i="132"/>
  <c r="X439" i="132" s="1"/>
  <c r="W437" i="132"/>
  <c r="Y437" i="132" s="1"/>
  <c r="V437" i="132"/>
  <c r="X437" i="132" s="1"/>
  <c r="W436" i="132"/>
  <c r="Y436" i="132" s="1"/>
  <c r="V436" i="132"/>
  <c r="X436" i="132" s="1"/>
  <c r="W435" i="132"/>
  <c r="V435" i="132"/>
  <c r="X435" i="132" s="1"/>
  <c r="W433" i="132"/>
  <c r="Y433" i="132" s="1"/>
  <c r="V433" i="132"/>
  <c r="X433" i="132" s="1"/>
  <c r="W432" i="132"/>
  <c r="Y432" i="132" s="1"/>
  <c r="V432" i="132"/>
  <c r="X432" i="132" s="1"/>
  <c r="W431" i="132"/>
  <c r="Y431" i="132" s="1"/>
  <c r="V431" i="132"/>
  <c r="X431" i="132" s="1"/>
  <c r="W430" i="132"/>
  <c r="Y430" i="132" s="1"/>
  <c r="V430" i="132"/>
  <c r="X430" i="132" s="1"/>
  <c r="W429" i="132"/>
  <c r="Y429" i="132" s="1"/>
  <c r="V429" i="132"/>
  <c r="X429" i="132" s="1"/>
  <c r="W428" i="132"/>
  <c r="V428" i="132"/>
  <c r="X428" i="132" s="1"/>
  <c r="N679" i="132"/>
  <c r="AJ679" i="132" s="1"/>
  <c r="AP685" i="132"/>
  <c r="AN685" i="132"/>
  <c r="AJ685" i="132"/>
  <c r="AF685" i="132"/>
  <c r="I685" i="132"/>
  <c r="L685" i="132" s="1"/>
  <c r="H685" i="132"/>
  <c r="J685" i="132" s="1"/>
  <c r="AP684" i="132"/>
  <c r="AN684" i="132"/>
  <c r="AJ684" i="132"/>
  <c r="AF684" i="132"/>
  <c r="I684" i="132"/>
  <c r="AM684" i="132" s="1"/>
  <c r="H684" i="132"/>
  <c r="J684" i="132" s="1"/>
  <c r="AP683" i="132"/>
  <c r="AN683" i="132"/>
  <c r="AJ683" i="132"/>
  <c r="AF683" i="132"/>
  <c r="I683" i="132"/>
  <c r="AM683" i="132" s="1"/>
  <c r="H683" i="132"/>
  <c r="J683" i="132" s="1"/>
  <c r="AP682" i="132"/>
  <c r="AN682" i="132"/>
  <c r="AJ682" i="132"/>
  <c r="AF682" i="132"/>
  <c r="I682" i="132"/>
  <c r="AM682" i="132" s="1"/>
  <c r="H682" i="132"/>
  <c r="J682" i="132" s="1"/>
  <c r="AP681" i="132"/>
  <c r="AN681" i="132"/>
  <c r="AJ681" i="132"/>
  <c r="AF681" i="132"/>
  <c r="I681" i="132"/>
  <c r="L681" i="132" s="1"/>
  <c r="H681" i="132"/>
  <c r="J681" i="132" s="1"/>
  <c r="AP680" i="132"/>
  <c r="AN680" i="132"/>
  <c r="AJ680" i="132"/>
  <c r="AF680" i="132"/>
  <c r="I680" i="132"/>
  <c r="H680" i="132"/>
  <c r="J680" i="132" s="1"/>
  <c r="AP679" i="132"/>
  <c r="AF679" i="132"/>
  <c r="H678" i="132"/>
  <c r="J678" i="132" s="1"/>
  <c r="AP678" i="132"/>
  <c r="AN678" i="132"/>
  <c r="AJ678" i="132"/>
  <c r="AF678" i="132"/>
  <c r="I678" i="132"/>
  <c r="AP677" i="132"/>
  <c r="AN677" i="132"/>
  <c r="AJ677" i="132"/>
  <c r="AF677" i="132"/>
  <c r="H677" i="132"/>
  <c r="AP676" i="132"/>
  <c r="AN676" i="132"/>
  <c r="AJ676" i="132"/>
  <c r="AF676" i="132"/>
  <c r="I676" i="132"/>
  <c r="L676" i="132" s="1"/>
  <c r="H676" i="132"/>
  <c r="J676" i="132" s="1"/>
  <c r="AP675" i="132"/>
  <c r="AN675" i="132"/>
  <c r="AJ675" i="132"/>
  <c r="AF675" i="132"/>
  <c r="I675" i="132"/>
  <c r="H675" i="132"/>
  <c r="J675" i="132" s="1"/>
  <c r="AF674" i="132"/>
  <c r="AB674" i="132"/>
  <c r="N674" i="132"/>
  <c r="AP673" i="132"/>
  <c r="AN673" i="132"/>
  <c r="AJ673" i="132"/>
  <c r="AF673" i="132"/>
  <c r="I673" i="132"/>
  <c r="M673" i="132" s="1"/>
  <c r="H673" i="132"/>
  <c r="J673" i="132" s="1"/>
  <c r="AP672" i="132"/>
  <c r="AN672" i="132"/>
  <c r="AJ672" i="132"/>
  <c r="AF672" i="132"/>
  <c r="I672" i="132"/>
  <c r="H672" i="132"/>
  <c r="J672" i="132" s="1"/>
  <c r="AP671" i="132"/>
  <c r="AN671" i="132"/>
  <c r="AJ671" i="132"/>
  <c r="AF671" i="132"/>
  <c r="I671" i="132"/>
  <c r="H671" i="132"/>
  <c r="J671" i="132" s="1"/>
  <c r="AP670" i="132"/>
  <c r="AN670" i="132"/>
  <c r="AJ670" i="132"/>
  <c r="AF670" i="132"/>
  <c r="I670" i="132"/>
  <c r="H670" i="132"/>
  <c r="J670" i="132" s="1"/>
  <c r="AP669" i="132"/>
  <c r="AN669" i="132"/>
  <c r="AJ669" i="132"/>
  <c r="AF669" i="132"/>
  <c r="AO669" i="132"/>
  <c r="I669" i="132"/>
  <c r="H669" i="132"/>
  <c r="J669" i="132" s="1"/>
  <c r="AF668" i="132"/>
  <c r="AB668" i="132"/>
  <c r="AP668" i="132" s="1"/>
  <c r="N668" i="132"/>
  <c r="AN668" i="132" s="1"/>
  <c r="AF667" i="132"/>
  <c r="AP487" i="132"/>
  <c r="AN487" i="132"/>
  <c r="AJ487" i="132"/>
  <c r="AF487" i="132"/>
  <c r="I487" i="132"/>
  <c r="H487" i="132"/>
  <c r="J487" i="132" s="1"/>
  <c r="AP486" i="132"/>
  <c r="AN486" i="132"/>
  <c r="AJ486" i="132"/>
  <c r="AF486" i="132"/>
  <c r="AO486" i="132"/>
  <c r="I486" i="132"/>
  <c r="H486" i="132"/>
  <c r="J486" i="132" s="1"/>
  <c r="AP485" i="132"/>
  <c r="AN485" i="132"/>
  <c r="AJ485" i="132"/>
  <c r="AF485" i="132"/>
  <c r="I485" i="132"/>
  <c r="AM485" i="132" s="1"/>
  <c r="H485" i="132"/>
  <c r="J485" i="132" s="1"/>
  <c r="AP484" i="132"/>
  <c r="AN484" i="132"/>
  <c r="AJ484" i="132"/>
  <c r="AF484" i="132"/>
  <c r="I484" i="132"/>
  <c r="AM484" i="132" s="1"/>
  <c r="H484" i="132"/>
  <c r="J484" i="132" s="1"/>
  <c r="AP483" i="132"/>
  <c r="AN483" i="132"/>
  <c r="AJ483" i="132"/>
  <c r="AF483" i="132"/>
  <c r="I483" i="132"/>
  <c r="H483" i="132"/>
  <c r="J483" i="132" s="1"/>
  <c r="AP482" i="132"/>
  <c r="AN482" i="132"/>
  <c r="AJ482" i="132"/>
  <c r="AF482" i="132"/>
  <c r="I482" i="132"/>
  <c r="H482" i="132"/>
  <c r="J482" i="132" s="1"/>
  <c r="AF481" i="132"/>
  <c r="AP481" i="132"/>
  <c r="N481" i="132"/>
  <c r="AN481" i="132" s="1"/>
  <c r="M481" i="132"/>
  <c r="L481" i="132"/>
  <c r="N488" i="132"/>
  <c r="M488" i="132"/>
  <c r="L488" i="132"/>
  <c r="AP490" i="132"/>
  <c r="AN490" i="132"/>
  <c r="AJ490" i="132"/>
  <c r="AF490" i="132"/>
  <c r="I490" i="132"/>
  <c r="AM490" i="132" s="1"/>
  <c r="H490" i="132"/>
  <c r="J490" i="132" s="1"/>
  <c r="AP489" i="132"/>
  <c r="AN489" i="132"/>
  <c r="AJ489" i="132"/>
  <c r="AF489" i="132"/>
  <c r="I489" i="132"/>
  <c r="H489" i="132"/>
  <c r="J489" i="132" s="1"/>
  <c r="AF488" i="132"/>
  <c r="N472" i="132"/>
  <c r="AN472" i="132" s="1"/>
  <c r="M472" i="132"/>
  <c r="L472" i="132"/>
  <c r="AP480" i="132"/>
  <c r="AN480" i="132"/>
  <c r="AJ480" i="132"/>
  <c r="AF480" i="132"/>
  <c r="I480" i="132"/>
  <c r="AM480" i="132" s="1"/>
  <c r="H480" i="132"/>
  <c r="J480" i="132" s="1"/>
  <c r="AP479" i="132"/>
  <c r="AN479" i="132"/>
  <c r="AJ479" i="132"/>
  <c r="AF479" i="132"/>
  <c r="AO479" i="132"/>
  <c r="I479" i="132"/>
  <c r="AM479" i="132" s="1"/>
  <c r="H479" i="132"/>
  <c r="J479" i="132" s="1"/>
  <c r="AP478" i="132"/>
  <c r="AN478" i="132"/>
  <c r="AJ478" i="132"/>
  <c r="AF478" i="132"/>
  <c r="I478" i="132"/>
  <c r="AM478" i="132" s="1"/>
  <c r="H478" i="132"/>
  <c r="J478" i="132" s="1"/>
  <c r="AP477" i="132"/>
  <c r="AN477" i="132"/>
  <c r="AJ477" i="132"/>
  <c r="AF477" i="132"/>
  <c r="I477" i="132"/>
  <c r="AM477" i="132" s="1"/>
  <c r="H477" i="132"/>
  <c r="J477" i="132" s="1"/>
  <c r="AP476" i="132"/>
  <c r="AN476" i="132"/>
  <c r="AJ476" i="132"/>
  <c r="AF476" i="132"/>
  <c r="I476" i="132"/>
  <c r="K476" i="132" s="1"/>
  <c r="H476" i="132"/>
  <c r="J476" i="132" s="1"/>
  <c r="AP475" i="132"/>
  <c r="AN475" i="132"/>
  <c r="AJ475" i="132"/>
  <c r="AF475" i="132"/>
  <c r="I475" i="132"/>
  <c r="AM475" i="132" s="1"/>
  <c r="H475" i="132"/>
  <c r="J475" i="132" s="1"/>
  <c r="AP474" i="132"/>
  <c r="AN474" i="132"/>
  <c r="AJ474" i="132"/>
  <c r="AF474" i="132"/>
  <c r="I474" i="132"/>
  <c r="AM474" i="132" s="1"/>
  <c r="H474" i="132"/>
  <c r="J474" i="132" s="1"/>
  <c r="AP473" i="132"/>
  <c r="AN473" i="132"/>
  <c r="AJ473" i="132"/>
  <c r="AF473" i="132"/>
  <c r="I473" i="132"/>
  <c r="H473" i="132"/>
  <c r="J473" i="132" s="1"/>
  <c r="AF472" i="132"/>
  <c r="AP472" i="132"/>
  <c r="N470" i="132"/>
  <c r="AN470" i="132" s="1"/>
  <c r="M470" i="132"/>
  <c r="L470" i="132"/>
  <c r="AP471" i="132"/>
  <c r="AN471" i="132"/>
  <c r="AJ471" i="132"/>
  <c r="AF471" i="132"/>
  <c r="I471" i="132"/>
  <c r="H471" i="132"/>
  <c r="J471" i="132" s="1"/>
  <c r="J470" i="132" s="1"/>
  <c r="AF470" i="132"/>
  <c r="AP469" i="132"/>
  <c r="AN469" i="132"/>
  <c r="AJ469" i="132"/>
  <c r="AF469" i="132"/>
  <c r="I469" i="132"/>
  <c r="AM469" i="132" s="1"/>
  <c r="H469" i="132"/>
  <c r="J469" i="132" s="1"/>
  <c r="AP468" i="132"/>
  <c r="AN468" i="132"/>
  <c r="AJ468" i="132"/>
  <c r="AF468" i="132"/>
  <c r="I468" i="132"/>
  <c r="H468" i="132"/>
  <c r="J468" i="132" s="1"/>
  <c r="AP467" i="132"/>
  <c r="AN467" i="132"/>
  <c r="AJ467" i="132"/>
  <c r="AF467" i="132"/>
  <c r="I467" i="132"/>
  <c r="H467" i="132"/>
  <c r="J467" i="132" s="1"/>
  <c r="AF466" i="132"/>
  <c r="AB466" i="132"/>
  <c r="AP466" i="132" s="1"/>
  <c r="AA466" i="132"/>
  <c r="Z466" i="132"/>
  <c r="N466" i="132"/>
  <c r="AN466" i="132" s="1"/>
  <c r="M466" i="132"/>
  <c r="L466" i="132"/>
  <c r="AP465" i="132"/>
  <c r="AN465" i="132"/>
  <c r="AJ465" i="132"/>
  <c r="AF465" i="132"/>
  <c r="I465" i="132"/>
  <c r="H465" i="132"/>
  <c r="J465" i="132" s="1"/>
  <c r="AP464" i="132"/>
  <c r="AN464" i="132"/>
  <c r="AJ464" i="132"/>
  <c r="AF464" i="132"/>
  <c r="I464" i="132"/>
  <c r="AM464" i="132" s="1"/>
  <c r="H464" i="132"/>
  <c r="J464" i="132" s="1"/>
  <c r="AP463" i="132"/>
  <c r="AN463" i="132"/>
  <c r="AJ463" i="132"/>
  <c r="AF463" i="132"/>
  <c r="I463" i="132"/>
  <c r="H463" i="132"/>
  <c r="J463" i="132" s="1"/>
  <c r="AF462" i="132"/>
  <c r="AB462" i="132"/>
  <c r="AP462" i="132" s="1"/>
  <c r="AA462" i="132"/>
  <c r="Z462" i="132"/>
  <c r="N462" i="132"/>
  <c r="AN462" i="132" s="1"/>
  <c r="M462" i="132"/>
  <c r="L462" i="132"/>
  <c r="M427" i="132"/>
  <c r="M434" i="132"/>
  <c r="M438" i="132"/>
  <c r="M445" i="132"/>
  <c r="M452" i="132"/>
  <c r="N452" i="132"/>
  <c r="N456" i="132"/>
  <c r="N458" i="132"/>
  <c r="AN458" i="132" s="1"/>
  <c r="M458" i="132"/>
  <c r="L458" i="132"/>
  <c r="AP461" i="132"/>
  <c r="AN461" i="132"/>
  <c r="AJ461" i="132"/>
  <c r="AF461" i="132"/>
  <c r="I461" i="132"/>
  <c r="AM461" i="132" s="1"/>
  <c r="H461" i="132"/>
  <c r="J461" i="132" s="1"/>
  <c r="AP460" i="132"/>
  <c r="AN460" i="132"/>
  <c r="AJ460" i="132"/>
  <c r="AF460" i="132"/>
  <c r="I460" i="132"/>
  <c r="H460" i="132"/>
  <c r="J460" i="132" s="1"/>
  <c r="AP459" i="132"/>
  <c r="AN459" i="132"/>
  <c r="AJ459" i="132"/>
  <c r="AF459" i="132"/>
  <c r="I459" i="132"/>
  <c r="H459" i="132"/>
  <c r="J459" i="132" s="1"/>
  <c r="AF458" i="132"/>
  <c r="AB458" i="132"/>
  <c r="AP458" i="132" s="1"/>
  <c r="AA458" i="132"/>
  <c r="Z458" i="132"/>
  <c r="AO460" i="132" l="1"/>
  <c r="AO465" i="132"/>
  <c r="AO469" i="132"/>
  <c r="AO670" i="132"/>
  <c r="AN679" i="132"/>
  <c r="AO464" i="132"/>
  <c r="AO490" i="132"/>
  <c r="W462" i="132"/>
  <c r="AO462" i="132" s="1"/>
  <c r="AO676" i="132"/>
  <c r="AO685" i="132"/>
  <c r="Z670" i="132"/>
  <c r="J679" i="132"/>
  <c r="AO681" i="132"/>
  <c r="Y670" i="132"/>
  <c r="AO468" i="132"/>
  <c r="W674" i="132"/>
  <c r="AO674" i="132" s="1"/>
  <c r="AO477" i="132"/>
  <c r="X679" i="132"/>
  <c r="Y438" i="132"/>
  <c r="X427" i="132"/>
  <c r="AB667" i="132"/>
  <c r="AP667" i="132" s="1"/>
  <c r="Y453" i="132"/>
  <c r="Y452" i="132" s="1"/>
  <c r="W452" i="132"/>
  <c r="AA680" i="132"/>
  <c r="W679" i="132"/>
  <c r="W438" i="132"/>
  <c r="K473" i="132"/>
  <c r="I472" i="132"/>
  <c r="K685" i="132"/>
  <c r="X481" i="132"/>
  <c r="Y672" i="132"/>
  <c r="AP674" i="132"/>
  <c r="W481" i="132"/>
  <c r="Y669" i="132"/>
  <c r="W668" i="132"/>
  <c r="AO668" i="132" s="1"/>
  <c r="Z672" i="132"/>
  <c r="Y675" i="132"/>
  <c r="Y682" i="132"/>
  <c r="AJ674" i="132"/>
  <c r="N667" i="132"/>
  <c r="Y457" i="132"/>
  <c r="Y456" i="132" s="1"/>
  <c r="W456" i="132"/>
  <c r="AO672" i="132"/>
  <c r="Y459" i="132"/>
  <c r="W458" i="132"/>
  <c r="AO458" i="132" s="1"/>
  <c r="Y463" i="132"/>
  <c r="AO471" i="132"/>
  <c r="W470" i="132"/>
  <c r="Z675" i="132"/>
  <c r="Z682" i="132"/>
  <c r="AM675" i="132"/>
  <c r="Y428" i="132"/>
  <c r="Y427" i="132" s="1"/>
  <c r="W427" i="132"/>
  <c r="Y467" i="132"/>
  <c r="Y466" i="132" s="1"/>
  <c r="W466" i="132"/>
  <c r="AA669" i="132"/>
  <c r="AA675" i="132"/>
  <c r="Y678" i="132"/>
  <c r="Y681" i="132"/>
  <c r="Y685" i="132"/>
  <c r="AM459" i="132"/>
  <c r="I458" i="132"/>
  <c r="AM467" i="132"/>
  <c r="I466" i="132"/>
  <c r="AM466" i="132" s="1"/>
  <c r="AM463" i="132"/>
  <c r="I462" i="132"/>
  <c r="AM482" i="132"/>
  <c r="I481" i="132"/>
  <c r="AM481" i="132" s="1"/>
  <c r="X445" i="132"/>
  <c r="X472" i="132"/>
  <c r="Y489" i="132"/>
  <c r="Y488" i="132" s="1"/>
  <c r="W488" i="132"/>
  <c r="Z671" i="132"/>
  <c r="Z673" i="132"/>
  <c r="Z678" i="132"/>
  <c r="Z681" i="132"/>
  <c r="Z685" i="132"/>
  <c r="AM680" i="132"/>
  <c r="I679" i="132"/>
  <c r="Y445" i="132"/>
  <c r="AM489" i="132"/>
  <c r="I488" i="132"/>
  <c r="AM488" i="132" s="1"/>
  <c r="AO461" i="132"/>
  <c r="AM471" i="132"/>
  <c r="I470" i="132"/>
  <c r="AO480" i="132"/>
  <c r="M669" i="132"/>
  <c r="I668" i="132"/>
  <c r="AK680" i="132"/>
  <c r="M681" i="132"/>
  <c r="Y435" i="132"/>
  <c r="Y434" i="132" s="1"/>
  <c r="W434" i="132"/>
  <c r="X438" i="132"/>
  <c r="W445" i="132"/>
  <c r="Y473" i="132"/>
  <c r="Y472" i="132" s="1"/>
  <c r="W472" i="132"/>
  <c r="AA673" i="132"/>
  <c r="AA678" i="132"/>
  <c r="Y680" i="132"/>
  <c r="Z680" i="132"/>
  <c r="Z684" i="132"/>
  <c r="AK684" i="132"/>
  <c r="Y683" i="132"/>
  <c r="AA684" i="132"/>
  <c r="Z683" i="132"/>
  <c r="Y677" i="132"/>
  <c r="Z677" i="132"/>
  <c r="Z674" i="132" s="1"/>
  <c r="Y676" i="132"/>
  <c r="AA676" i="132"/>
  <c r="Y671" i="132"/>
  <c r="Y487" i="132"/>
  <c r="AO481" i="132"/>
  <c r="Y485" i="132"/>
  <c r="AO474" i="132"/>
  <c r="Y471" i="132"/>
  <c r="Y470" i="132" s="1"/>
  <c r="K684" i="132"/>
  <c r="AI685" i="132"/>
  <c r="K680" i="132"/>
  <c r="M685" i="132"/>
  <c r="AK685" i="132"/>
  <c r="L680" i="132"/>
  <c r="AO680" i="132"/>
  <c r="AI681" i="132"/>
  <c r="L684" i="132"/>
  <c r="AO684" i="132"/>
  <c r="AI683" i="132"/>
  <c r="M680" i="132"/>
  <c r="K683" i="132"/>
  <c r="M684" i="132"/>
  <c r="L683" i="132"/>
  <c r="AO683" i="132"/>
  <c r="AI684" i="132"/>
  <c r="M683" i="132"/>
  <c r="AM685" i="132"/>
  <c r="AK682" i="132"/>
  <c r="AI680" i="132"/>
  <c r="AL680" i="132" s="1"/>
  <c r="AK683" i="132"/>
  <c r="AK681" i="132"/>
  <c r="AM681" i="132"/>
  <c r="L682" i="132"/>
  <c r="AO682" i="132"/>
  <c r="K682" i="132"/>
  <c r="AO679" i="132"/>
  <c r="M682" i="132"/>
  <c r="AK676" i="132"/>
  <c r="K681" i="132"/>
  <c r="AI682" i="132"/>
  <c r="AI672" i="132"/>
  <c r="AI676" i="132"/>
  <c r="K675" i="132"/>
  <c r="M676" i="132"/>
  <c r="AK485" i="132"/>
  <c r="AL485" i="132" s="1"/>
  <c r="X674" i="132"/>
  <c r="AK678" i="132"/>
  <c r="AI483" i="132"/>
  <c r="AI670" i="132"/>
  <c r="AM670" i="132"/>
  <c r="K670" i="132"/>
  <c r="L670" i="132"/>
  <c r="M670" i="132"/>
  <c r="M675" i="132"/>
  <c r="K669" i="132"/>
  <c r="AM669" i="132"/>
  <c r="L672" i="132"/>
  <c r="L669" i="132"/>
  <c r="AM673" i="132"/>
  <c r="J677" i="132"/>
  <c r="J674" i="132" s="1"/>
  <c r="AO677" i="132"/>
  <c r="X668" i="132"/>
  <c r="AI671" i="132"/>
  <c r="AK673" i="132"/>
  <c r="AO473" i="132"/>
  <c r="L671" i="132"/>
  <c r="AO671" i="132"/>
  <c r="K673" i="132"/>
  <c r="J472" i="132"/>
  <c r="M671" i="132"/>
  <c r="L673" i="132"/>
  <c r="AI678" i="132"/>
  <c r="AK671" i="132"/>
  <c r="AK675" i="132"/>
  <c r="J668" i="132"/>
  <c r="AK670" i="132"/>
  <c r="AK669" i="132"/>
  <c r="AK672" i="132"/>
  <c r="AM678" i="132"/>
  <c r="AI673" i="132"/>
  <c r="AI669" i="132"/>
  <c r="AO675" i="132"/>
  <c r="K672" i="132"/>
  <c r="AM672" i="132"/>
  <c r="L675" i="132"/>
  <c r="I677" i="132"/>
  <c r="I674" i="132" s="1"/>
  <c r="K678" i="132"/>
  <c r="AI487" i="132"/>
  <c r="AJ668" i="132"/>
  <c r="K671" i="132"/>
  <c r="AM671" i="132"/>
  <c r="AO673" i="132"/>
  <c r="AN674" i="132"/>
  <c r="AI675" i="132"/>
  <c r="L678" i="132"/>
  <c r="J488" i="132"/>
  <c r="M672" i="132"/>
  <c r="AM676" i="132"/>
  <c r="M678" i="132"/>
  <c r="K676" i="132"/>
  <c r="AO483" i="132"/>
  <c r="K485" i="132"/>
  <c r="K484" i="132"/>
  <c r="AO482" i="132"/>
  <c r="AK486" i="132"/>
  <c r="AO463" i="132"/>
  <c r="AI484" i="132"/>
  <c r="AI486" i="132"/>
  <c r="K487" i="132"/>
  <c r="AM487" i="132"/>
  <c r="AO476" i="132"/>
  <c r="K482" i="132"/>
  <c r="AK490" i="132"/>
  <c r="AO459" i="132"/>
  <c r="AK484" i="132"/>
  <c r="AK483" i="132"/>
  <c r="AK487" i="132"/>
  <c r="AK482" i="132"/>
  <c r="AL482" i="132" s="1"/>
  <c r="J481" i="132"/>
  <c r="AO484" i="132"/>
  <c r="AI465" i="132"/>
  <c r="AJ481" i="132"/>
  <c r="AM483" i="132"/>
  <c r="AM486" i="132"/>
  <c r="K483" i="132"/>
  <c r="K486" i="132"/>
  <c r="K489" i="132"/>
  <c r="AK489" i="132"/>
  <c r="AN488" i="132"/>
  <c r="K490" i="132"/>
  <c r="AI490" i="132"/>
  <c r="AK475" i="132"/>
  <c r="AK476" i="132"/>
  <c r="AH476" i="132" s="1"/>
  <c r="AO489" i="132"/>
  <c r="AO478" i="132"/>
  <c r="AK479" i="132"/>
  <c r="AI474" i="132"/>
  <c r="K480" i="132"/>
  <c r="AI479" i="132"/>
  <c r="AM476" i="132"/>
  <c r="K479" i="132"/>
  <c r="AM473" i="132"/>
  <c r="AI480" i="132"/>
  <c r="AK480" i="132"/>
  <c r="AK474" i="132"/>
  <c r="AH474" i="132" s="1"/>
  <c r="K478" i="132"/>
  <c r="K474" i="132"/>
  <c r="AI475" i="132"/>
  <c r="AI477" i="132"/>
  <c r="K469" i="132"/>
  <c r="AK477" i="132"/>
  <c r="AI478" i="132"/>
  <c r="K475" i="132"/>
  <c r="AO475" i="132"/>
  <c r="K477" i="132"/>
  <c r="AK473" i="132"/>
  <c r="AK478" i="132"/>
  <c r="AJ472" i="132"/>
  <c r="AK468" i="132"/>
  <c r="AI468" i="132"/>
  <c r="AM465" i="132"/>
  <c r="AK471" i="132"/>
  <c r="K465" i="132"/>
  <c r="AK469" i="132"/>
  <c r="K471" i="132"/>
  <c r="K470" i="132" s="1"/>
  <c r="K468" i="132"/>
  <c r="K464" i="132"/>
  <c r="X466" i="132"/>
  <c r="AI460" i="132"/>
  <c r="AK467" i="132"/>
  <c r="J466" i="132"/>
  <c r="AI469" i="132"/>
  <c r="AJ466" i="132"/>
  <c r="AM468" i="132"/>
  <c r="AK464" i="132"/>
  <c r="AI464" i="132"/>
  <c r="K467" i="132"/>
  <c r="X462" i="132"/>
  <c r="J458" i="132"/>
  <c r="AK465" i="132"/>
  <c r="AK463" i="132"/>
  <c r="J462" i="132"/>
  <c r="AJ462" i="132"/>
  <c r="AK460" i="132"/>
  <c r="K463" i="132"/>
  <c r="K461" i="132"/>
  <c r="AM460" i="132"/>
  <c r="AI461" i="132"/>
  <c r="AK459" i="132"/>
  <c r="AL459" i="132" s="1"/>
  <c r="X458" i="132"/>
  <c r="AK461" i="132"/>
  <c r="AJ458" i="132"/>
  <c r="K459" i="132"/>
  <c r="K460" i="132"/>
  <c r="N427" i="132"/>
  <c r="L427" i="132"/>
  <c r="N434" i="132"/>
  <c r="AN434" i="132" s="1"/>
  <c r="L434" i="132"/>
  <c r="N438" i="132"/>
  <c r="AN438" i="132" s="1"/>
  <c r="L438" i="132"/>
  <c r="N445" i="132"/>
  <c r="AN445" i="132" s="1"/>
  <c r="L445" i="132"/>
  <c r="L452" i="132"/>
  <c r="AN452" i="132"/>
  <c r="M456" i="132"/>
  <c r="L456" i="132"/>
  <c r="AP457" i="132"/>
  <c r="AN457" i="132"/>
  <c r="AJ457" i="132"/>
  <c r="AF457" i="132"/>
  <c r="I457" i="132"/>
  <c r="H457" i="132"/>
  <c r="J457" i="132" s="1"/>
  <c r="J456" i="132" s="1"/>
  <c r="AF456" i="132"/>
  <c r="AP451" i="132"/>
  <c r="AN451" i="132"/>
  <c r="AJ451" i="132"/>
  <c r="AF451" i="132"/>
  <c r="I451" i="132"/>
  <c r="AM451" i="132" s="1"/>
  <c r="H451" i="132"/>
  <c r="J451" i="132" s="1"/>
  <c r="AP450" i="132"/>
  <c r="AN450" i="132"/>
  <c r="AJ450" i="132"/>
  <c r="AF450" i="132"/>
  <c r="AO450" i="132"/>
  <c r="I450" i="132"/>
  <c r="AM450" i="132" s="1"/>
  <c r="H450" i="132"/>
  <c r="J450" i="132" s="1"/>
  <c r="AP449" i="132"/>
  <c r="AN449" i="132"/>
  <c r="AJ449" i="132"/>
  <c r="AF449" i="132"/>
  <c r="I449" i="132"/>
  <c r="K449" i="132" s="1"/>
  <c r="H449" i="132"/>
  <c r="J449" i="132" s="1"/>
  <c r="AP448" i="132"/>
  <c r="AN448" i="132"/>
  <c r="AJ448" i="132"/>
  <c r="AF448" i="132"/>
  <c r="I448" i="132"/>
  <c r="AM448" i="132" s="1"/>
  <c r="H448" i="132"/>
  <c r="J448" i="132" s="1"/>
  <c r="AP447" i="132"/>
  <c r="AN447" i="132"/>
  <c r="AJ447" i="132"/>
  <c r="AF447" i="132"/>
  <c r="AO447" i="132"/>
  <c r="I447" i="132"/>
  <c r="K447" i="132" s="1"/>
  <c r="H447" i="132"/>
  <c r="J447" i="132" s="1"/>
  <c r="AP446" i="132"/>
  <c r="AN446" i="132"/>
  <c r="AJ446" i="132"/>
  <c r="AF446" i="132"/>
  <c r="I446" i="132"/>
  <c r="H446" i="132"/>
  <c r="J446" i="132" s="1"/>
  <c r="AF445" i="132"/>
  <c r="AP445" i="132"/>
  <c r="AP444" i="132"/>
  <c r="AN444" i="132"/>
  <c r="AJ444" i="132"/>
  <c r="AF444" i="132"/>
  <c r="I444" i="132"/>
  <c r="AM444" i="132" s="1"/>
  <c r="H444" i="132"/>
  <c r="J444" i="132" s="1"/>
  <c r="AP443" i="132"/>
  <c r="AN443" i="132"/>
  <c r="AJ443" i="132"/>
  <c r="AF443" i="132"/>
  <c r="AO443" i="132"/>
  <c r="I443" i="132"/>
  <c r="AM443" i="132" s="1"/>
  <c r="H443" i="132"/>
  <c r="J443" i="132" s="1"/>
  <c r="AP442" i="132"/>
  <c r="AN442" i="132"/>
  <c r="AJ442" i="132"/>
  <c r="AF442" i="132"/>
  <c r="AO442" i="132"/>
  <c r="I442" i="132"/>
  <c r="K442" i="132" s="1"/>
  <c r="H442" i="132"/>
  <c r="J442" i="132" s="1"/>
  <c r="AP441" i="132"/>
  <c r="AN441" i="132"/>
  <c r="AJ441" i="132"/>
  <c r="AF441" i="132"/>
  <c r="I441" i="132"/>
  <c r="AM441" i="132" s="1"/>
  <c r="H441" i="132"/>
  <c r="J441" i="132" s="1"/>
  <c r="AP440" i="132"/>
  <c r="AN440" i="132"/>
  <c r="AJ440" i="132"/>
  <c r="AF440" i="132"/>
  <c r="AO440" i="132"/>
  <c r="I440" i="132"/>
  <c r="AM440" i="132" s="1"/>
  <c r="H440" i="132"/>
  <c r="J440" i="132" s="1"/>
  <c r="AP439" i="132"/>
  <c r="AN439" i="132"/>
  <c r="AJ439" i="132"/>
  <c r="AF439" i="132"/>
  <c r="I439" i="132"/>
  <c r="H439" i="132"/>
  <c r="J439" i="132" s="1"/>
  <c r="AF438" i="132"/>
  <c r="AP438" i="132"/>
  <c r="AP455" i="132"/>
  <c r="AN455" i="132"/>
  <c r="AJ455" i="132"/>
  <c r="AF455" i="132"/>
  <c r="I455" i="132"/>
  <c r="H455" i="132"/>
  <c r="J455" i="132" s="1"/>
  <c r="AP454" i="132"/>
  <c r="AN454" i="132"/>
  <c r="AJ454" i="132"/>
  <c r="AF454" i="132"/>
  <c r="AO454" i="132"/>
  <c r="I454" i="132"/>
  <c r="H454" i="132"/>
  <c r="J454" i="132" s="1"/>
  <c r="AP453" i="132"/>
  <c r="AN453" i="132"/>
  <c r="AJ453" i="132"/>
  <c r="AF453" i="132"/>
  <c r="AO453" i="132"/>
  <c r="I453" i="132"/>
  <c r="H453" i="132"/>
  <c r="J453" i="132" s="1"/>
  <c r="AF452" i="132"/>
  <c r="AB452" i="132"/>
  <c r="AP452" i="132" s="1"/>
  <c r="AA452" i="132"/>
  <c r="Z452" i="132"/>
  <c r="AP437" i="132"/>
  <c r="AN437" i="132"/>
  <c r="AJ437" i="132"/>
  <c r="AF437" i="132"/>
  <c r="I437" i="132"/>
  <c r="AM437" i="132" s="1"/>
  <c r="H437" i="132"/>
  <c r="J437" i="132" s="1"/>
  <c r="AP436" i="132"/>
  <c r="AN436" i="132"/>
  <c r="AJ436" i="132"/>
  <c r="AF436" i="132"/>
  <c r="AO436" i="132"/>
  <c r="I436" i="132"/>
  <c r="AM436" i="132" s="1"/>
  <c r="H436" i="132"/>
  <c r="J436" i="132" s="1"/>
  <c r="AP435" i="132"/>
  <c r="AN435" i="132"/>
  <c r="AJ435" i="132"/>
  <c r="AF435" i="132"/>
  <c r="X434" i="132"/>
  <c r="I435" i="132"/>
  <c r="H435" i="132"/>
  <c r="J435" i="132" s="1"/>
  <c r="AF434" i="132"/>
  <c r="AB434" i="132"/>
  <c r="AP434" i="132" s="1"/>
  <c r="AA434" i="132"/>
  <c r="Z434" i="132"/>
  <c r="AP433" i="132"/>
  <c r="AN433" i="132"/>
  <c r="AJ433" i="132"/>
  <c r="AF433" i="132"/>
  <c r="I433" i="132"/>
  <c r="AM433" i="132" s="1"/>
  <c r="H433" i="132"/>
  <c r="J433" i="132" s="1"/>
  <c r="AP432" i="132"/>
  <c r="AN432" i="132"/>
  <c r="AJ432" i="132"/>
  <c r="AF432" i="132"/>
  <c r="AO432" i="132"/>
  <c r="I432" i="132"/>
  <c r="AM432" i="132" s="1"/>
  <c r="H432" i="132"/>
  <c r="J432" i="132" s="1"/>
  <c r="AP431" i="132"/>
  <c r="AN431" i="132"/>
  <c r="AJ431" i="132"/>
  <c r="AF431" i="132"/>
  <c r="AO431" i="132"/>
  <c r="I431" i="132"/>
  <c r="K431" i="132" s="1"/>
  <c r="H431" i="132"/>
  <c r="J431" i="132" s="1"/>
  <c r="AP430" i="132"/>
  <c r="AN430" i="132"/>
  <c r="AJ430" i="132"/>
  <c r="AF430" i="132"/>
  <c r="I430" i="132"/>
  <c r="K430" i="132" s="1"/>
  <c r="H430" i="132"/>
  <c r="J430" i="132" s="1"/>
  <c r="AP429" i="132"/>
  <c r="AN429" i="132"/>
  <c r="AJ429" i="132"/>
  <c r="AF429" i="132"/>
  <c r="AO429" i="132"/>
  <c r="I429" i="132"/>
  <c r="K429" i="132" s="1"/>
  <c r="H429" i="132"/>
  <c r="J429" i="132" s="1"/>
  <c r="AP428" i="132"/>
  <c r="AN428" i="132"/>
  <c r="AJ428" i="132"/>
  <c r="AF428" i="132"/>
  <c r="I428" i="132"/>
  <c r="H428" i="132"/>
  <c r="J428" i="132" s="1"/>
  <c r="AF427" i="132"/>
  <c r="AP427" i="132"/>
  <c r="AK679" i="132" l="1"/>
  <c r="AG476" i="132"/>
  <c r="AA674" i="132"/>
  <c r="AH683" i="132"/>
  <c r="AJ667" i="132"/>
  <c r="K466" i="132"/>
  <c r="Y679" i="132"/>
  <c r="AH682" i="132"/>
  <c r="Y481" i="132"/>
  <c r="AH685" i="132"/>
  <c r="Z668" i="132"/>
  <c r="AA679" i="132"/>
  <c r="K481" i="132"/>
  <c r="K488" i="132"/>
  <c r="J667" i="132"/>
  <c r="I667" i="132"/>
  <c r="AM667" i="132" s="1"/>
  <c r="AM674" i="132"/>
  <c r="X667" i="132"/>
  <c r="AG681" i="132"/>
  <c r="Z679" i="132"/>
  <c r="L679" i="132"/>
  <c r="Y674" i="132"/>
  <c r="K428" i="132"/>
  <c r="I427" i="132"/>
  <c r="AM427" i="132" s="1"/>
  <c r="AM428" i="132"/>
  <c r="K439" i="132"/>
  <c r="I438" i="132"/>
  <c r="M679" i="132"/>
  <c r="AA668" i="132"/>
  <c r="K472" i="132"/>
  <c r="AM457" i="132"/>
  <c r="I456" i="132"/>
  <c r="K453" i="132"/>
  <c r="I452" i="132"/>
  <c r="AM452" i="132" s="1"/>
  <c r="K446" i="132"/>
  <c r="I445" i="132"/>
  <c r="AH676" i="132"/>
  <c r="K679" i="132"/>
  <c r="Y668" i="132"/>
  <c r="K435" i="132"/>
  <c r="I434" i="132"/>
  <c r="K458" i="132"/>
  <c r="K462" i="132"/>
  <c r="K668" i="132"/>
  <c r="W667" i="132"/>
  <c r="AH680" i="132"/>
  <c r="AG680" i="132"/>
  <c r="AH483" i="132"/>
  <c r="AL685" i="132"/>
  <c r="AL684" i="132"/>
  <c r="AG684" i="132"/>
  <c r="AL676" i="132"/>
  <c r="AH672" i="132"/>
  <c r="AG486" i="132"/>
  <c r="AH681" i="132"/>
  <c r="AG685" i="132"/>
  <c r="AH670" i="132"/>
  <c r="AH684" i="132"/>
  <c r="AG485" i="132"/>
  <c r="AG683" i="132"/>
  <c r="AL683" i="132"/>
  <c r="M668" i="132"/>
  <c r="AH485" i="132"/>
  <c r="AL682" i="132"/>
  <c r="AG682" i="132"/>
  <c r="AM679" i="132"/>
  <c r="AI679" i="132"/>
  <c r="AK472" i="132"/>
  <c r="AG676" i="132"/>
  <c r="AL681" i="132"/>
  <c r="AH678" i="132"/>
  <c r="AL678" i="132"/>
  <c r="L668" i="132"/>
  <c r="AK668" i="132"/>
  <c r="AK677" i="132"/>
  <c r="AG671" i="132"/>
  <c r="AH673" i="132"/>
  <c r="AL671" i="132"/>
  <c r="AL672" i="132"/>
  <c r="AH671" i="132"/>
  <c r="AN667" i="132"/>
  <c r="AG678" i="132"/>
  <c r="AG672" i="132"/>
  <c r="AG670" i="132"/>
  <c r="AO434" i="132"/>
  <c r="AL670" i="132"/>
  <c r="AG487" i="132"/>
  <c r="AO457" i="132"/>
  <c r="AH669" i="132"/>
  <c r="AL675" i="132"/>
  <c r="AG675" i="132"/>
  <c r="AI677" i="132"/>
  <c r="M677" i="132"/>
  <c r="M674" i="132" s="1"/>
  <c r="K677" i="132"/>
  <c r="K674" i="132" s="1"/>
  <c r="AM677" i="132"/>
  <c r="L677" i="132"/>
  <c r="L674" i="132" s="1"/>
  <c r="AG669" i="132"/>
  <c r="AL669" i="132"/>
  <c r="AH484" i="132"/>
  <c r="AM668" i="132"/>
  <c r="AI668" i="132"/>
  <c r="AK674" i="132"/>
  <c r="AG673" i="132"/>
  <c r="AL673" i="132"/>
  <c r="AH675" i="132"/>
  <c r="AL487" i="132"/>
  <c r="AL484" i="132"/>
  <c r="AG484" i="132"/>
  <c r="AH487" i="132"/>
  <c r="AL486" i="132"/>
  <c r="AJ445" i="132"/>
  <c r="AH490" i="132"/>
  <c r="AH486" i="132"/>
  <c r="AJ427" i="132"/>
  <c r="AK481" i="132"/>
  <c r="AI481" i="132"/>
  <c r="AG475" i="132"/>
  <c r="AJ438" i="132"/>
  <c r="AL460" i="132"/>
  <c r="AH479" i="132"/>
  <c r="AL483" i="132"/>
  <c r="J434" i="132"/>
  <c r="AK434" i="132" s="1"/>
  <c r="AG483" i="132"/>
  <c r="AJ434" i="132"/>
  <c r="AG474" i="132"/>
  <c r="AL476" i="132"/>
  <c r="AH465" i="132"/>
  <c r="AG468" i="132"/>
  <c r="AH477" i="132"/>
  <c r="AH482" i="132"/>
  <c r="AG482" i="132"/>
  <c r="AL475" i="132"/>
  <c r="Y458" i="132"/>
  <c r="AH489" i="132"/>
  <c r="AG489" i="132"/>
  <c r="AH480" i="132"/>
  <c r="AG490" i="132"/>
  <c r="AL490" i="132"/>
  <c r="AL489" i="132"/>
  <c r="AG477" i="132"/>
  <c r="AG479" i="132"/>
  <c r="AL479" i="132"/>
  <c r="AG480" i="132"/>
  <c r="AH475" i="132"/>
  <c r="AH460" i="132"/>
  <c r="AL468" i="132"/>
  <c r="AH464" i="132"/>
  <c r="AH478" i="132"/>
  <c r="AL477" i="132"/>
  <c r="AL480" i="132"/>
  <c r="AL474" i="132"/>
  <c r="AL478" i="132"/>
  <c r="AO472" i="132"/>
  <c r="AK466" i="132"/>
  <c r="AM472" i="132"/>
  <c r="AI472" i="132"/>
  <c r="AG478" i="132"/>
  <c r="AH468" i="132"/>
  <c r="AL473" i="132"/>
  <c r="AH473" i="132"/>
  <c r="AG473" i="132"/>
  <c r="AG460" i="132"/>
  <c r="AO451" i="132"/>
  <c r="AM470" i="132"/>
  <c r="J452" i="132"/>
  <c r="AG464" i="132"/>
  <c r="AL471" i="132"/>
  <c r="AG471" i="132"/>
  <c r="AH471" i="132"/>
  <c r="Y462" i="132"/>
  <c r="AG469" i="132"/>
  <c r="AL469" i="132"/>
  <c r="AL464" i="132"/>
  <c r="AL467" i="132"/>
  <c r="AH467" i="132"/>
  <c r="AG467" i="132"/>
  <c r="AG465" i="132"/>
  <c r="AN427" i="132"/>
  <c r="AK462" i="132"/>
  <c r="AL461" i="132"/>
  <c r="AO466" i="132"/>
  <c r="AI466" i="132"/>
  <c r="AH469" i="132"/>
  <c r="AI454" i="132"/>
  <c r="J438" i="132"/>
  <c r="K450" i="132"/>
  <c r="AL463" i="132"/>
  <c r="AH463" i="132"/>
  <c r="AG463" i="132"/>
  <c r="J427" i="132"/>
  <c r="AG461" i="132"/>
  <c r="AL465" i="132"/>
  <c r="AM462" i="132"/>
  <c r="AI462" i="132"/>
  <c r="AM449" i="132"/>
  <c r="J445" i="132"/>
  <c r="AI450" i="132"/>
  <c r="AH461" i="132"/>
  <c r="AO455" i="132"/>
  <c r="AO444" i="132"/>
  <c r="AI458" i="132"/>
  <c r="AM458" i="132"/>
  <c r="AK455" i="132"/>
  <c r="AK450" i="132"/>
  <c r="AK458" i="132"/>
  <c r="AK453" i="132"/>
  <c r="AL453" i="132" s="1"/>
  <c r="AM446" i="132"/>
  <c r="AH459" i="132"/>
  <c r="AG459" i="132"/>
  <c r="AN456" i="132"/>
  <c r="AK457" i="132"/>
  <c r="AI447" i="132"/>
  <c r="AK447" i="132"/>
  <c r="K457" i="132"/>
  <c r="K456" i="132" s="1"/>
  <c r="AM447" i="132"/>
  <c r="AI451" i="132"/>
  <c r="AO448" i="132"/>
  <c r="AK449" i="132"/>
  <c r="AG449" i="132" s="1"/>
  <c r="K451" i="132"/>
  <c r="AM453" i="132"/>
  <c r="AK446" i="132"/>
  <c r="AK451" i="132"/>
  <c r="AK448" i="132"/>
  <c r="AK442" i="132"/>
  <c r="AH442" i="132" s="1"/>
  <c r="AO445" i="132"/>
  <c r="K448" i="132"/>
  <c r="AO449" i="132"/>
  <c r="AK439" i="132"/>
  <c r="AL439" i="132" s="1"/>
  <c r="AK441" i="132"/>
  <c r="AO441" i="132"/>
  <c r="AI448" i="132"/>
  <c r="AO446" i="132"/>
  <c r="AO438" i="132"/>
  <c r="AK444" i="132"/>
  <c r="K440" i="132"/>
  <c r="AI443" i="132"/>
  <c r="K443" i="132"/>
  <c r="AI440" i="132"/>
  <c r="AM439" i="132"/>
  <c r="AM442" i="132"/>
  <c r="AK440" i="132"/>
  <c r="AK443" i="132"/>
  <c r="AO439" i="132"/>
  <c r="K441" i="132"/>
  <c r="AI441" i="132"/>
  <c r="K444" i="132"/>
  <c r="AI444" i="132"/>
  <c r="AO433" i="132"/>
  <c r="AK437" i="132"/>
  <c r="X452" i="132"/>
  <c r="AK454" i="132"/>
  <c r="K455" i="132"/>
  <c r="AI455" i="132"/>
  <c r="AO437" i="132"/>
  <c r="AO452" i="132"/>
  <c r="AJ452" i="132"/>
  <c r="AM454" i="132"/>
  <c r="AM455" i="132"/>
  <c r="K454" i="132"/>
  <c r="AM435" i="132"/>
  <c r="K436" i="132"/>
  <c r="AI436" i="132"/>
  <c r="AK435" i="132"/>
  <c r="AK436" i="132"/>
  <c r="AO435" i="132"/>
  <c r="K437" i="132"/>
  <c r="AI437" i="132"/>
  <c r="AK433" i="132"/>
  <c r="AO430" i="132"/>
  <c r="K432" i="132"/>
  <c r="AK430" i="132"/>
  <c r="AK431" i="132"/>
  <c r="AH431" i="132" s="1"/>
  <c r="AI432" i="132"/>
  <c r="AM431" i="132"/>
  <c r="AK432" i="132"/>
  <c r="AI429" i="132"/>
  <c r="K433" i="132"/>
  <c r="AI433" i="132"/>
  <c r="AM429" i="132"/>
  <c r="AM430" i="132"/>
  <c r="AK428" i="132"/>
  <c r="AK429" i="132"/>
  <c r="AI430" i="132"/>
  <c r="AO428" i="132"/>
  <c r="AO427" i="132"/>
  <c r="AL450" i="132" l="1"/>
  <c r="AA667" i="132"/>
  <c r="Z667" i="132"/>
  <c r="M667" i="132"/>
  <c r="AO667" i="132"/>
  <c r="K445" i="132"/>
  <c r="K452" i="132"/>
  <c r="K667" i="132"/>
  <c r="L667" i="132"/>
  <c r="K434" i="132"/>
  <c r="K427" i="132"/>
  <c r="K438" i="132"/>
  <c r="Y667" i="132"/>
  <c r="AH679" i="132"/>
  <c r="AL472" i="132"/>
  <c r="AL679" i="132"/>
  <c r="AG679" i="132"/>
  <c r="AH668" i="132"/>
  <c r="AK667" i="132"/>
  <c r="AL677" i="132"/>
  <c r="AG677" i="132"/>
  <c r="AH677" i="132"/>
  <c r="AL466" i="132"/>
  <c r="AI674" i="132"/>
  <c r="AL668" i="132"/>
  <c r="AG668" i="132"/>
  <c r="AK445" i="132"/>
  <c r="AL481" i="132"/>
  <c r="AH453" i="132"/>
  <c r="AH454" i="132"/>
  <c r="AG453" i="132"/>
  <c r="AG442" i="132"/>
  <c r="AG450" i="132"/>
  <c r="AL442" i="132"/>
  <c r="AH450" i="132"/>
  <c r="AH441" i="132"/>
  <c r="AL462" i="132"/>
  <c r="AL458" i="132"/>
  <c r="AH449" i="132"/>
  <c r="AH447" i="132"/>
  <c r="AH432" i="132"/>
  <c r="AH451" i="132"/>
  <c r="AL447" i="132"/>
  <c r="AG447" i="132"/>
  <c r="AL449" i="132"/>
  <c r="AM456" i="132"/>
  <c r="AG457" i="132"/>
  <c r="AH457" i="132"/>
  <c r="AK452" i="132"/>
  <c r="AL457" i="132"/>
  <c r="AG454" i="132"/>
  <c r="AG439" i="132"/>
  <c r="AH439" i="132"/>
  <c r="AH444" i="132"/>
  <c r="AH440" i="132"/>
  <c r="AM445" i="132"/>
  <c r="AI445" i="132"/>
  <c r="AG448" i="132"/>
  <c r="AL448" i="132"/>
  <c r="AH446" i="132"/>
  <c r="AG446" i="132"/>
  <c r="AL446" i="132"/>
  <c r="AH437" i="132"/>
  <c r="AH443" i="132"/>
  <c r="AG451" i="132"/>
  <c r="AL451" i="132"/>
  <c r="AH448" i="132"/>
  <c r="AL443" i="132"/>
  <c r="AL440" i="132"/>
  <c r="AG440" i="132"/>
  <c r="AG444" i="132"/>
  <c r="AL444" i="132"/>
  <c r="AK438" i="132"/>
  <c r="AG443" i="132"/>
  <c r="AM438" i="132"/>
  <c r="AI438" i="132"/>
  <c r="AG441" i="132"/>
  <c r="AL441" i="132"/>
  <c r="AG431" i="132"/>
  <c r="AL431" i="132"/>
  <c r="AL455" i="132"/>
  <c r="AG455" i="132"/>
  <c r="AH433" i="132"/>
  <c r="AH455" i="132"/>
  <c r="AI452" i="132"/>
  <c r="AL454" i="132"/>
  <c r="AH436" i="132"/>
  <c r="AL436" i="132"/>
  <c r="AM434" i="132"/>
  <c r="AI434" i="132"/>
  <c r="AL435" i="132"/>
  <c r="AH435" i="132"/>
  <c r="AG435" i="132"/>
  <c r="AL429" i="132"/>
  <c r="AL437" i="132"/>
  <c r="AG437" i="132"/>
  <c r="AG436" i="132"/>
  <c r="AL432" i="132"/>
  <c r="AG432" i="132"/>
  <c r="AG429" i="132"/>
  <c r="AH429" i="132"/>
  <c r="AL433" i="132"/>
  <c r="AG433" i="132"/>
  <c r="AI427" i="132"/>
  <c r="AK427" i="132"/>
  <c r="AG430" i="132"/>
  <c r="AL430" i="132"/>
  <c r="AL428" i="132"/>
  <c r="AH428" i="132"/>
  <c r="AG428" i="132"/>
  <c r="AH430" i="132"/>
  <c r="AL434" i="132" l="1"/>
  <c r="AH674" i="132"/>
  <c r="AL445" i="132"/>
  <c r="AG674" i="132"/>
  <c r="AL674" i="132"/>
  <c r="AI667" i="132"/>
  <c r="AL452" i="132"/>
  <c r="AL438" i="132"/>
  <c r="AL427" i="132"/>
  <c r="AL667" i="132" l="1"/>
  <c r="AG667" i="132"/>
  <c r="AH667" i="132"/>
  <c r="I280" i="132"/>
  <c r="J280" i="132" l="1"/>
  <c r="H280" i="132" s="1"/>
  <c r="G280" i="132" l="1"/>
  <c r="W322" i="132" l="1"/>
  <c r="W321" i="132"/>
  <c r="W320" i="132"/>
  <c r="W319" i="132"/>
  <c r="W272" i="132"/>
  <c r="W227" i="132"/>
  <c r="W226" i="132"/>
  <c r="W191" i="132"/>
  <c r="W172" i="132"/>
  <c r="I322" i="132"/>
  <c r="I321" i="132"/>
  <c r="I320" i="132"/>
  <c r="I319" i="132"/>
  <c r="I311" i="132"/>
  <c r="I272" i="132"/>
  <c r="I227" i="132"/>
  <c r="I226" i="132"/>
  <c r="I191" i="132"/>
  <c r="I172" i="132"/>
  <c r="AP82" i="132"/>
  <c r="AN82" i="132"/>
  <c r="AJ82" i="132"/>
  <c r="AF82" i="132"/>
  <c r="X82" i="132"/>
  <c r="W82" i="132"/>
  <c r="AO82" i="132" s="1"/>
  <c r="J82" i="132"/>
  <c r="I82" i="132"/>
  <c r="M82" i="132" s="1"/>
  <c r="AK82" i="132" l="1"/>
  <c r="K82" i="132"/>
  <c r="L82" i="132"/>
  <c r="AI82" i="132"/>
  <c r="Y82" i="132"/>
  <c r="Z82" i="132"/>
  <c r="AA82" i="132"/>
  <c r="AM82" i="132"/>
  <c r="AG82" i="132" l="1"/>
  <c r="AL82" i="132"/>
  <c r="AH82" i="132"/>
  <c r="AP690" i="132" l="1"/>
  <c r="AN690" i="132"/>
  <c r="AP689" i="132"/>
  <c r="AN689" i="132"/>
  <c r="AM689" i="132"/>
  <c r="AO687" i="132"/>
  <c r="AM687" i="132"/>
  <c r="AP686" i="132"/>
  <c r="AN686" i="132"/>
  <c r="AP666" i="132"/>
  <c r="AN666" i="132"/>
  <c r="AP665" i="132"/>
  <c r="AN665" i="132"/>
  <c r="AP664" i="132"/>
  <c r="AN664" i="132"/>
  <c r="AP663" i="132"/>
  <c r="AN663" i="132"/>
  <c r="AP662" i="132"/>
  <c r="AN662" i="132"/>
  <c r="AP661" i="132"/>
  <c r="AN661" i="132"/>
  <c r="AP660" i="132"/>
  <c r="AN660" i="132"/>
  <c r="AP659" i="132"/>
  <c r="AN659" i="132"/>
  <c r="AP658" i="132"/>
  <c r="AN658" i="132"/>
  <c r="AP657" i="132"/>
  <c r="AN657" i="132"/>
  <c r="AP656" i="132"/>
  <c r="AN656" i="132"/>
  <c r="AP655" i="132"/>
  <c r="AN655" i="132"/>
  <c r="AP654" i="132"/>
  <c r="AN654" i="132"/>
  <c r="AP653" i="132"/>
  <c r="AN653" i="132"/>
  <c r="AP652" i="132"/>
  <c r="AN652" i="132"/>
  <c r="AP651" i="132"/>
  <c r="AN651" i="132"/>
  <c r="AP649" i="132"/>
  <c r="AN649" i="132"/>
  <c r="AP648" i="132"/>
  <c r="AN648" i="132"/>
  <c r="AP647" i="132"/>
  <c r="AN647" i="132"/>
  <c r="AP646" i="132"/>
  <c r="AN646" i="132"/>
  <c r="AP645" i="132"/>
  <c r="AN645" i="132"/>
  <c r="AP644" i="132"/>
  <c r="AN644" i="132"/>
  <c r="AP643" i="132"/>
  <c r="AN643" i="132"/>
  <c r="AP642" i="132"/>
  <c r="AN642" i="132"/>
  <c r="AP641" i="132"/>
  <c r="AN641" i="132"/>
  <c r="AP640" i="132"/>
  <c r="AN640" i="132"/>
  <c r="AP639" i="132"/>
  <c r="AN639" i="132"/>
  <c r="AP636" i="132"/>
  <c r="AN636" i="132"/>
  <c r="AP635" i="132"/>
  <c r="AN635" i="132"/>
  <c r="AP634" i="132"/>
  <c r="AN634" i="132"/>
  <c r="AP633" i="132"/>
  <c r="AN633" i="132"/>
  <c r="AP632" i="132"/>
  <c r="AN632" i="132"/>
  <c r="AP631" i="132"/>
  <c r="AN631" i="132"/>
  <c r="AP630" i="132"/>
  <c r="AN630" i="132"/>
  <c r="AP629" i="132"/>
  <c r="AN629" i="132"/>
  <c r="AP628" i="132"/>
  <c r="AN628" i="132"/>
  <c r="AP627" i="132"/>
  <c r="AN627" i="132"/>
  <c r="AP626" i="132"/>
  <c r="AN626" i="132"/>
  <c r="AP625" i="132"/>
  <c r="AN625" i="132"/>
  <c r="AP624" i="132"/>
  <c r="AN624" i="132"/>
  <c r="AP623" i="132"/>
  <c r="AN623" i="132"/>
  <c r="AP622" i="132"/>
  <c r="AN622" i="132"/>
  <c r="AP621" i="132"/>
  <c r="AN621" i="132"/>
  <c r="AP620" i="132"/>
  <c r="AN620" i="132"/>
  <c r="AP619" i="132"/>
  <c r="AN619" i="132"/>
  <c r="AP617" i="132"/>
  <c r="AN617" i="132"/>
  <c r="AP616" i="132"/>
  <c r="AN616" i="132"/>
  <c r="AP615" i="132"/>
  <c r="AN615" i="132"/>
  <c r="AP614" i="132"/>
  <c r="AN614" i="132"/>
  <c r="AP613" i="132"/>
  <c r="AN613" i="132"/>
  <c r="AP610" i="132"/>
  <c r="AN610" i="132"/>
  <c r="AP609" i="132"/>
  <c r="AN609" i="132"/>
  <c r="AP608" i="132"/>
  <c r="AN608" i="132"/>
  <c r="AP607" i="132"/>
  <c r="AN607" i="132"/>
  <c r="AP606" i="132"/>
  <c r="AN606" i="132"/>
  <c r="AP605" i="132"/>
  <c r="AN605" i="132"/>
  <c r="AP603" i="132"/>
  <c r="AN603" i="132"/>
  <c r="AP602" i="132"/>
  <c r="AN602" i="132"/>
  <c r="AP601" i="132"/>
  <c r="AN601" i="132"/>
  <c r="AP600" i="132"/>
  <c r="AN600" i="132"/>
  <c r="AP599" i="132"/>
  <c r="AN599" i="132"/>
  <c r="AP598" i="132"/>
  <c r="AN598" i="132"/>
  <c r="AP597" i="132"/>
  <c r="AN597" i="132"/>
  <c r="AP596" i="132"/>
  <c r="AN596" i="132"/>
  <c r="AP595" i="132"/>
  <c r="AN595" i="132"/>
  <c r="AP594" i="132"/>
  <c r="AN594" i="132"/>
  <c r="AP593" i="132"/>
  <c r="AN593" i="132"/>
  <c r="AP592" i="132"/>
  <c r="AN592" i="132"/>
  <c r="AP591" i="132"/>
  <c r="AN591" i="132"/>
  <c r="AP590" i="132"/>
  <c r="AN590" i="132"/>
  <c r="AP589" i="132"/>
  <c r="AN589" i="132"/>
  <c r="AP588" i="132"/>
  <c r="AN588" i="132"/>
  <c r="AP587" i="132"/>
  <c r="AN587" i="132"/>
  <c r="AP586" i="132"/>
  <c r="AN586" i="132"/>
  <c r="AP585" i="132"/>
  <c r="AN585" i="132"/>
  <c r="AP584" i="132"/>
  <c r="AN584" i="132"/>
  <c r="AP582" i="132"/>
  <c r="AN582" i="132"/>
  <c r="AP581" i="132"/>
  <c r="AN581" i="132"/>
  <c r="AP580" i="132"/>
  <c r="AN580" i="132"/>
  <c r="AP579" i="132"/>
  <c r="AN579" i="132"/>
  <c r="AP578" i="132"/>
  <c r="AN578" i="132"/>
  <c r="AP577" i="132"/>
  <c r="AN577" i="132"/>
  <c r="AP576" i="132"/>
  <c r="AN576" i="132"/>
  <c r="AP575" i="132"/>
  <c r="AN575" i="132"/>
  <c r="AP574" i="132"/>
  <c r="AN574" i="132"/>
  <c r="AP573" i="132"/>
  <c r="AN573" i="132"/>
  <c r="AP572" i="132"/>
  <c r="AN572" i="132"/>
  <c r="AP571" i="132"/>
  <c r="AN571" i="132"/>
  <c r="AP570" i="132"/>
  <c r="AN570" i="132"/>
  <c r="AP569" i="132"/>
  <c r="AN569" i="132"/>
  <c r="AP565" i="132"/>
  <c r="AN565" i="132"/>
  <c r="AP564" i="132"/>
  <c r="AN564" i="132"/>
  <c r="AP563" i="132"/>
  <c r="AN563" i="132"/>
  <c r="AP561" i="132"/>
  <c r="AN561" i="132"/>
  <c r="AP560" i="132"/>
  <c r="AN560" i="132"/>
  <c r="AP559" i="132"/>
  <c r="AN559" i="132"/>
  <c r="AP558" i="132"/>
  <c r="AN558" i="132"/>
  <c r="AP557" i="132"/>
  <c r="AN557" i="132"/>
  <c r="AP556" i="132"/>
  <c r="AN556" i="132"/>
  <c r="AP555" i="132"/>
  <c r="AN555" i="132"/>
  <c r="AP553" i="132"/>
  <c r="AN553" i="132"/>
  <c r="AP552" i="132"/>
  <c r="AN552" i="132"/>
  <c r="AP551" i="132"/>
  <c r="AN551" i="132"/>
  <c r="AP550" i="132"/>
  <c r="AN550" i="132"/>
  <c r="AP549" i="132"/>
  <c r="AN549" i="132"/>
  <c r="AP548" i="132"/>
  <c r="AO548" i="132"/>
  <c r="AN548" i="132"/>
  <c r="AM548" i="132"/>
  <c r="AP547" i="132"/>
  <c r="AN547" i="132"/>
  <c r="AP546" i="132"/>
  <c r="AN546" i="132"/>
  <c r="AP545" i="132"/>
  <c r="AN545" i="132"/>
  <c r="AP544" i="132"/>
  <c r="AN544" i="132"/>
  <c r="AP543" i="132"/>
  <c r="AN543" i="132"/>
  <c r="AP542" i="132"/>
  <c r="AN542" i="132"/>
  <c r="AP541" i="132"/>
  <c r="AN541" i="132"/>
  <c r="AP540" i="132"/>
  <c r="AO540" i="132"/>
  <c r="AN540" i="132"/>
  <c r="AM540" i="132"/>
  <c r="AP538" i="132"/>
  <c r="AN538" i="132"/>
  <c r="AP537" i="132"/>
  <c r="AN537" i="132"/>
  <c r="AP536" i="132"/>
  <c r="AN536" i="132"/>
  <c r="AP535" i="132"/>
  <c r="AN535" i="132"/>
  <c r="AP534" i="132"/>
  <c r="AN534" i="132"/>
  <c r="AP533" i="132"/>
  <c r="AN533" i="132"/>
  <c r="AP532" i="132"/>
  <c r="AN532" i="132"/>
  <c r="AP531" i="132"/>
  <c r="AO531" i="132"/>
  <c r="AN531" i="132"/>
  <c r="AM531" i="132"/>
  <c r="AP529" i="132"/>
  <c r="AN529" i="132"/>
  <c r="AP528" i="132"/>
  <c r="AN528" i="132"/>
  <c r="AP527" i="132"/>
  <c r="AN527" i="132"/>
  <c r="AP526" i="132"/>
  <c r="AN526" i="132"/>
  <c r="AP525" i="132"/>
  <c r="AN525" i="132"/>
  <c r="AP524" i="132"/>
  <c r="AN524" i="132"/>
  <c r="AP523" i="132"/>
  <c r="AN523" i="132"/>
  <c r="AP521" i="132"/>
  <c r="AN521" i="132"/>
  <c r="AP520" i="132"/>
  <c r="AN520" i="132"/>
  <c r="AP519" i="132"/>
  <c r="AN519" i="132"/>
  <c r="AP518" i="132"/>
  <c r="AN518" i="132"/>
  <c r="AP517" i="132"/>
  <c r="AN517" i="132"/>
  <c r="AP516" i="132"/>
  <c r="AN516" i="132"/>
  <c r="AP514" i="132"/>
  <c r="AN514" i="132"/>
  <c r="AP513" i="132"/>
  <c r="AN513" i="132"/>
  <c r="AP512" i="132"/>
  <c r="AN512" i="132"/>
  <c r="AP511" i="132"/>
  <c r="AN511" i="132"/>
  <c r="AP510" i="132"/>
  <c r="AN510" i="132"/>
  <c r="AP509" i="132"/>
  <c r="AN509" i="132"/>
  <c r="AP508" i="132"/>
  <c r="AN508" i="132"/>
  <c r="AP506" i="132"/>
  <c r="AN506" i="132"/>
  <c r="AP505" i="132"/>
  <c r="AN505" i="132"/>
  <c r="AP504" i="132"/>
  <c r="AN504" i="132"/>
  <c r="AP503" i="132"/>
  <c r="AN503" i="132"/>
  <c r="AP502" i="132"/>
  <c r="AN502" i="132"/>
  <c r="AP501" i="132"/>
  <c r="AN501" i="132"/>
  <c r="AP500" i="132"/>
  <c r="AN500" i="132"/>
  <c r="AP498" i="132"/>
  <c r="AN498" i="132"/>
  <c r="AP497" i="132"/>
  <c r="AN497" i="132"/>
  <c r="AP496" i="132"/>
  <c r="AN496" i="132"/>
  <c r="AP495" i="132"/>
  <c r="AN495" i="132"/>
  <c r="AP494" i="132"/>
  <c r="AN494" i="132"/>
  <c r="AP493" i="132"/>
  <c r="AN493" i="132"/>
  <c r="AP426" i="132"/>
  <c r="AN426" i="132"/>
  <c r="AP425" i="132"/>
  <c r="AN425" i="132"/>
  <c r="AP424" i="132"/>
  <c r="AN424" i="132"/>
  <c r="AP422" i="132"/>
  <c r="AN422" i="132"/>
  <c r="AP421" i="132"/>
  <c r="AN421" i="132"/>
  <c r="AP420" i="132"/>
  <c r="AN420" i="132"/>
  <c r="AP419" i="132"/>
  <c r="AN419" i="132"/>
  <c r="AP418" i="132"/>
  <c r="AN418" i="132"/>
  <c r="AP417" i="132"/>
  <c r="AN417" i="132"/>
  <c r="AP416" i="132"/>
  <c r="AN416" i="132"/>
  <c r="AP415" i="132"/>
  <c r="AN415" i="132"/>
  <c r="AP413" i="132"/>
  <c r="AN413" i="132"/>
  <c r="AP411" i="132"/>
  <c r="AO411" i="132"/>
  <c r="AN411" i="132"/>
  <c r="AM411" i="132"/>
  <c r="AP410" i="132"/>
  <c r="AO410" i="132"/>
  <c r="AN410" i="132"/>
  <c r="AM410" i="132"/>
  <c r="AP409" i="132"/>
  <c r="AN409" i="132"/>
  <c r="AP408" i="132"/>
  <c r="AN408" i="132"/>
  <c r="AP407" i="132"/>
  <c r="AN407" i="132"/>
  <c r="AP406" i="132"/>
  <c r="AN406" i="132"/>
  <c r="AP404" i="132"/>
  <c r="AN404" i="132"/>
  <c r="AP403" i="132"/>
  <c r="AN403" i="132"/>
  <c r="AP402" i="132"/>
  <c r="AN402" i="132"/>
  <c r="AP401" i="132"/>
  <c r="AN401" i="132"/>
  <c r="AP400" i="132"/>
  <c r="AN400" i="132"/>
  <c r="AP399" i="132"/>
  <c r="AN399" i="132"/>
  <c r="AP398" i="132"/>
  <c r="AN398" i="132"/>
  <c r="AP397" i="132"/>
  <c r="AN397" i="132"/>
  <c r="AP396" i="132"/>
  <c r="AN396" i="132"/>
  <c r="AP395" i="132"/>
  <c r="AN395" i="132"/>
  <c r="AP394" i="132"/>
  <c r="AN394" i="132"/>
  <c r="AP393" i="132"/>
  <c r="AN393" i="132"/>
  <c r="AP391" i="132"/>
  <c r="AN391" i="132"/>
  <c r="AP390" i="132"/>
  <c r="AN390" i="132"/>
  <c r="AP389" i="132"/>
  <c r="AN389" i="132"/>
  <c r="AP388" i="132"/>
  <c r="AN388" i="132"/>
  <c r="AP387" i="132"/>
  <c r="AN387" i="132"/>
  <c r="AP386" i="132"/>
  <c r="AN386" i="132"/>
  <c r="AP385" i="132"/>
  <c r="AN385" i="132"/>
  <c r="AP383" i="132"/>
  <c r="AN383" i="132"/>
  <c r="AP382" i="132"/>
  <c r="AN382" i="132"/>
  <c r="AP381" i="132"/>
  <c r="AN381" i="132"/>
  <c r="AP380" i="132"/>
  <c r="AN380" i="132"/>
  <c r="AP379" i="132"/>
  <c r="AN379" i="132"/>
  <c r="AP378" i="132"/>
  <c r="AO378" i="132"/>
  <c r="AN378" i="132"/>
  <c r="AM378" i="132"/>
  <c r="AP377" i="132"/>
  <c r="AN377" i="132"/>
  <c r="AP376" i="132"/>
  <c r="AN376" i="132"/>
  <c r="AP375" i="132"/>
  <c r="AN375" i="132"/>
  <c r="AP374" i="132"/>
  <c r="AN374" i="132"/>
  <c r="AM374" i="132"/>
  <c r="AP373" i="132"/>
  <c r="AO373" i="132"/>
  <c r="AN373" i="132"/>
  <c r="AM373" i="132"/>
  <c r="AP371" i="132"/>
  <c r="AN371" i="132"/>
  <c r="AP370" i="132"/>
  <c r="AN370" i="132"/>
  <c r="AP369" i="132"/>
  <c r="AN369" i="132"/>
  <c r="AP368" i="132"/>
  <c r="AN368" i="132"/>
  <c r="AP367" i="132"/>
  <c r="AN367" i="132"/>
  <c r="AP365" i="132"/>
  <c r="AN365" i="132"/>
  <c r="AP364" i="132"/>
  <c r="AN364" i="132"/>
  <c r="AP362" i="132"/>
  <c r="AN362" i="132"/>
  <c r="AP361" i="132"/>
  <c r="AN361" i="132"/>
  <c r="AP359" i="132"/>
  <c r="AN359" i="132"/>
  <c r="AP357" i="132"/>
  <c r="AN357" i="132"/>
  <c r="AP356" i="132"/>
  <c r="AN356" i="132"/>
  <c r="AP355" i="132"/>
  <c r="AN355" i="132"/>
  <c r="AP354" i="132"/>
  <c r="AN354" i="132"/>
  <c r="AP353" i="132"/>
  <c r="AN353" i="132"/>
  <c r="AP352" i="132"/>
  <c r="AN352" i="132"/>
  <c r="AP351" i="132"/>
  <c r="AN351" i="132"/>
  <c r="AP350" i="132"/>
  <c r="AN350" i="132"/>
  <c r="AP349" i="132"/>
  <c r="AN349" i="132"/>
  <c r="AP347" i="132"/>
  <c r="AN347" i="132"/>
  <c r="AP346" i="132"/>
  <c r="AN346" i="132"/>
  <c r="AP345" i="132"/>
  <c r="AN345" i="132"/>
  <c r="AP344" i="132"/>
  <c r="AN344" i="132"/>
  <c r="AP343" i="132"/>
  <c r="AN343" i="132"/>
  <c r="AP342" i="132"/>
  <c r="AN342" i="132"/>
  <c r="AP341" i="132"/>
  <c r="AN341" i="132"/>
  <c r="AP340" i="132"/>
  <c r="AN340" i="132"/>
  <c r="AP339" i="132"/>
  <c r="AN339" i="132"/>
  <c r="AP338" i="132"/>
  <c r="AO338" i="132"/>
  <c r="AN338" i="132"/>
  <c r="AM338" i="132"/>
  <c r="AP337" i="132"/>
  <c r="AN337" i="132"/>
  <c r="AP336" i="132"/>
  <c r="AO336" i="132"/>
  <c r="AN336" i="132"/>
  <c r="AM336" i="132"/>
  <c r="AP334" i="132"/>
  <c r="AN334" i="132"/>
  <c r="AP333" i="132"/>
  <c r="AN333" i="132"/>
  <c r="AP332" i="132"/>
  <c r="AN332" i="132"/>
  <c r="AP330" i="132"/>
  <c r="AN330" i="132"/>
  <c r="AP329" i="132"/>
  <c r="AN329" i="132"/>
  <c r="AP328" i="132"/>
  <c r="AN328" i="132"/>
  <c r="AP326" i="132"/>
  <c r="AN326" i="132"/>
  <c r="AP325" i="132"/>
  <c r="AN325" i="132"/>
  <c r="AP323" i="132"/>
  <c r="AN323" i="132"/>
  <c r="AO322" i="132"/>
  <c r="AM322" i="132"/>
  <c r="AO321" i="132"/>
  <c r="AM321" i="132"/>
  <c r="AO320" i="132"/>
  <c r="AM320" i="132"/>
  <c r="AO319" i="132"/>
  <c r="AM319" i="132"/>
  <c r="AP317" i="132"/>
  <c r="AN317" i="132"/>
  <c r="AP316" i="132"/>
  <c r="AN316" i="132"/>
  <c r="AP315" i="132"/>
  <c r="AN315" i="132"/>
  <c r="AP314" i="132"/>
  <c r="AN314" i="132"/>
  <c r="AP313" i="132"/>
  <c r="AN313" i="132"/>
  <c r="AP312" i="132"/>
  <c r="AN312" i="132"/>
  <c r="AM311" i="132"/>
  <c r="AP310" i="132"/>
  <c r="AN310" i="132"/>
  <c r="AP308" i="132"/>
  <c r="AN308" i="132"/>
  <c r="AP307" i="132"/>
  <c r="AN307" i="132"/>
  <c r="AP306" i="132"/>
  <c r="AN306" i="132"/>
  <c r="AP305" i="132"/>
  <c r="AN305" i="132"/>
  <c r="AP304" i="132"/>
  <c r="AN304" i="132"/>
  <c r="AP302" i="132"/>
  <c r="AN302" i="132"/>
  <c r="AP301" i="132"/>
  <c r="AN301" i="132"/>
  <c r="AP300" i="132"/>
  <c r="AN300" i="132"/>
  <c r="AP299" i="132"/>
  <c r="AN299" i="132"/>
  <c r="AP298" i="132"/>
  <c r="AN298" i="132"/>
  <c r="AP297" i="132"/>
  <c r="AN297" i="132"/>
  <c r="AP295" i="132"/>
  <c r="AN295" i="132"/>
  <c r="AP294" i="132"/>
  <c r="AN294" i="132"/>
  <c r="AP293" i="132"/>
  <c r="AN293" i="132"/>
  <c r="AP292" i="132"/>
  <c r="AN292" i="132"/>
  <c r="AP291" i="132"/>
  <c r="AN291" i="132"/>
  <c r="AP289" i="132"/>
  <c r="AN289" i="132"/>
  <c r="AP287" i="132"/>
  <c r="AN287" i="132"/>
  <c r="AP286" i="132"/>
  <c r="AN286" i="132"/>
  <c r="AP284" i="132"/>
  <c r="AN284" i="132"/>
  <c r="AP283" i="132"/>
  <c r="AN283" i="132"/>
  <c r="AP282" i="132"/>
  <c r="AN282" i="132"/>
  <c r="AP281" i="132"/>
  <c r="AN281" i="132"/>
  <c r="AP280" i="132"/>
  <c r="AN280" i="132"/>
  <c r="AP279" i="132"/>
  <c r="AN279" i="132"/>
  <c r="AM279" i="132"/>
  <c r="AP278" i="132"/>
  <c r="AN278" i="132"/>
  <c r="AP277" i="132"/>
  <c r="AN277" i="132"/>
  <c r="AP276" i="132"/>
  <c r="AN276" i="132"/>
  <c r="AP275" i="132"/>
  <c r="AN275" i="132"/>
  <c r="AP274" i="132"/>
  <c r="AN274" i="132"/>
  <c r="AP273" i="132"/>
  <c r="AN273" i="132"/>
  <c r="AO272" i="132"/>
  <c r="AM272" i="132"/>
  <c r="AP271" i="132"/>
  <c r="AN271" i="132"/>
  <c r="AP270" i="132"/>
  <c r="AN270" i="132"/>
  <c r="AP268" i="132"/>
  <c r="AN268" i="132"/>
  <c r="AP267" i="132"/>
  <c r="AN267" i="132"/>
  <c r="AP266" i="132"/>
  <c r="AN266" i="132"/>
  <c r="AP265" i="132"/>
  <c r="AN265" i="132"/>
  <c r="AP264" i="132"/>
  <c r="AN264" i="132"/>
  <c r="AP262" i="132"/>
  <c r="AN262" i="132"/>
  <c r="AP261" i="132"/>
  <c r="AN261" i="132"/>
  <c r="AP260" i="132"/>
  <c r="AN260" i="132"/>
  <c r="AP259" i="132"/>
  <c r="AN259" i="132"/>
  <c r="AP258" i="132"/>
  <c r="AN258" i="132"/>
  <c r="AP257" i="132"/>
  <c r="AN257" i="132"/>
  <c r="AP256" i="132"/>
  <c r="AN256" i="132"/>
  <c r="AP254" i="132"/>
  <c r="AN254" i="132"/>
  <c r="AP253" i="132"/>
  <c r="AN253" i="132"/>
  <c r="AP252" i="132"/>
  <c r="AN252" i="132"/>
  <c r="AP251" i="132"/>
  <c r="AN251" i="132"/>
  <c r="AP250" i="132"/>
  <c r="AN250" i="132"/>
  <c r="AP247" i="132"/>
  <c r="AN247" i="132"/>
  <c r="AP246" i="132"/>
  <c r="AN246" i="132"/>
  <c r="AP245" i="132"/>
  <c r="AN245" i="132"/>
  <c r="AP244" i="132"/>
  <c r="AN244" i="132"/>
  <c r="AP243" i="132"/>
  <c r="AN243" i="132"/>
  <c r="AP242" i="132"/>
  <c r="AN242" i="132"/>
  <c r="AP241" i="132"/>
  <c r="AN241" i="132"/>
  <c r="AP240" i="132"/>
  <c r="AN240" i="132"/>
  <c r="AP238" i="132"/>
  <c r="AN238" i="132"/>
  <c r="AP237" i="132"/>
  <c r="AN237" i="132"/>
  <c r="AP235" i="132"/>
  <c r="AN235" i="132"/>
  <c r="AP234" i="132"/>
  <c r="AN234" i="132"/>
  <c r="AP233" i="132"/>
  <c r="AN233" i="132"/>
  <c r="AP232" i="132"/>
  <c r="AN232" i="132"/>
  <c r="AP230" i="132"/>
  <c r="AN230" i="132"/>
  <c r="AP228" i="132"/>
  <c r="AN228" i="132"/>
  <c r="AO227" i="132"/>
  <c r="AM227" i="132"/>
  <c r="AO226" i="132"/>
  <c r="AM226" i="132"/>
  <c r="AP225" i="132"/>
  <c r="AN225" i="132"/>
  <c r="AP224" i="132"/>
  <c r="AN224" i="132"/>
  <c r="AP223" i="132"/>
  <c r="AN223" i="132"/>
  <c r="AP222" i="132"/>
  <c r="AN222" i="132"/>
  <c r="AP221" i="132"/>
  <c r="AN221" i="132"/>
  <c r="AP220" i="132"/>
  <c r="AN220" i="132"/>
  <c r="AP219" i="132"/>
  <c r="AN219" i="132"/>
  <c r="AP218" i="132"/>
  <c r="AN218" i="132"/>
  <c r="AP217" i="132"/>
  <c r="AN217" i="132"/>
  <c r="AP216" i="132"/>
  <c r="AN216" i="132"/>
  <c r="AP214" i="132"/>
  <c r="AN214" i="132"/>
  <c r="AP213" i="132"/>
  <c r="AN213" i="132"/>
  <c r="AP212" i="132"/>
  <c r="AN212" i="132"/>
  <c r="AP211" i="132"/>
  <c r="AN211" i="132"/>
  <c r="AP210" i="132"/>
  <c r="AN210" i="132"/>
  <c r="AP208" i="132"/>
  <c r="AN208" i="132"/>
  <c r="AP207" i="132"/>
  <c r="AN207" i="132"/>
  <c r="AP206" i="132"/>
  <c r="AN206" i="132"/>
  <c r="AP204" i="132"/>
  <c r="AN204" i="132"/>
  <c r="AP203" i="132"/>
  <c r="AN203" i="132"/>
  <c r="AP202" i="132"/>
  <c r="AN202" i="132"/>
  <c r="AP201" i="132"/>
  <c r="AN201" i="132"/>
  <c r="AP200" i="132"/>
  <c r="AN200" i="132"/>
  <c r="AP199" i="132"/>
  <c r="AN199" i="132"/>
  <c r="AP197" i="132"/>
  <c r="AN197" i="132"/>
  <c r="AP196" i="132"/>
  <c r="AN196" i="132"/>
  <c r="AP195" i="132"/>
  <c r="AN195" i="132"/>
  <c r="AP194" i="132"/>
  <c r="AO194" i="132"/>
  <c r="AN194" i="132"/>
  <c r="AM194" i="132"/>
  <c r="AP193" i="132"/>
  <c r="AN193" i="132"/>
  <c r="AP192" i="132"/>
  <c r="AN192" i="132"/>
  <c r="AO191" i="132"/>
  <c r="AM191" i="132"/>
  <c r="AO189" i="132"/>
  <c r="AM189" i="132"/>
  <c r="AO188" i="132"/>
  <c r="AM188" i="132"/>
  <c r="AO187" i="132"/>
  <c r="AM187" i="132"/>
  <c r="AO186" i="132"/>
  <c r="AM186" i="132"/>
  <c r="AO185" i="132"/>
  <c r="AM185" i="132"/>
  <c r="AO184" i="132"/>
  <c r="AM184" i="132"/>
  <c r="AO183" i="132"/>
  <c r="AM183" i="132"/>
  <c r="AO182" i="132"/>
  <c r="AM182" i="132"/>
  <c r="AO181" i="132"/>
  <c r="AM181" i="132"/>
  <c r="AO180" i="132"/>
  <c r="AM180" i="132"/>
  <c r="AO179" i="132"/>
  <c r="AM179" i="132"/>
  <c r="AM178" i="132"/>
  <c r="AM177" i="132"/>
  <c r="AM176" i="132"/>
  <c r="AP174" i="132"/>
  <c r="AN174" i="132"/>
  <c r="AP173" i="132"/>
  <c r="AN173" i="132"/>
  <c r="AO172" i="132"/>
  <c r="AM172" i="132"/>
  <c r="AP169" i="132"/>
  <c r="AN169" i="132"/>
  <c r="AP168" i="132"/>
  <c r="AN168" i="132"/>
  <c r="AP167" i="132"/>
  <c r="AN167" i="132"/>
  <c r="AP165" i="132"/>
  <c r="AN165" i="132"/>
  <c r="AP164" i="132"/>
  <c r="AN164" i="132"/>
  <c r="AP163" i="132"/>
  <c r="AN163" i="132"/>
  <c r="AP162" i="132"/>
  <c r="AN162" i="132"/>
  <c r="AP161" i="132"/>
  <c r="AN161" i="132"/>
  <c r="AP160" i="132"/>
  <c r="AN160" i="132"/>
  <c r="AP159" i="132"/>
  <c r="AN159" i="132"/>
  <c r="AP158" i="132"/>
  <c r="AN158" i="132"/>
  <c r="AP157" i="132"/>
  <c r="AN157" i="132"/>
  <c r="AP156" i="132"/>
  <c r="AO156" i="132"/>
  <c r="AN156" i="132"/>
  <c r="AM156" i="132"/>
  <c r="AP154" i="132"/>
  <c r="AN154" i="132"/>
  <c r="AP153" i="132"/>
  <c r="AN153" i="132"/>
  <c r="AP152" i="132"/>
  <c r="AN152" i="132"/>
  <c r="AP151" i="132"/>
  <c r="AN151" i="132"/>
  <c r="AP150" i="132"/>
  <c r="AO150" i="132"/>
  <c r="AN150" i="132"/>
  <c r="AM150" i="132"/>
  <c r="AP149" i="132"/>
  <c r="AN149" i="132"/>
  <c r="AP148" i="132"/>
  <c r="AN148" i="132"/>
  <c r="AP147" i="132"/>
  <c r="AN147" i="132"/>
  <c r="AP146" i="132"/>
  <c r="AO146" i="132"/>
  <c r="AN146" i="132"/>
  <c r="AM146" i="132"/>
  <c r="AP145" i="132"/>
  <c r="AN145" i="132"/>
  <c r="AP144" i="132"/>
  <c r="AN144" i="132"/>
  <c r="AP143" i="132"/>
  <c r="AN143" i="132"/>
  <c r="AP142" i="132"/>
  <c r="AN142" i="132"/>
  <c r="AP141" i="132"/>
  <c r="AN141" i="132"/>
  <c r="AP140" i="132"/>
  <c r="AO140" i="132"/>
  <c r="AN140" i="132"/>
  <c r="AM140" i="132"/>
  <c r="AP138" i="132"/>
  <c r="AN138" i="132"/>
  <c r="AP137" i="132"/>
  <c r="AO137" i="132"/>
  <c r="AN137" i="132"/>
  <c r="AM137" i="132"/>
  <c r="AP136" i="132"/>
  <c r="AN136" i="132"/>
  <c r="AP135" i="132"/>
  <c r="AN135" i="132"/>
  <c r="AP134" i="132"/>
  <c r="AO134" i="132"/>
  <c r="AN134" i="132"/>
  <c r="AM134" i="132"/>
  <c r="AP133" i="132"/>
  <c r="AN133" i="132"/>
  <c r="AP132" i="132"/>
  <c r="AN132" i="132"/>
  <c r="AP131" i="132"/>
  <c r="AN131" i="132"/>
  <c r="AP130" i="132"/>
  <c r="AN130" i="132"/>
  <c r="AP128" i="132"/>
  <c r="AN128" i="132"/>
  <c r="AP127" i="132"/>
  <c r="AO127" i="132"/>
  <c r="AN127" i="132"/>
  <c r="AM127" i="132"/>
  <c r="AP126" i="132"/>
  <c r="AN126" i="132"/>
  <c r="AP125" i="132"/>
  <c r="AO125" i="132"/>
  <c r="AN125" i="132"/>
  <c r="AM125" i="132"/>
  <c r="AP124" i="132"/>
  <c r="AN124" i="132"/>
  <c r="AP123" i="132"/>
  <c r="AN123" i="132"/>
  <c r="AP122" i="132"/>
  <c r="AN122" i="132"/>
  <c r="AP121" i="132"/>
  <c r="AO121" i="132"/>
  <c r="AN121" i="132"/>
  <c r="AM121" i="132"/>
  <c r="AP120" i="132"/>
  <c r="AN120" i="132"/>
  <c r="AP119" i="132"/>
  <c r="AO119" i="132"/>
  <c r="AN119" i="132"/>
  <c r="AM119" i="132"/>
  <c r="AP118" i="132"/>
  <c r="AN118" i="132"/>
  <c r="AP117" i="132"/>
  <c r="AN117" i="132"/>
  <c r="AP116" i="132"/>
  <c r="AO116" i="132"/>
  <c r="AN116" i="132"/>
  <c r="AM116" i="132"/>
  <c r="AP115" i="132"/>
  <c r="AN115" i="132"/>
  <c r="AP114" i="132"/>
  <c r="AN114" i="132"/>
  <c r="AP113" i="132"/>
  <c r="AN113" i="132"/>
  <c r="AP112" i="132"/>
  <c r="AN112" i="132"/>
  <c r="AP111" i="132"/>
  <c r="AN111" i="132"/>
  <c r="AP110" i="132"/>
  <c r="AO110" i="132"/>
  <c r="AN110" i="132"/>
  <c r="AM110" i="132"/>
  <c r="AP109" i="132"/>
  <c r="AN109" i="132"/>
  <c r="AP108" i="132"/>
  <c r="AO108" i="132"/>
  <c r="AN108" i="132"/>
  <c r="AM108" i="132"/>
  <c r="AP107" i="132"/>
  <c r="AN107" i="132"/>
  <c r="AP106" i="132"/>
  <c r="AN106" i="132"/>
  <c r="AP105" i="132"/>
  <c r="AO105" i="132"/>
  <c r="AN105" i="132"/>
  <c r="AM105" i="132"/>
  <c r="AP104" i="132"/>
  <c r="AN104" i="132"/>
  <c r="AP103" i="132"/>
  <c r="AN103" i="132"/>
  <c r="AP102" i="132"/>
  <c r="AO102" i="132"/>
  <c r="AN102" i="132"/>
  <c r="AM102" i="132"/>
  <c r="AP101" i="132"/>
  <c r="AN101" i="132"/>
  <c r="AP100" i="132"/>
  <c r="AO100" i="132"/>
  <c r="AN100" i="132"/>
  <c r="AM100" i="132"/>
  <c r="AP98" i="132"/>
  <c r="AN98" i="132"/>
  <c r="AP97" i="132"/>
  <c r="AN97" i="132"/>
  <c r="AP94" i="132"/>
  <c r="AN94" i="132"/>
  <c r="AP93" i="132"/>
  <c r="AN93" i="132"/>
  <c r="AP92" i="132"/>
  <c r="AN92" i="132"/>
  <c r="AP91" i="132"/>
  <c r="AN91" i="132"/>
  <c r="AP90" i="132"/>
  <c r="AN90" i="132"/>
  <c r="AP89" i="132"/>
  <c r="AN89" i="132"/>
  <c r="AP88" i="132"/>
  <c r="AN88" i="132"/>
  <c r="AP87" i="132"/>
  <c r="AN87" i="132"/>
  <c r="AP86" i="132"/>
  <c r="AN86" i="132"/>
  <c r="AP85" i="132"/>
  <c r="AN85" i="132"/>
  <c r="AP84" i="132"/>
  <c r="AN84" i="132"/>
  <c r="AP83" i="132"/>
  <c r="AN83" i="132"/>
  <c r="AP81" i="132"/>
  <c r="AN81" i="132"/>
  <c r="AP79" i="132"/>
  <c r="AN79" i="132"/>
  <c r="AP78" i="132"/>
  <c r="AN78" i="132"/>
  <c r="AP77" i="132"/>
  <c r="AN77" i="132"/>
  <c r="AP76" i="132"/>
  <c r="AN76" i="132"/>
  <c r="AP75" i="132"/>
  <c r="AN75" i="132"/>
  <c r="AP74" i="132"/>
  <c r="AN74" i="132"/>
  <c r="AP73" i="132"/>
  <c r="AN73" i="132"/>
  <c r="AP71" i="132"/>
  <c r="AN71" i="132"/>
  <c r="AP70" i="132"/>
  <c r="AN70" i="132"/>
  <c r="AP69" i="132"/>
  <c r="AN69" i="132"/>
  <c r="AP67" i="132"/>
  <c r="AN67" i="132"/>
  <c r="AP66" i="132"/>
  <c r="AN66" i="132"/>
  <c r="AP65" i="132"/>
  <c r="AN65" i="132"/>
  <c r="AP64" i="132"/>
  <c r="AN64" i="132"/>
  <c r="AP63" i="132"/>
  <c r="AN63" i="132"/>
  <c r="AP62" i="132"/>
  <c r="AN62" i="132"/>
  <c r="AP60" i="132"/>
  <c r="AN60" i="132"/>
  <c r="AP59" i="132"/>
  <c r="AN59" i="132"/>
  <c r="AP57" i="132"/>
  <c r="AN57" i="132"/>
  <c r="AP56" i="132"/>
  <c r="AN56" i="132"/>
  <c r="AP55" i="132"/>
  <c r="AN55" i="132"/>
  <c r="AP53" i="132"/>
  <c r="AN53" i="132"/>
  <c r="AP52" i="132"/>
  <c r="AO52" i="132"/>
  <c r="AN52" i="132"/>
  <c r="AM52" i="132"/>
  <c r="AP51" i="132"/>
  <c r="AN51" i="132"/>
  <c r="AP50" i="132"/>
  <c r="AO50" i="132"/>
  <c r="AN50" i="132"/>
  <c r="AM50" i="132"/>
  <c r="AP49" i="132"/>
  <c r="AN49" i="132"/>
  <c r="AP48" i="132"/>
  <c r="AN48" i="132"/>
  <c r="AP47" i="132"/>
  <c r="AN47" i="132"/>
  <c r="AP46" i="132"/>
  <c r="AN46" i="132"/>
  <c r="AP45" i="132"/>
  <c r="AN45" i="132"/>
  <c r="AP44" i="132"/>
  <c r="AO44" i="132"/>
  <c r="AN44" i="132"/>
  <c r="AM44" i="132"/>
  <c r="AP43" i="132"/>
  <c r="AN43" i="132"/>
  <c r="AP42" i="132"/>
  <c r="AO42" i="132"/>
  <c r="AN42" i="132"/>
  <c r="AM42" i="132"/>
  <c r="AP40" i="132"/>
  <c r="AN40" i="132"/>
  <c r="AP39" i="132"/>
  <c r="AN39" i="132"/>
  <c r="AP38" i="132"/>
  <c r="AN38" i="132"/>
  <c r="AP37" i="132"/>
  <c r="AN37" i="132"/>
  <c r="AP36" i="132"/>
  <c r="AO36" i="132"/>
  <c r="AN36" i="132"/>
  <c r="AM36" i="132"/>
  <c r="AP35" i="132"/>
  <c r="AN35" i="132"/>
  <c r="AP33" i="132"/>
  <c r="AN33" i="132"/>
  <c r="AP32" i="132"/>
  <c r="AO32" i="132"/>
  <c r="AN32" i="132"/>
  <c r="AM32" i="132"/>
  <c r="AP31" i="132"/>
  <c r="AN31" i="132"/>
  <c r="AP30" i="132"/>
  <c r="AN30" i="132"/>
  <c r="AP29" i="132"/>
  <c r="AN29" i="132"/>
  <c r="AP28" i="132"/>
  <c r="AN28" i="132"/>
  <c r="AP27" i="132"/>
  <c r="AN27" i="132"/>
  <c r="AP25" i="132"/>
  <c r="AN25" i="132"/>
  <c r="AP24" i="132"/>
  <c r="AN24" i="132"/>
  <c r="AP23" i="132"/>
  <c r="AN23" i="132"/>
  <c r="AP22" i="132"/>
  <c r="AO22" i="132"/>
  <c r="AN22" i="132"/>
  <c r="AM22" i="132"/>
  <c r="AP21" i="132"/>
  <c r="AN21" i="132"/>
  <c r="AP20" i="132"/>
  <c r="AN20" i="132"/>
  <c r="AP19" i="132"/>
  <c r="AN19" i="132"/>
  <c r="AP18" i="132"/>
  <c r="AN18" i="132"/>
  <c r="AP17" i="132"/>
  <c r="AN17" i="132"/>
  <c r="AP16" i="132"/>
  <c r="AN16" i="132"/>
  <c r="AP15" i="132"/>
  <c r="AN15" i="132"/>
  <c r="AP14" i="132"/>
  <c r="AN14" i="132"/>
  <c r="AP13" i="132"/>
  <c r="AN13" i="132"/>
  <c r="AE166" i="132" l="1"/>
  <c r="AB155" i="132"/>
  <c r="AP155" i="132" s="1"/>
  <c r="AA155" i="132"/>
  <c r="Z155" i="132"/>
  <c r="N155" i="132"/>
  <c r="AN155" i="132" s="1"/>
  <c r="M155" i="132"/>
  <c r="AB166" i="132"/>
  <c r="AP166" i="132" s="1"/>
  <c r="N166" i="132"/>
  <c r="AN166" i="132" s="1"/>
  <c r="AF80" i="132"/>
  <c r="AE80" i="132"/>
  <c r="AE54" i="132"/>
  <c r="AB41" i="132"/>
  <c r="AP41" i="132" s="1"/>
  <c r="AA41" i="132"/>
  <c r="N41" i="132"/>
  <c r="AN41" i="132" s="1"/>
  <c r="M41" i="132"/>
  <c r="AB54" i="132"/>
  <c r="AP54" i="132" s="1"/>
  <c r="N54" i="132"/>
  <c r="AN54" i="132" s="1"/>
  <c r="AB80" i="132" l="1"/>
  <c r="AP80" i="132" s="1"/>
  <c r="N80" i="132"/>
  <c r="AN80" i="132" s="1"/>
  <c r="AB72" i="132"/>
  <c r="AP72" i="132" s="1"/>
  <c r="N72" i="132"/>
  <c r="AN72" i="132" s="1"/>
  <c r="J199" i="132" l="1"/>
  <c r="AF13" i="132" l="1"/>
  <c r="AF14" i="132"/>
  <c r="AF15" i="132"/>
  <c r="AF16" i="132"/>
  <c r="AF17" i="132"/>
  <c r="AF18" i="132"/>
  <c r="AF19" i="132"/>
  <c r="AF20" i="132"/>
  <c r="AF21" i="132"/>
  <c r="AF22" i="132"/>
  <c r="AF23" i="132"/>
  <c r="AF24" i="132"/>
  <c r="AF25" i="132"/>
  <c r="AF26" i="132"/>
  <c r="AF27" i="132"/>
  <c r="AF28" i="132"/>
  <c r="AF29" i="132"/>
  <c r="AF30" i="132"/>
  <c r="AF31" i="132"/>
  <c r="AF32" i="132"/>
  <c r="AF33" i="132"/>
  <c r="AF34" i="132"/>
  <c r="AF35" i="132"/>
  <c r="AF36" i="132"/>
  <c r="AF37" i="132"/>
  <c r="AF38" i="132"/>
  <c r="AF39" i="132"/>
  <c r="AF40" i="132"/>
  <c r="AF41" i="132"/>
  <c r="AF42" i="132"/>
  <c r="AF43" i="132"/>
  <c r="AF44" i="132"/>
  <c r="AF45" i="132"/>
  <c r="AF46" i="132"/>
  <c r="AF47" i="132"/>
  <c r="AF48" i="132"/>
  <c r="AF49" i="132"/>
  <c r="AF50" i="132"/>
  <c r="AF51" i="132"/>
  <c r="AF52" i="132"/>
  <c r="AF53" i="132"/>
  <c r="AF54" i="132"/>
  <c r="AF55" i="132"/>
  <c r="AF56" i="132"/>
  <c r="AF57" i="132"/>
  <c r="AF58" i="132"/>
  <c r="AF59" i="132"/>
  <c r="AF60" i="132"/>
  <c r="AF61" i="132"/>
  <c r="AF62" i="132"/>
  <c r="AF63" i="132"/>
  <c r="AF64" i="132"/>
  <c r="AF65" i="132"/>
  <c r="AF66" i="132"/>
  <c r="AF67" i="132"/>
  <c r="AF68" i="132"/>
  <c r="AF69" i="132"/>
  <c r="AF70" i="132"/>
  <c r="AF71" i="132"/>
  <c r="AF72" i="132"/>
  <c r="AF73" i="132"/>
  <c r="AF74" i="132"/>
  <c r="AF75" i="132"/>
  <c r="AF76" i="132"/>
  <c r="AF77" i="132"/>
  <c r="AF78" i="132"/>
  <c r="AF79" i="132"/>
  <c r="AF81" i="132"/>
  <c r="AF83" i="132"/>
  <c r="AF84" i="132"/>
  <c r="AF85" i="132"/>
  <c r="AF86" i="132"/>
  <c r="AF87" i="132"/>
  <c r="AF88" i="132"/>
  <c r="AF89" i="132"/>
  <c r="AF90" i="132"/>
  <c r="AF91" i="132"/>
  <c r="AF92" i="132"/>
  <c r="AF93" i="132"/>
  <c r="AF94" i="132"/>
  <c r="AF95" i="132"/>
  <c r="AF96" i="132"/>
  <c r="AF97" i="132"/>
  <c r="AF98" i="132"/>
  <c r="AF99" i="132"/>
  <c r="AF100" i="132"/>
  <c r="AF101" i="132"/>
  <c r="AF102" i="132"/>
  <c r="AF103" i="132"/>
  <c r="AF104" i="132"/>
  <c r="AF105" i="132"/>
  <c r="AF106" i="132"/>
  <c r="AF107" i="132"/>
  <c r="AF108" i="132"/>
  <c r="AF109" i="132"/>
  <c r="AF110" i="132"/>
  <c r="AF111" i="132"/>
  <c r="AF112" i="132"/>
  <c r="AF113" i="132"/>
  <c r="AF114" i="132"/>
  <c r="AF115" i="132"/>
  <c r="AF116" i="132"/>
  <c r="AF117" i="132"/>
  <c r="AF118" i="132"/>
  <c r="AF119" i="132"/>
  <c r="AF120" i="132"/>
  <c r="AF121" i="132"/>
  <c r="AF122" i="132"/>
  <c r="AF123" i="132"/>
  <c r="AF124" i="132"/>
  <c r="AF125" i="132"/>
  <c r="AF126" i="132"/>
  <c r="AF127" i="132"/>
  <c r="AF128" i="132"/>
  <c r="AF129" i="132"/>
  <c r="AF130" i="132"/>
  <c r="AF131" i="132"/>
  <c r="AF132" i="132"/>
  <c r="AF133" i="132"/>
  <c r="AF134" i="132"/>
  <c r="AF135" i="132"/>
  <c r="AF136" i="132"/>
  <c r="AF137" i="132"/>
  <c r="AF138" i="132"/>
  <c r="AF139" i="132"/>
  <c r="AF140" i="132"/>
  <c r="AF141" i="132"/>
  <c r="AF142" i="132"/>
  <c r="AF143" i="132"/>
  <c r="AF144" i="132"/>
  <c r="AF145" i="132"/>
  <c r="AF146" i="132"/>
  <c r="AF147" i="132"/>
  <c r="AF148" i="132"/>
  <c r="AF149" i="132"/>
  <c r="AF150" i="132"/>
  <c r="AF151" i="132"/>
  <c r="AF152" i="132"/>
  <c r="AF153" i="132"/>
  <c r="AF154" i="132"/>
  <c r="AF155" i="132"/>
  <c r="AF156" i="132"/>
  <c r="AF157" i="132"/>
  <c r="AF158" i="132"/>
  <c r="AF159" i="132"/>
  <c r="AF160" i="132"/>
  <c r="AF161" i="132"/>
  <c r="AF162" i="132"/>
  <c r="AF163" i="132"/>
  <c r="AF164" i="132"/>
  <c r="AF165" i="132"/>
  <c r="AF166" i="132"/>
  <c r="AF167" i="132"/>
  <c r="AF168" i="132"/>
  <c r="AF169" i="132"/>
  <c r="AF170" i="132"/>
  <c r="AF171" i="132"/>
  <c r="AF172" i="132"/>
  <c r="AF173" i="132"/>
  <c r="AF174" i="132"/>
  <c r="AF175" i="132"/>
  <c r="AF176" i="132"/>
  <c r="AF177" i="132"/>
  <c r="AF178" i="132"/>
  <c r="AF179" i="132"/>
  <c r="AF180" i="132"/>
  <c r="AF181" i="132"/>
  <c r="AF182" i="132"/>
  <c r="AF183" i="132"/>
  <c r="AF184" i="132"/>
  <c r="AF185" i="132"/>
  <c r="AF186" i="132"/>
  <c r="AF187" i="132"/>
  <c r="AF188" i="132"/>
  <c r="AF189" i="132"/>
  <c r="AF190" i="132"/>
  <c r="AF191" i="132"/>
  <c r="AF192" i="132"/>
  <c r="AF193" i="132"/>
  <c r="AF194" i="132"/>
  <c r="AF195" i="132"/>
  <c r="AF196" i="132"/>
  <c r="AF197" i="132"/>
  <c r="AF198" i="132"/>
  <c r="AF199" i="132"/>
  <c r="AF200" i="132"/>
  <c r="AF201" i="132"/>
  <c r="AF202" i="132"/>
  <c r="AF203" i="132"/>
  <c r="AF204" i="132"/>
  <c r="AF205" i="132"/>
  <c r="AF206" i="132"/>
  <c r="AF207" i="132"/>
  <c r="AF208" i="132"/>
  <c r="AF209" i="132"/>
  <c r="AF210" i="132"/>
  <c r="AF211" i="132"/>
  <c r="AF212" i="132"/>
  <c r="AF213" i="132"/>
  <c r="AF214" i="132"/>
  <c r="AF215" i="132"/>
  <c r="AF216" i="132"/>
  <c r="AF217" i="132"/>
  <c r="AF218" i="132"/>
  <c r="AF219" i="132"/>
  <c r="AF220" i="132"/>
  <c r="AF221" i="132"/>
  <c r="AF222" i="132"/>
  <c r="AF223" i="132"/>
  <c r="AF224" i="132"/>
  <c r="AF225" i="132"/>
  <c r="AF226" i="132"/>
  <c r="AF227" i="132"/>
  <c r="AF228" i="132"/>
  <c r="AF229" i="132"/>
  <c r="AF230" i="132"/>
  <c r="AF231" i="132"/>
  <c r="AF232" i="132"/>
  <c r="AF233" i="132"/>
  <c r="AF234" i="132"/>
  <c r="AF235" i="132"/>
  <c r="AF236" i="132"/>
  <c r="AF237" i="132"/>
  <c r="AF238" i="132"/>
  <c r="AF239" i="132"/>
  <c r="AF240" i="132"/>
  <c r="AF241" i="132"/>
  <c r="AF242" i="132"/>
  <c r="AF243" i="132"/>
  <c r="AF244" i="132"/>
  <c r="AF245" i="132"/>
  <c r="AF246" i="132"/>
  <c r="AF247" i="132"/>
  <c r="AF248" i="132"/>
  <c r="AF249" i="132"/>
  <c r="AF250" i="132"/>
  <c r="AF251" i="132"/>
  <c r="AF252" i="132"/>
  <c r="AF253" i="132"/>
  <c r="AF254" i="132"/>
  <c r="AF255" i="132"/>
  <c r="AF256" i="132"/>
  <c r="AF257" i="132"/>
  <c r="AF258" i="132"/>
  <c r="AF259" i="132"/>
  <c r="AF260" i="132"/>
  <c r="AF261" i="132"/>
  <c r="AF262" i="132"/>
  <c r="AF263" i="132"/>
  <c r="AF264" i="132"/>
  <c r="AF265" i="132"/>
  <c r="AF266" i="132"/>
  <c r="AF267" i="132"/>
  <c r="AF268" i="132"/>
  <c r="AF269" i="132"/>
  <c r="AF270" i="132"/>
  <c r="AF271" i="132"/>
  <c r="AF272" i="132"/>
  <c r="AF273" i="132"/>
  <c r="AF274" i="132"/>
  <c r="AF275" i="132"/>
  <c r="AF276" i="132"/>
  <c r="AF277" i="132"/>
  <c r="AF278" i="132"/>
  <c r="AF279" i="132"/>
  <c r="AF280" i="132"/>
  <c r="AF281" i="132"/>
  <c r="AF282" i="132"/>
  <c r="AF283" i="132"/>
  <c r="AF284" i="132"/>
  <c r="AF285" i="132"/>
  <c r="AF286" i="132"/>
  <c r="AF287" i="132"/>
  <c r="AF288" i="132"/>
  <c r="AF289" i="132"/>
  <c r="AF290" i="132"/>
  <c r="AF291" i="132"/>
  <c r="AF292" i="132"/>
  <c r="AF293" i="132"/>
  <c r="AF294" i="132"/>
  <c r="AF295" i="132"/>
  <c r="AF296" i="132"/>
  <c r="AF297" i="132"/>
  <c r="AF298" i="132"/>
  <c r="AF299" i="132"/>
  <c r="AF300" i="132"/>
  <c r="AF301" i="132"/>
  <c r="AF302" i="132"/>
  <c r="AF303" i="132"/>
  <c r="AF304" i="132"/>
  <c r="AF305" i="132"/>
  <c r="AF306" i="132"/>
  <c r="AF307" i="132"/>
  <c r="AF308" i="132"/>
  <c r="AF309" i="132"/>
  <c r="AF310" i="132"/>
  <c r="AF311" i="132"/>
  <c r="AF312" i="132"/>
  <c r="AF313" i="132"/>
  <c r="AF314" i="132"/>
  <c r="AF315" i="132"/>
  <c r="AF316" i="132"/>
  <c r="AF317" i="132"/>
  <c r="AF318" i="132"/>
  <c r="AF319" i="132"/>
  <c r="AF320" i="132"/>
  <c r="AF321" i="132"/>
  <c r="AF322" i="132"/>
  <c r="AF323" i="132"/>
  <c r="AF324" i="132"/>
  <c r="AF325" i="132"/>
  <c r="AF326" i="132"/>
  <c r="AF327" i="132"/>
  <c r="AF328" i="132"/>
  <c r="AF329" i="132"/>
  <c r="AF330" i="132"/>
  <c r="AF331" i="132"/>
  <c r="AF332" i="132"/>
  <c r="AF333" i="132"/>
  <c r="AF334" i="132"/>
  <c r="AF335" i="132"/>
  <c r="AF336" i="132"/>
  <c r="AF337" i="132"/>
  <c r="AF338" i="132"/>
  <c r="AF339" i="132"/>
  <c r="AF340" i="132"/>
  <c r="AF341" i="132"/>
  <c r="AF342" i="132"/>
  <c r="AF343" i="132"/>
  <c r="AF344" i="132"/>
  <c r="AF345" i="132"/>
  <c r="AF346" i="132"/>
  <c r="AF347" i="132"/>
  <c r="AF348" i="132"/>
  <c r="AF349" i="132"/>
  <c r="AF350" i="132"/>
  <c r="AF351" i="132"/>
  <c r="AF352" i="132"/>
  <c r="AF353" i="132"/>
  <c r="AF354" i="132"/>
  <c r="AF355" i="132"/>
  <c r="AF356" i="132"/>
  <c r="AF357" i="132"/>
  <c r="AF358" i="132"/>
  <c r="AF359" i="132"/>
  <c r="AF360" i="132"/>
  <c r="AF361" i="132"/>
  <c r="AF362" i="132"/>
  <c r="AF363" i="132"/>
  <c r="AF364" i="132"/>
  <c r="AF365" i="132"/>
  <c r="AF366" i="132"/>
  <c r="AF367" i="132"/>
  <c r="AF368" i="132"/>
  <c r="AF369" i="132"/>
  <c r="AF370" i="132"/>
  <c r="AF371" i="132"/>
  <c r="AF372" i="132"/>
  <c r="AF373" i="132"/>
  <c r="AF374" i="132"/>
  <c r="AF375" i="132"/>
  <c r="AF376" i="132"/>
  <c r="AF377" i="132"/>
  <c r="AF378" i="132"/>
  <c r="AF379" i="132"/>
  <c r="AF380" i="132"/>
  <c r="AF381" i="132"/>
  <c r="AF382" i="132"/>
  <c r="AF383" i="132"/>
  <c r="AF384" i="132"/>
  <c r="AF385" i="132"/>
  <c r="AF386" i="132"/>
  <c r="AF387" i="132"/>
  <c r="AF388" i="132"/>
  <c r="AF389" i="132"/>
  <c r="AF390" i="132"/>
  <c r="AF391" i="132"/>
  <c r="AF392" i="132"/>
  <c r="AF393" i="132"/>
  <c r="AF394" i="132"/>
  <c r="AF395" i="132"/>
  <c r="AF396" i="132"/>
  <c r="AF397" i="132"/>
  <c r="AF398" i="132"/>
  <c r="AF399" i="132"/>
  <c r="AF400" i="132"/>
  <c r="AF401" i="132"/>
  <c r="AF402" i="132"/>
  <c r="AF403" i="132"/>
  <c r="AF404" i="132"/>
  <c r="AF405" i="132"/>
  <c r="AF406" i="132"/>
  <c r="AF407" i="132"/>
  <c r="AF408" i="132"/>
  <c r="AF409" i="132"/>
  <c r="AF410" i="132"/>
  <c r="AF411" i="132"/>
  <c r="AF412" i="132"/>
  <c r="AF413" i="132"/>
  <c r="AF414" i="132"/>
  <c r="AF415" i="132"/>
  <c r="AF416" i="132"/>
  <c r="AF417" i="132"/>
  <c r="AF418" i="132"/>
  <c r="AF419" i="132"/>
  <c r="AF420" i="132"/>
  <c r="AF421" i="132"/>
  <c r="AF422" i="132"/>
  <c r="AF423" i="132"/>
  <c r="AF424" i="132"/>
  <c r="AF425" i="132"/>
  <c r="AF426" i="132"/>
  <c r="AF491" i="132"/>
  <c r="AF492" i="132"/>
  <c r="AF493" i="132"/>
  <c r="AF494" i="132"/>
  <c r="AF495" i="132"/>
  <c r="AF496" i="132"/>
  <c r="AF497" i="132"/>
  <c r="AF498" i="132"/>
  <c r="AF499" i="132"/>
  <c r="AF500" i="132"/>
  <c r="AF501" i="132"/>
  <c r="AF502" i="132"/>
  <c r="AF503" i="132"/>
  <c r="AF504" i="132"/>
  <c r="AF505" i="132"/>
  <c r="AF506" i="132"/>
  <c r="AF507" i="132"/>
  <c r="AF508" i="132"/>
  <c r="AF509" i="132"/>
  <c r="AF510" i="132"/>
  <c r="AF511" i="132"/>
  <c r="AF512" i="132"/>
  <c r="AF513" i="132"/>
  <c r="AF514" i="132"/>
  <c r="AF515" i="132"/>
  <c r="AF516" i="132"/>
  <c r="AF517" i="132"/>
  <c r="AF518" i="132"/>
  <c r="AF519" i="132"/>
  <c r="AF520" i="132"/>
  <c r="AF521" i="132"/>
  <c r="AF522" i="132"/>
  <c r="AF523" i="132"/>
  <c r="AF524" i="132"/>
  <c r="AF525" i="132"/>
  <c r="AF526" i="132"/>
  <c r="AF527" i="132"/>
  <c r="AF528" i="132"/>
  <c r="AF529" i="132"/>
  <c r="AF530" i="132"/>
  <c r="AF531" i="132"/>
  <c r="AF532" i="132"/>
  <c r="AF533" i="132"/>
  <c r="AF534" i="132"/>
  <c r="AF535" i="132"/>
  <c r="AF536" i="132"/>
  <c r="AF537" i="132"/>
  <c r="AF538" i="132"/>
  <c r="AF539" i="132"/>
  <c r="AF540" i="132"/>
  <c r="AF541" i="132"/>
  <c r="AF542" i="132"/>
  <c r="AF543" i="132"/>
  <c r="AF544" i="132"/>
  <c r="AF545" i="132"/>
  <c r="AF546" i="132"/>
  <c r="AF547" i="132"/>
  <c r="AF548" i="132"/>
  <c r="AF549" i="132"/>
  <c r="AF550" i="132"/>
  <c r="AF551" i="132"/>
  <c r="AF552" i="132"/>
  <c r="AF553" i="132"/>
  <c r="AF554" i="132"/>
  <c r="AF555" i="132"/>
  <c r="AF556" i="132"/>
  <c r="AF557" i="132"/>
  <c r="AF558" i="132"/>
  <c r="AF559" i="132"/>
  <c r="AF560" i="132"/>
  <c r="AF561" i="132"/>
  <c r="AF562" i="132"/>
  <c r="AF563" i="132"/>
  <c r="AF564" i="132"/>
  <c r="AF565" i="132"/>
  <c r="AF566" i="132"/>
  <c r="AF567" i="132"/>
  <c r="AF568" i="132"/>
  <c r="AF569" i="132"/>
  <c r="AF570" i="132"/>
  <c r="AF571" i="132"/>
  <c r="AF572" i="132"/>
  <c r="AF573" i="132"/>
  <c r="AF574" i="132"/>
  <c r="AF575" i="132"/>
  <c r="AF576" i="132"/>
  <c r="AF577" i="132"/>
  <c r="AF578" i="132"/>
  <c r="AF579" i="132"/>
  <c r="AF580" i="132"/>
  <c r="AF581" i="132"/>
  <c r="AF582" i="132"/>
  <c r="AF583" i="132"/>
  <c r="AF584" i="132"/>
  <c r="AF585" i="132"/>
  <c r="AF586" i="132"/>
  <c r="AF587" i="132"/>
  <c r="AF588" i="132"/>
  <c r="AF589" i="132"/>
  <c r="AF590" i="132"/>
  <c r="AF591" i="132"/>
  <c r="AF592" i="132"/>
  <c r="AF593" i="132"/>
  <c r="AF594" i="132"/>
  <c r="AF595" i="132"/>
  <c r="AF596" i="132"/>
  <c r="AF597" i="132"/>
  <c r="AF598" i="132"/>
  <c r="AF599" i="132"/>
  <c r="AF600" i="132"/>
  <c r="AF601" i="132"/>
  <c r="AF602" i="132"/>
  <c r="AF603" i="132"/>
  <c r="AF604" i="132"/>
  <c r="AF605" i="132"/>
  <c r="AF606" i="132"/>
  <c r="AF607" i="132"/>
  <c r="AF608" i="132"/>
  <c r="AF609" i="132"/>
  <c r="AF610" i="132"/>
  <c r="AF611" i="132"/>
  <c r="AF612" i="132"/>
  <c r="AF613" i="132"/>
  <c r="AF614" i="132"/>
  <c r="AF615" i="132"/>
  <c r="AF616" i="132"/>
  <c r="AF617" i="132"/>
  <c r="AF618" i="132"/>
  <c r="AF619" i="132"/>
  <c r="AF620" i="132"/>
  <c r="AF621" i="132"/>
  <c r="AF622" i="132"/>
  <c r="AF623" i="132"/>
  <c r="AF624" i="132"/>
  <c r="AF625" i="132"/>
  <c r="AF626" i="132"/>
  <c r="AF627" i="132"/>
  <c r="AF628" i="132"/>
  <c r="AF629" i="132"/>
  <c r="AF630" i="132"/>
  <c r="AF631" i="132"/>
  <c r="AF632" i="132"/>
  <c r="AF633" i="132"/>
  <c r="AF634" i="132"/>
  <c r="AF635" i="132"/>
  <c r="AF636" i="132"/>
  <c r="AF637" i="132"/>
  <c r="AF638" i="132"/>
  <c r="AF639" i="132"/>
  <c r="AF640" i="132"/>
  <c r="AF641" i="132"/>
  <c r="AF642" i="132"/>
  <c r="AF643" i="132"/>
  <c r="AF644" i="132"/>
  <c r="AF645" i="132"/>
  <c r="AF646" i="132"/>
  <c r="AF647" i="132"/>
  <c r="AF648" i="132"/>
  <c r="AF649" i="132"/>
  <c r="AF650" i="132"/>
  <c r="AF651" i="132"/>
  <c r="AF652" i="132"/>
  <c r="AF653" i="132"/>
  <c r="AF654" i="132"/>
  <c r="AF655" i="132"/>
  <c r="AF656" i="132"/>
  <c r="AF657" i="132"/>
  <c r="AF658" i="132"/>
  <c r="AF659" i="132"/>
  <c r="AF660" i="132"/>
  <c r="AF661" i="132"/>
  <c r="AF662" i="132"/>
  <c r="AF663" i="132"/>
  <c r="AF664" i="132"/>
  <c r="AF665" i="132"/>
  <c r="AF666" i="132"/>
  <c r="AF686" i="132"/>
  <c r="AF687" i="132"/>
  <c r="AF688" i="132"/>
  <c r="AF689" i="132"/>
  <c r="AF690" i="132"/>
  <c r="AF691" i="132"/>
  <c r="AF12" i="132"/>
  <c r="R555" i="132" l="1"/>
  <c r="D555" i="132"/>
  <c r="W295" i="132"/>
  <c r="AO295" i="132" s="1"/>
  <c r="I295" i="132"/>
  <c r="AM295" i="132" s="1"/>
  <c r="W666" i="132"/>
  <c r="V666" i="132"/>
  <c r="X666" i="132" s="1"/>
  <c r="W665" i="132"/>
  <c r="V665" i="132"/>
  <c r="X665" i="132" s="1"/>
  <c r="W664" i="132"/>
  <c r="V664" i="132"/>
  <c r="X664" i="132" s="1"/>
  <c r="W663" i="132"/>
  <c r="V663" i="132"/>
  <c r="X663" i="132" s="1"/>
  <c r="W662" i="132"/>
  <c r="V662" i="132"/>
  <c r="X662" i="132" s="1"/>
  <c r="W661" i="132"/>
  <c r="V661" i="132"/>
  <c r="X661" i="132" s="1"/>
  <c r="W660" i="132"/>
  <c r="V660" i="132"/>
  <c r="X660" i="132" s="1"/>
  <c r="W659" i="132"/>
  <c r="V659" i="132"/>
  <c r="X659" i="132" s="1"/>
  <c r="W658" i="132"/>
  <c r="V658" i="132"/>
  <c r="X658" i="132" s="1"/>
  <c r="W657" i="132"/>
  <c r="V657" i="132"/>
  <c r="X657" i="132" s="1"/>
  <c r="W656" i="132"/>
  <c r="V656" i="132"/>
  <c r="X656" i="132" s="1"/>
  <c r="W655" i="132"/>
  <c r="V655" i="132"/>
  <c r="X655" i="132" s="1"/>
  <c r="W654" i="132"/>
  <c r="V654" i="132"/>
  <c r="X654" i="132" s="1"/>
  <c r="V653" i="132"/>
  <c r="S653" i="132"/>
  <c r="W652" i="132"/>
  <c r="V652" i="132"/>
  <c r="X652" i="132" s="1"/>
  <c r="W651" i="132"/>
  <c r="V651" i="132"/>
  <c r="X651" i="132" s="1"/>
  <c r="W649" i="132"/>
  <c r="V649" i="132"/>
  <c r="X649" i="132" s="1"/>
  <c r="W648" i="132"/>
  <c r="V648" i="132"/>
  <c r="X648" i="132" s="1"/>
  <c r="W647" i="132"/>
  <c r="V647" i="132"/>
  <c r="X647" i="132" s="1"/>
  <c r="W646" i="132"/>
  <c r="V646" i="132"/>
  <c r="X646" i="132" s="1"/>
  <c r="W645" i="132"/>
  <c r="V645" i="132"/>
  <c r="X645" i="132" s="1"/>
  <c r="W644" i="132"/>
  <c r="V644" i="132"/>
  <c r="X644" i="132" s="1"/>
  <c r="W643" i="132"/>
  <c r="V643" i="132"/>
  <c r="X643" i="132" s="1"/>
  <c r="W642" i="132"/>
  <c r="V642" i="132"/>
  <c r="X642" i="132" s="1"/>
  <c r="W641" i="132"/>
  <c r="V641" i="132"/>
  <c r="X641" i="132" s="1"/>
  <c r="W640" i="132"/>
  <c r="V640" i="132"/>
  <c r="X640" i="132" s="1"/>
  <c r="W639" i="132"/>
  <c r="V639" i="132"/>
  <c r="X639" i="132" s="1"/>
  <c r="W636" i="132"/>
  <c r="V636" i="132"/>
  <c r="X636" i="132" s="1"/>
  <c r="W635" i="132"/>
  <c r="V635" i="132"/>
  <c r="X635" i="132" s="1"/>
  <c r="W634" i="132"/>
  <c r="V634" i="132"/>
  <c r="X634" i="132" s="1"/>
  <c r="W633" i="132"/>
  <c r="V633" i="132"/>
  <c r="X633" i="132" s="1"/>
  <c r="W632" i="132"/>
  <c r="V632" i="132"/>
  <c r="X632" i="132" s="1"/>
  <c r="W631" i="132"/>
  <c r="V631" i="132"/>
  <c r="X631" i="132" s="1"/>
  <c r="W630" i="132"/>
  <c r="V630" i="132"/>
  <c r="X630" i="132" s="1"/>
  <c r="W629" i="132"/>
  <c r="V629" i="132"/>
  <c r="X629" i="132" s="1"/>
  <c r="W628" i="132"/>
  <c r="V628" i="132"/>
  <c r="X628" i="132" s="1"/>
  <c r="W627" i="132"/>
  <c r="V627" i="132"/>
  <c r="X627" i="132" s="1"/>
  <c r="W626" i="132"/>
  <c r="V626" i="132"/>
  <c r="X626" i="132" s="1"/>
  <c r="W625" i="132"/>
  <c r="V625" i="132"/>
  <c r="X625" i="132" s="1"/>
  <c r="W624" i="132"/>
  <c r="V624" i="132"/>
  <c r="X624" i="132" s="1"/>
  <c r="W623" i="132"/>
  <c r="V623" i="132"/>
  <c r="X623" i="132" s="1"/>
  <c r="W622" i="132"/>
  <c r="V622" i="132"/>
  <c r="X622" i="132" s="1"/>
  <c r="X621" i="132"/>
  <c r="W621" i="132"/>
  <c r="W620" i="132"/>
  <c r="V620" i="132"/>
  <c r="X620" i="132" s="1"/>
  <c r="W619" i="132"/>
  <c r="V619" i="132"/>
  <c r="X619" i="132" s="1"/>
  <c r="W617" i="132"/>
  <c r="V617" i="132"/>
  <c r="X617" i="132" s="1"/>
  <c r="W616" i="132"/>
  <c r="V616" i="132"/>
  <c r="X616" i="132" s="1"/>
  <c r="W615" i="132"/>
  <c r="V615" i="132"/>
  <c r="X615" i="132" s="1"/>
  <c r="W614" i="132"/>
  <c r="V614" i="132"/>
  <c r="X614" i="132" s="1"/>
  <c r="W613" i="132"/>
  <c r="V613" i="132"/>
  <c r="X613" i="132" s="1"/>
  <c r="W610" i="132"/>
  <c r="V610" i="132"/>
  <c r="X610" i="132" s="1"/>
  <c r="W609" i="132"/>
  <c r="V609" i="132"/>
  <c r="X609" i="132" s="1"/>
  <c r="W608" i="132"/>
  <c r="V608" i="132"/>
  <c r="X608" i="132" s="1"/>
  <c r="W607" i="132"/>
  <c r="V607" i="132"/>
  <c r="X607" i="132" s="1"/>
  <c r="W606" i="132"/>
  <c r="V606" i="132"/>
  <c r="X606" i="132" s="1"/>
  <c r="W605" i="132"/>
  <c r="V605" i="132"/>
  <c r="X605" i="132" s="1"/>
  <c r="X603" i="132"/>
  <c r="W603" i="132"/>
  <c r="X602" i="132"/>
  <c r="W602" i="132"/>
  <c r="X601" i="132"/>
  <c r="W601" i="132"/>
  <c r="X600" i="132"/>
  <c r="W600" i="132"/>
  <c r="X599" i="132"/>
  <c r="W599" i="132"/>
  <c r="X598" i="132"/>
  <c r="W598" i="132"/>
  <c r="X597" i="132"/>
  <c r="W597" i="132"/>
  <c r="W596" i="132"/>
  <c r="V596" i="132"/>
  <c r="X596" i="132" s="1"/>
  <c r="W595" i="132"/>
  <c r="V595" i="132"/>
  <c r="X595" i="132" s="1"/>
  <c r="X594" i="132"/>
  <c r="W594" i="132"/>
  <c r="X593" i="132"/>
  <c r="W593" i="132"/>
  <c r="X592" i="132"/>
  <c r="W592" i="132"/>
  <c r="X591" i="132"/>
  <c r="W591" i="132"/>
  <c r="W590" i="132"/>
  <c r="V590" i="132"/>
  <c r="X590" i="132" s="1"/>
  <c r="X589" i="132"/>
  <c r="W589" i="132"/>
  <c r="X588" i="132"/>
  <c r="W588" i="132"/>
  <c r="X587" i="132"/>
  <c r="W587" i="132"/>
  <c r="X586" i="132"/>
  <c r="W586" i="132"/>
  <c r="X585" i="132"/>
  <c r="W585" i="132"/>
  <c r="X584" i="132"/>
  <c r="W584" i="132"/>
  <c r="S582" i="132"/>
  <c r="R582" i="132"/>
  <c r="S581" i="132"/>
  <c r="R581" i="132"/>
  <c r="W580" i="132"/>
  <c r="S580" i="132"/>
  <c r="R580" i="132"/>
  <c r="S579" i="132"/>
  <c r="R579" i="132"/>
  <c r="S578" i="132"/>
  <c r="R578" i="132"/>
  <c r="S577" i="132"/>
  <c r="R577" i="132"/>
  <c r="S576" i="132"/>
  <c r="R576" i="132"/>
  <c r="S575" i="132"/>
  <c r="R575" i="132"/>
  <c r="S574" i="132"/>
  <c r="R574" i="132"/>
  <c r="S573" i="132"/>
  <c r="R573" i="132"/>
  <c r="S572" i="132"/>
  <c r="R572" i="132"/>
  <c r="S571" i="132"/>
  <c r="R571" i="132"/>
  <c r="S570" i="132"/>
  <c r="R570" i="132"/>
  <c r="S569" i="132"/>
  <c r="R569" i="132"/>
  <c r="W565" i="132"/>
  <c r="V565" i="132"/>
  <c r="X565" i="132" s="1"/>
  <c r="W564" i="132"/>
  <c r="V564" i="132"/>
  <c r="X564" i="132" s="1"/>
  <c r="W563" i="132"/>
  <c r="V563" i="132"/>
  <c r="X563" i="132" s="1"/>
  <c r="W561" i="132"/>
  <c r="V561" i="132"/>
  <c r="X561" i="132" s="1"/>
  <c r="W560" i="132"/>
  <c r="V560" i="132"/>
  <c r="X560" i="132" s="1"/>
  <c r="W559" i="132"/>
  <c r="V559" i="132"/>
  <c r="X559" i="132" s="1"/>
  <c r="W558" i="132"/>
  <c r="V558" i="132"/>
  <c r="X558" i="132" s="1"/>
  <c r="W557" i="132"/>
  <c r="V557" i="132"/>
  <c r="X557" i="132" s="1"/>
  <c r="W556" i="132"/>
  <c r="V556" i="132"/>
  <c r="X556" i="132" s="1"/>
  <c r="V555" i="132"/>
  <c r="W553" i="132"/>
  <c r="V553" i="132"/>
  <c r="X553" i="132" s="1"/>
  <c r="W552" i="132"/>
  <c r="V552" i="132"/>
  <c r="X552" i="132" s="1"/>
  <c r="W551" i="132"/>
  <c r="V551" i="132"/>
  <c r="X551" i="132" s="1"/>
  <c r="W550" i="132"/>
  <c r="V550" i="132"/>
  <c r="X550" i="132" s="1"/>
  <c r="W549" i="132"/>
  <c r="V549" i="132"/>
  <c r="X549" i="132" s="1"/>
  <c r="W547" i="132"/>
  <c r="V547" i="132"/>
  <c r="X547" i="132" s="1"/>
  <c r="W546" i="132"/>
  <c r="V546" i="132"/>
  <c r="X546" i="132" s="1"/>
  <c r="W545" i="132"/>
  <c r="V545" i="132"/>
  <c r="X545" i="132" s="1"/>
  <c r="W544" i="132"/>
  <c r="V544" i="132"/>
  <c r="X544" i="132" s="1"/>
  <c r="W543" i="132"/>
  <c r="V543" i="132"/>
  <c r="X543" i="132" s="1"/>
  <c r="W542" i="132"/>
  <c r="V542" i="132"/>
  <c r="X542" i="132" s="1"/>
  <c r="W541" i="132"/>
  <c r="V541" i="132"/>
  <c r="X541" i="132" s="1"/>
  <c r="W538" i="132"/>
  <c r="V538" i="132"/>
  <c r="X538" i="132" s="1"/>
  <c r="W537" i="132"/>
  <c r="V537" i="132"/>
  <c r="X537" i="132" s="1"/>
  <c r="W536" i="132"/>
  <c r="V536" i="132"/>
  <c r="X536" i="132" s="1"/>
  <c r="W535" i="132"/>
  <c r="V535" i="132"/>
  <c r="X535" i="132" s="1"/>
  <c r="W534" i="132"/>
  <c r="V534" i="132"/>
  <c r="X534" i="132" s="1"/>
  <c r="W533" i="132"/>
  <c r="V533" i="132"/>
  <c r="X533" i="132" s="1"/>
  <c r="W532" i="132"/>
  <c r="V532" i="132"/>
  <c r="X532" i="132" s="1"/>
  <c r="W529" i="132"/>
  <c r="V529" i="132"/>
  <c r="X529" i="132" s="1"/>
  <c r="W528" i="132"/>
  <c r="V528" i="132"/>
  <c r="X528" i="132" s="1"/>
  <c r="W527" i="132"/>
  <c r="V527" i="132"/>
  <c r="X527" i="132" s="1"/>
  <c r="W526" i="132"/>
  <c r="V526" i="132"/>
  <c r="X526" i="132" s="1"/>
  <c r="W525" i="132"/>
  <c r="V525" i="132"/>
  <c r="X525" i="132" s="1"/>
  <c r="W524" i="132"/>
  <c r="V524" i="132"/>
  <c r="X524" i="132" s="1"/>
  <c r="W523" i="132"/>
  <c r="AO523" i="132" s="1"/>
  <c r="V523" i="132"/>
  <c r="X523" i="132" s="1"/>
  <c r="X521" i="132"/>
  <c r="W521" i="132"/>
  <c r="X520" i="132"/>
  <c r="W520" i="132"/>
  <c r="X519" i="132"/>
  <c r="W519" i="132"/>
  <c r="X518" i="132"/>
  <c r="W518" i="132"/>
  <c r="X517" i="132"/>
  <c r="W517" i="132"/>
  <c r="X516" i="132"/>
  <c r="W516" i="132"/>
  <c r="X514" i="132"/>
  <c r="W514" i="132"/>
  <c r="X513" i="132"/>
  <c r="W513" i="132"/>
  <c r="X512" i="132"/>
  <c r="W512" i="132"/>
  <c r="X511" i="132"/>
  <c r="W511" i="132"/>
  <c r="X510" i="132"/>
  <c r="W510" i="132"/>
  <c r="X509" i="132"/>
  <c r="W509" i="132"/>
  <c r="X508" i="132"/>
  <c r="W508" i="132"/>
  <c r="X506" i="132"/>
  <c r="W506" i="132"/>
  <c r="X505" i="132"/>
  <c r="W505" i="132"/>
  <c r="X504" i="132"/>
  <c r="W504" i="132"/>
  <c r="X503" i="132"/>
  <c r="W503" i="132"/>
  <c r="X502" i="132"/>
  <c r="W502" i="132"/>
  <c r="X501" i="132"/>
  <c r="W501" i="132"/>
  <c r="X500" i="132"/>
  <c r="W500" i="132"/>
  <c r="X498" i="132"/>
  <c r="W498" i="132"/>
  <c r="X497" i="132"/>
  <c r="W497" i="132"/>
  <c r="X496" i="132"/>
  <c r="W496" i="132"/>
  <c r="X495" i="132"/>
  <c r="W495" i="132"/>
  <c r="X494" i="132"/>
  <c r="W494" i="132"/>
  <c r="X493" i="132"/>
  <c r="W493" i="132"/>
  <c r="AO493" i="132" s="1"/>
  <c r="W426" i="132"/>
  <c r="V426" i="132"/>
  <c r="X426" i="132" s="1"/>
  <c r="W425" i="132"/>
  <c r="V425" i="132"/>
  <c r="X425" i="132" s="1"/>
  <c r="W424" i="132"/>
  <c r="V424" i="132"/>
  <c r="X424" i="132" s="1"/>
  <c r="X422" i="132"/>
  <c r="W422" i="132"/>
  <c r="X421" i="132"/>
  <c r="W421" i="132"/>
  <c r="X420" i="132"/>
  <c r="W420" i="132"/>
  <c r="X419" i="132"/>
  <c r="W419" i="132"/>
  <c r="X418" i="132"/>
  <c r="W418" i="132"/>
  <c r="X417" i="132"/>
  <c r="W417" i="132"/>
  <c r="X416" i="132"/>
  <c r="W416" i="132"/>
  <c r="X415" i="132"/>
  <c r="W415" i="132"/>
  <c r="W413" i="132"/>
  <c r="W412" i="132" s="1"/>
  <c r="AO412" i="132" s="1"/>
  <c r="V413" i="132"/>
  <c r="X413" i="132" s="1"/>
  <c r="X412" i="132" s="1"/>
  <c r="X409" i="132"/>
  <c r="W409" i="132"/>
  <c r="X408" i="132"/>
  <c r="W408" i="132"/>
  <c r="X407" i="132"/>
  <c r="W407" i="132"/>
  <c r="AO407" i="132" s="1"/>
  <c r="X406" i="132"/>
  <c r="W406" i="132"/>
  <c r="X404" i="132"/>
  <c r="W404" i="132"/>
  <c r="X403" i="132"/>
  <c r="W403" i="132"/>
  <c r="X402" i="132"/>
  <c r="W402" i="132"/>
  <c r="X401" i="132"/>
  <c r="W401" i="132"/>
  <c r="X400" i="132"/>
  <c r="W400" i="132"/>
  <c r="X399" i="132"/>
  <c r="W399" i="132"/>
  <c r="X398" i="132"/>
  <c r="W398" i="132"/>
  <c r="X397" i="132"/>
  <c r="W397" i="132"/>
  <c r="X396" i="132"/>
  <c r="W396" i="132"/>
  <c r="X395" i="132"/>
  <c r="W395" i="132"/>
  <c r="X394" i="132"/>
  <c r="W394" i="132"/>
  <c r="AO394" i="132" s="1"/>
  <c r="X393" i="132"/>
  <c r="W393" i="132"/>
  <c r="X391" i="132"/>
  <c r="W391" i="132"/>
  <c r="X390" i="132"/>
  <c r="W390" i="132"/>
  <c r="X389" i="132"/>
  <c r="W389" i="132"/>
  <c r="X388" i="132"/>
  <c r="W388" i="132"/>
  <c r="X387" i="132"/>
  <c r="W387" i="132"/>
  <c r="X386" i="132"/>
  <c r="W386" i="132"/>
  <c r="AO386" i="132" s="1"/>
  <c r="X385" i="132"/>
  <c r="W385" i="132"/>
  <c r="X383" i="132"/>
  <c r="W383" i="132"/>
  <c r="AO383" i="132" s="1"/>
  <c r="X382" i="132"/>
  <c r="W382" i="132"/>
  <c r="AO382" i="132" s="1"/>
  <c r="X381" i="132"/>
  <c r="W381" i="132"/>
  <c r="AO381" i="132" s="1"/>
  <c r="X380" i="132"/>
  <c r="W380" i="132"/>
  <c r="AO380" i="132" s="1"/>
  <c r="X379" i="132"/>
  <c r="W379" i="132"/>
  <c r="AO379" i="132" s="1"/>
  <c r="X377" i="132"/>
  <c r="W377" i="132"/>
  <c r="X376" i="132"/>
  <c r="W376" i="132"/>
  <c r="X375" i="132"/>
  <c r="W375" i="132"/>
  <c r="AO375" i="132" s="1"/>
  <c r="X374" i="132"/>
  <c r="W374" i="132"/>
  <c r="X371" i="132"/>
  <c r="W371" i="132"/>
  <c r="S370" i="132"/>
  <c r="X369" i="132"/>
  <c r="W369" i="132"/>
  <c r="S368" i="132"/>
  <c r="S367" i="132"/>
  <c r="X367" i="132" s="1"/>
  <c r="X365" i="132"/>
  <c r="W365" i="132"/>
  <c r="X364" i="132"/>
  <c r="W364" i="132"/>
  <c r="AO364" i="132" s="1"/>
  <c r="X362" i="132"/>
  <c r="W362" i="132"/>
  <c r="X361" i="132"/>
  <c r="W361" i="132"/>
  <c r="X359" i="132"/>
  <c r="X358" i="132" s="1"/>
  <c r="W359" i="132"/>
  <c r="X357" i="132"/>
  <c r="W357" i="132"/>
  <c r="X356" i="132"/>
  <c r="W356" i="132"/>
  <c r="X355" i="132"/>
  <c r="W355" i="132"/>
  <c r="X354" i="132"/>
  <c r="W354" i="132"/>
  <c r="X353" i="132"/>
  <c r="W353" i="132"/>
  <c r="X352" i="132"/>
  <c r="W352" i="132"/>
  <c r="X351" i="132"/>
  <c r="W351" i="132"/>
  <c r="X350" i="132"/>
  <c r="W350" i="132"/>
  <c r="X349" i="132"/>
  <c r="W349" i="132"/>
  <c r="X347" i="132"/>
  <c r="W347" i="132"/>
  <c r="X346" i="132"/>
  <c r="W346" i="132"/>
  <c r="X345" i="132"/>
  <c r="W345" i="132"/>
  <c r="X344" i="132"/>
  <c r="W344" i="132"/>
  <c r="X343" i="132"/>
  <c r="W343" i="132"/>
  <c r="X342" i="132"/>
  <c r="W342" i="132"/>
  <c r="X341" i="132"/>
  <c r="W341" i="132"/>
  <c r="X340" i="132"/>
  <c r="W340" i="132"/>
  <c r="X339" i="132"/>
  <c r="W339" i="132"/>
  <c r="X338" i="132"/>
  <c r="X337" i="132"/>
  <c r="W337" i="132"/>
  <c r="X334" i="132"/>
  <c r="W334" i="132"/>
  <c r="X333" i="132"/>
  <c r="W333" i="132"/>
  <c r="X332" i="132"/>
  <c r="W332" i="132"/>
  <c r="X330" i="132"/>
  <c r="W330" i="132"/>
  <c r="X329" i="132"/>
  <c r="W329" i="132"/>
  <c r="X328" i="132"/>
  <c r="W328" i="132"/>
  <c r="X326" i="132"/>
  <c r="W326" i="132"/>
  <c r="X325" i="132"/>
  <c r="W325" i="132"/>
  <c r="X323" i="132"/>
  <c r="W323" i="132"/>
  <c r="Y322" i="132"/>
  <c r="X322" i="132"/>
  <c r="Y321" i="132"/>
  <c r="X321" i="132"/>
  <c r="Y320" i="132"/>
  <c r="X320" i="132"/>
  <c r="Y319" i="132"/>
  <c r="X319" i="132"/>
  <c r="X317" i="132"/>
  <c r="W317" i="132"/>
  <c r="X316" i="132"/>
  <c r="W316" i="132"/>
  <c r="X315" i="132"/>
  <c r="W315" i="132"/>
  <c r="X314" i="132"/>
  <c r="W314" i="132"/>
  <c r="X313" i="132"/>
  <c r="W313" i="132"/>
  <c r="X312" i="132"/>
  <c r="W312" i="132"/>
  <c r="X311" i="132"/>
  <c r="W311" i="132"/>
  <c r="X310" i="132"/>
  <c r="W310" i="132"/>
  <c r="X308" i="132"/>
  <c r="W308" i="132"/>
  <c r="X307" i="132"/>
  <c r="W307" i="132"/>
  <c r="X306" i="132"/>
  <c r="W306" i="132"/>
  <c r="X305" i="132"/>
  <c r="W305" i="132"/>
  <c r="X304" i="132"/>
  <c r="W304" i="132"/>
  <c r="X302" i="132"/>
  <c r="W302" i="132"/>
  <c r="X301" i="132"/>
  <c r="W301" i="132"/>
  <c r="X300" i="132"/>
  <c r="W300" i="132"/>
  <c r="X299" i="132"/>
  <c r="W299" i="132"/>
  <c r="X298" i="132"/>
  <c r="W298" i="132"/>
  <c r="X297" i="132"/>
  <c r="W297" i="132"/>
  <c r="X295" i="132"/>
  <c r="X294" i="132"/>
  <c r="W294" i="132"/>
  <c r="X293" i="132"/>
  <c r="W293" i="132"/>
  <c r="X292" i="132"/>
  <c r="W292" i="132"/>
  <c r="X291" i="132"/>
  <c r="W291" i="132"/>
  <c r="X289" i="132"/>
  <c r="X288" i="132" s="1"/>
  <c r="W289" i="132"/>
  <c r="AO289" i="132" s="1"/>
  <c r="X287" i="132"/>
  <c r="W287" i="132"/>
  <c r="X286" i="132"/>
  <c r="W286" i="132"/>
  <c r="AO286" i="132" s="1"/>
  <c r="X284" i="132"/>
  <c r="W284" i="132"/>
  <c r="X283" i="132"/>
  <c r="W283" i="132"/>
  <c r="X282" i="132"/>
  <c r="W282" i="132"/>
  <c r="X281" i="132"/>
  <c r="W281" i="132"/>
  <c r="X280" i="132"/>
  <c r="W280" i="132"/>
  <c r="X279" i="132"/>
  <c r="W279" i="132"/>
  <c r="X278" i="132"/>
  <c r="W278" i="132"/>
  <c r="AO278" i="132" s="1"/>
  <c r="X277" i="132"/>
  <c r="W277" i="132"/>
  <c r="X276" i="132"/>
  <c r="W276" i="132"/>
  <c r="X275" i="132"/>
  <c r="W275" i="132"/>
  <c r="X274" i="132"/>
  <c r="W274" i="132"/>
  <c r="X273" i="132"/>
  <c r="W273" i="132"/>
  <c r="Y272" i="132"/>
  <c r="X272" i="132"/>
  <c r="T271" i="132"/>
  <c r="X270" i="132"/>
  <c r="W270" i="132"/>
  <c r="AO270" i="132" s="1"/>
  <c r="X268" i="132"/>
  <c r="W268" i="132"/>
  <c r="X267" i="132"/>
  <c r="W267" i="132"/>
  <c r="X266" i="132"/>
  <c r="W266" i="132"/>
  <c r="X265" i="132"/>
  <c r="W265" i="132"/>
  <c r="X264" i="132"/>
  <c r="W264" i="132"/>
  <c r="X262" i="132"/>
  <c r="W262" i="132"/>
  <c r="X261" i="132"/>
  <c r="W261" i="132"/>
  <c r="X260" i="132"/>
  <c r="W260" i="132"/>
  <c r="X259" i="132"/>
  <c r="W259" i="132"/>
  <c r="X258" i="132"/>
  <c r="W258" i="132"/>
  <c r="X257" i="132"/>
  <c r="W257" i="132"/>
  <c r="X256" i="132"/>
  <c r="W256" i="132"/>
  <c r="X254" i="132"/>
  <c r="W254" i="132"/>
  <c r="S253" i="132"/>
  <c r="X252" i="132"/>
  <c r="W252" i="132"/>
  <c r="X251" i="132"/>
  <c r="W251" i="132"/>
  <c r="AO251" i="132" s="1"/>
  <c r="X250" i="132"/>
  <c r="W250" i="132"/>
  <c r="V247" i="132"/>
  <c r="S247" i="132"/>
  <c r="V246" i="132"/>
  <c r="S246" i="132"/>
  <c r="V245" i="132"/>
  <c r="S245" i="132"/>
  <c r="V244" i="132"/>
  <c r="S244" i="132"/>
  <c r="W243" i="132"/>
  <c r="V243" i="132"/>
  <c r="X243" i="132" s="1"/>
  <c r="W242" i="132"/>
  <c r="V242" i="132"/>
  <c r="X242" i="132" s="1"/>
  <c r="W241" i="132"/>
  <c r="V241" i="132"/>
  <c r="X241" i="132" s="1"/>
  <c r="W240" i="132"/>
  <c r="V240" i="132"/>
  <c r="X240" i="132" s="1"/>
  <c r="W238" i="132"/>
  <c r="V238" i="132"/>
  <c r="X238" i="132" s="1"/>
  <c r="X236" i="132" s="1"/>
  <c r="W237" i="132"/>
  <c r="AO237" i="132" s="1"/>
  <c r="V237" i="132"/>
  <c r="W235" i="132"/>
  <c r="V235" i="132"/>
  <c r="X235" i="132" s="1"/>
  <c r="W234" i="132"/>
  <c r="V234" i="132"/>
  <c r="X234" i="132" s="1"/>
  <c r="W233" i="132"/>
  <c r="V233" i="132"/>
  <c r="X233" i="132" s="1"/>
  <c r="W232" i="132"/>
  <c r="V232" i="132"/>
  <c r="X232" i="132" s="1"/>
  <c r="W230" i="132"/>
  <c r="V230" i="132"/>
  <c r="X230" i="132" s="1"/>
  <c r="X229" i="132" s="1"/>
  <c r="W228" i="132"/>
  <c r="V228" i="132"/>
  <c r="X228" i="132" s="1"/>
  <c r="Y227" i="132"/>
  <c r="V227" i="132"/>
  <c r="X227" i="132" s="1"/>
  <c r="Y226" i="132"/>
  <c r="V226" i="132"/>
  <c r="X226" i="132" s="1"/>
  <c r="W225" i="132"/>
  <c r="V225" i="132"/>
  <c r="X225" i="132" s="1"/>
  <c r="W224" i="132"/>
  <c r="V224" i="132"/>
  <c r="X224" i="132" s="1"/>
  <c r="W223" i="132"/>
  <c r="V223" i="132"/>
  <c r="X223" i="132" s="1"/>
  <c r="W222" i="132"/>
  <c r="V222" i="132"/>
  <c r="X222" i="132" s="1"/>
  <c r="W221" i="132"/>
  <c r="V221" i="132"/>
  <c r="X221" i="132" s="1"/>
  <c r="W220" i="132"/>
  <c r="V220" i="132"/>
  <c r="X220" i="132" s="1"/>
  <c r="W219" i="132"/>
  <c r="V219" i="132"/>
  <c r="X219" i="132" s="1"/>
  <c r="W218" i="132"/>
  <c r="V218" i="132"/>
  <c r="X218" i="132" s="1"/>
  <c r="W217" i="132"/>
  <c r="V217" i="132"/>
  <c r="X217" i="132" s="1"/>
  <c r="W216" i="132"/>
  <c r="AO216" i="132" s="1"/>
  <c r="V216" i="132"/>
  <c r="X216" i="132" s="1"/>
  <c r="W214" i="132"/>
  <c r="V214" i="132"/>
  <c r="X214" i="132" s="1"/>
  <c r="W213" i="132"/>
  <c r="V213" i="132"/>
  <c r="X213" i="132" s="1"/>
  <c r="W212" i="132"/>
  <c r="V212" i="132"/>
  <c r="X212" i="132" s="1"/>
  <c r="W211" i="132"/>
  <c r="V211" i="132"/>
  <c r="X211" i="132" s="1"/>
  <c r="V210" i="132"/>
  <c r="R210" i="132"/>
  <c r="X208" i="132"/>
  <c r="W208" i="132"/>
  <c r="X207" i="132"/>
  <c r="W207" i="132"/>
  <c r="X206" i="132"/>
  <c r="W206" i="132"/>
  <c r="X204" i="132"/>
  <c r="W204" i="132"/>
  <c r="X203" i="132"/>
  <c r="W203" i="132"/>
  <c r="X202" i="132"/>
  <c r="W202" i="132"/>
  <c r="X201" i="132"/>
  <c r="W201" i="132"/>
  <c r="X200" i="132"/>
  <c r="W200" i="132"/>
  <c r="X199" i="132"/>
  <c r="W199" i="132"/>
  <c r="AO199" i="132" s="1"/>
  <c r="W197" i="132"/>
  <c r="AO197" i="132" s="1"/>
  <c r="W196" i="132"/>
  <c r="AO196" i="132" s="1"/>
  <c r="W195" i="132"/>
  <c r="AO195" i="132" s="1"/>
  <c r="X193" i="132"/>
  <c r="W193" i="132"/>
  <c r="X192" i="132"/>
  <c r="W192" i="132"/>
  <c r="AO192" i="132" s="1"/>
  <c r="Y191" i="132"/>
  <c r="X191" i="132"/>
  <c r="Y189" i="132"/>
  <c r="X189" i="132"/>
  <c r="Y188" i="132"/>
  <c r="X188" i="132"/>
  <c r="Y187" i="132"/>
  <c r="X187" i="132"/>
  <c r="Y186" i="132"/>
  <c r="X186" i="132"/>
  <c r="Y185" i="132"/>
  <c r="X185" i="132"/>
  <c r="Y184" i="132"/>
  <c r="X184" i="132"/>
  <c r="Y183" i="132"/>
  <c r="X183" i="132"/>
  <c r="Y182" i="132"/>
  <c r="X182" i="132"/>
  <c r="Y181" i="132"/>
  <c r="X181" i="132"/>
  <c r="Y180" i="132"/>
  <c r="X180" i="132"/>
  <c r="Y179" i="132"/>
  <c r="X179" i="132"/>
  <c r="X178" i="132"/>
  <c r="W178" i="132"/>
  <c r="X177" i="132"/>
  <c r="W177" i="132"/>
  <c r="X176" i="132"/>
  <c r="W176" i="132"/>
  <c r="X174" i="132"/>
  <c r="W174" i="132"/>
  <c r="X173" i="132"/>
  <c r="W173" i="132"/>
  <c r="Y172" i="132"/>
  <c r="X172" i="132"/>
  <c r="W169" i="132"/>
  <c r="V169" i="132"/>
  <c r="X169" i="132" s="1"/>
  <c r="W168" i="132"/>
  <c r="V168" i="132"/>
  <c r="X168" i="132" s="1"/>
  <c r="W167" i="132"/>
  <c r="AO167" i="132" s="1"/>
  <c r="V167" i="132"/>
  <c r="X167" i="132" s="1"/>
  <c r="X165" i="132"/>
  <c r="W165" i="132"/>
  <c r="X164" i="132"/>
  <c r="W164" i="132"/>
  <c r="X163" i="132"/>
  <c r="W163" i="132"/>
  <c r="X162" i="132"/>
  <c r="W162" i="132"/>
  <c r="X161" i="132"/>
  <c r="W161" i="132"/>
  <c r="X160" i="132"/>
  <c r="W160" i="132"/>
  <c r="X159" i="132"/>
  <c r="W159" i="132"/>
  <c r="X158" i="132"/>
  <c r="W158" i="132"/>
  <c r="X157" i="132"/>
  <c r="W157" i="132"/>
  <c r="AO157" i="132" s="1"/>
  <c r="X154" i="132"/>
  <c r="W154" i="132"/>
  <c r="X153" i="132"/>
  <c r="W153" i="132"/>
  <c r="X152" i="132"/>
  <c r="W152" i="132"/>
  <c r="X151" i="132"/>
  <c r="W151" i="132"/>
  <c r="X149" i="132"/>
  <c r="W149" i="132"/>
  <c r="X148" i="132"/>
  <c r="W148" i="132"/>
  <c r="X147" i="132"/>
  <c r="W147" i="132"/>
  <c r="X145" i="132"/>
  <c r="W145" i="132"/>
  <c r="X144" i="132"/>
  <c r="W144" i="132"/>
  <c r="X143" i="132"/>
  <c r="W143" i="132"/>
  <c r="X142" i="132"/>
  <c r="W142" i="132"/>
  <c r="X141" i="132"/>
  <c r="W141" i="132"/>
  <c r="X138" i="132"/>
  <c r="W138" i="132"/>
  <c r="X136" i="132"/>
  <c r="W136" i="132"/>
  <c r="X135" i="132"/>
  <c r="W135" i="132"/>
  <c r="X133" i="132"/>
  <c r="W133" i="132"/>
  <c r="X132" i="132"/>
  <c r="W132" i="132"/>
  <c r="X131" i="132"/>
  <c r="W131" i="132"/>
  <c r="X130" i="132"/>
  <c r="W130" i="132"/>
  <c r="X128" i="132"/>
  <c r="W128" i="132"/>
  <c r="X126" i="132"/>
  <c r="W126" i="132"/>
  <c r="X124" i="132"/>
  <c r="W124" i="132"/>
  <c r="X123" i="132"/>
  <c r="W123" i="132"/>
  <c r="X122" i="132"/>
  <c r="W122" i="132"/>
  <c r="X120" i="132"/>
  <c r="W120" i="132"/>
  <c r="X118" i="132"/>
  <c r="W118" i="132"/>
  <c r="X117" i="132"/>
  <c r="W117" i="132"/>
  <c r="X115" i="132"/>
  <c r="W115" i="132"/>
  <c r="X114" i="132"/>
  <c r="W114" i="132"/>
  <c r="X113" i="132"/>
  <c r="W113" i="132"/>
  <c r="X112" i="132"/>
  <c r="W112" i="132"/>
  <c r="X111" i="132"/>
  <c r="W111" i="132"/>
  <c r="X109" i="132"/>
  <c r="W109" i="132"/>
  <c r="X107" i="132"/>
  <c r="W107" i="132"/>
  <c r="X106" i="132"/>
  <c r="W106" i="132"/>
  <c r="X104" i="132"/>
  <c r="W104" i="132"/>
  <c r="X103" i="132"/>
  <c r="W103" i="132"/>
  <c r="X101" i="132"/>
  <c r="W101" i="132"/>
  <c r="AO101" i="132" s="1"/>
  <c r="W98" i="132"/>
  <c r="V98" i="132"/>
  <c r="X98" i="132" s="1"/>
  <c r="W97" i="132"/>
  <c r="V97" i="132"/>
  <c r="X97" i="132" s="1"/>
  <c r="X94" i="132"/>
  <c r="W94" i="132"/>
  <c r="X93" i="132"/>
  <c r="W93" i="132"/>
  <c r="X92" i="132"/>
  <c r="W92" i="132"/>
  <c r="X91" i="132"/>
  <c r="W91" i="132"/>
  <c r="X90" i="132"/>
  <c r="W90" i="132"/>
  <c r="X89" i="132"/>
  <c r="W89" i="132"/>
  <c r="X88" i="132"/>
  <c r="W88" i="132"/>
  <c r="X87" i="132"/>
  <c r="W87" i="132"/>
  <c r="X86" i="132"/>
  <c r="W86" i="132"/>
  <c r="X85" i="132"/>
  <c r="W85" i="132"/>
  <c r="X84" i="132"/>
  <c r="W84" i="132"/>
  <c r="X83" i="132"/>
  <c r="W83" i="132"/>
  <c r="W81" i="132"/>
  <c r="AO81" i="132" s="1"/>
  <c r="X79" i="132"/>
  <c r="W79" i="132"/>
  <c r="X78" i="132"/>
  <c r="W78" i="132"/>
  <c r="X77" i="132"/>
  <c r="W77" i="132"/>
  <c r="X76" i="132"/>
  <c r="W76" i="132"/>
  <c r="X75" i="132"/>
  <c r="W75" i="132"/>
  <c r="X74" i="132"/>
  <c r="W74" i="132"/>
  <c r="X73" i="132"/>
  <c r="W73" i="132"/>
  <c r="AO73" i="132" s="1"/>
  <c r="X71" i="132"/>
  <c r="W71" i="132"/>
  <c r="X70" i="132"/>
  <c r="W70" i="132"/>
  <c r="X69" i="132"/>
  <c r="W69" i="132"/>
  <c r="AO69" i="132" s="1"/>
  <c r="X67" i="132"/>
  <c r="W67" i="132"/>
  <c r="X66" i="132"/>
  <c r="W66" i="132"/>
  <c r="X65" i="132"/>
  <c r="W65" i="132"/>
  <c r="X64" i="132"/>
  <c r="W64" i="132"/>
  <c r="X63" i="132"/>
  <c r="W63" i="132"/>
  <c r="X62" i="132"/>
  <c r="W62" i="132"/>
  <c r="X60" i="132"/>
  <c r="W60" i="132"/>
  <c r="X59" i="132"/>
  <c r="W59" i="132"/>
  <c r="AO59" i="132" s="1"/>
  <c r="W57" i="132"/>
  <c r="W56" i="132"/>
  <c r="W55" i="132"/>
  <c r="AO55" i="132" s="1"/>
  <c r="X53" i="132"/>
  <c r="W53" i="132"/>
  <c r="X51" i="132"/>
  <c r="W51" i="132"/>
  <c r="X49" i="132"/>
  <c r="W49" i="132"/>
  <c r="X48" i="132"/>
  <c r="W48" i="132"/>
  <c r="X47" i="132"/>
  <c r="W47" i="132"/>
  <c r="X46" i="132"/>
  <c r="W46" i="132"/>
  <c r="X45" i="132"/>
  <c r="W45" i="132"/>
  <c r="X43" i="132"/>
  <c r="W43" i="132"/>
  <c r="AO43" i="132" s="1"/>
  <c r="X40" i="132"/>
  <c r="W40" i="132"/>
  <c r="X39" i="132"/>
  <c r="W39" i="132"/>
  <c r="X38" i="132"/>
  <c r="W38" i="132"/>
  <c r="X37" i="132"/>
  <c r="W37" i="132"/>
  <c r="X35" i="132"/>
  <c r="W35" i="132"/>
  <c r="X33" i="132"/>
  <c r="W33" i="132"/>
  <c r="X31" i="132"/>
  <c r="W31" i="132"/>
  <c r="X30" i="132"/>
  <c r="W30" i="132"/>
  <c r="X29" i="132"/>
  <c r="W29" i="132"/>
  <c r="X28" i="132"/>
  <c r="W28" i="132"/>
  <c r="X27" i="132"/>
  <c r="W27" i="132"/>
  <c r="X25" i="132"/>
  <c r="W25" i="132"/>
  <c r="X24" i="132"/>
  <c r="W24" i="132"/>
  <c r="X23" i="132"/>
  <c r="W23" i="132"/>
  <c r="X21" i="132"/>
  <c r="W21" i="132"/>
  <c r="X20" i="132"/>
  <c r="W20" i="132"/>
  <c r="X19" i="132"/>
  <c r="W19" i="132"/>
  <c r="X18" i="132"/>
  <c r="W18" i="132"/>
  <c r="X17" i="132"/>
  <c r="W17" i="132"/>
  <c r="X16" i="132"/>
  <c r="W16" i="132"/>
  <c r="X15" i="132"/>
  <c r="W15" i="132"/>
  <c r="X14" i="132"/>
  <c r="W14" i="132"/>
  <c r="X13" i="132"/>
  <c r="W13" i="132"/>
  <c r="H666" i="132"/>
  <c r="H665" i="132"/>
  <c r="H664" i="132"/>
  <c r="H663" i="132"/>
  <c r="H662" i="132"/>
  <c r="H661" i="132"/>
  <c r="H660" i="132"/>
  <c r="H659" i="132"/>
  <c r="H658" i="132"/>
  <c r="H657" i="132"/>
  <c r="H656" i="132"/>
  <c r="H655" i="132"/>
  <c r="H654" i="132"/>
  <c r="H653" i="132"/>
  <c r="E653" i="132"/>
  <c r="H652" i="132"/>
  <c r="H651" i="132"/>
  <c r="H649" i="132"/>
  <c r="H648" i="132"/>
  <c r="H647" i="132"/>
  <c r="H646" i="132"/>
  <c r="H645" i="132"/>
  <c r="H644" i="132"/>
  <c r="H643" i="132"/>
  <c r="H642" i="132"/>
  <c r="H641" i="132"/>
  <c r="H640" i="132"/>
  <c r="H639" i="132"/>
  <c r="H636" i="132"/>
  <c r="H635" i="132"/>
  <c r="H634" i="132"/>
  <c r="H633" i="132"/>
  <c r="H632" i="132"/>
  <c r="H631" i="132"/>
  <c r="H630" i="132"/>
  <c r="H629" i="132"/>
  <c r="H628" i="132"/>
  <c r="H627" i="132"/>
  <c r="H626" i="132"/>
  <c r="H625" i="132"/>
  <c r="H624" i="132"/>
  <c r="H623" i="132"/>
  <c r="H622" i="132"/>
  <c r="H621" i="132"/>
  <c r="H620" i="132"/>
  <c r="H619" i="132"/>
  <c r="H617" i="132"/>
  <c r="H616" i="132"/>
  <c r="H615" i="132"/>
  <c r="H614" i="132"/>
  <c r="H613" i="132"/>
  <c r="H610" i="132"/>
  <c r="H609" i="132"/>
  <c r="H608" i="132"/>
  <c r="H607" i="132"/>
  <c r="H606" i="132"/>
  <c r="H605" i="132"/>
  <c r="H596" i="132"/>
  <c r="H595" i="132"/>
  <c r="H590" i="132"/>
  <c r="E582" i="132"/>
  <c r="D582" i="132"/>
  <c r="E581" i="132"/>
  <c r="D581" i="132"/>
  <c r="E580" i="132"/>
  <c r="D580" i="132"/>
  <c r="E579" i="132"/>
  <c r="D579" i="132"/>
  <c r="E578" i="132"/>
  <c r="D578" i="132"/>
  <c r="E577" i="132"/>
  <c r="D577" i="132"/>
  <c r="E576" i="132"/>
  <c r="D576" i="132"/>
  <c r="E575" i="132"/>
  <c r="D575" i="132"/>
  <c r="E574" i="132"/>
  <c r="D574" i="132"/>
  <c r="E573" i="132"/>
  <c r="D573" i="132"/>
  <c r="E572" i="132"/>
  <c r="D572" i="132"/>
  <c r="E571" i="132"/>
  <c r="D571" i="132"/>
  <c r="E570" i="132"/>
  <c r="D570" i="132"/>
  <c r="E569" i="132"/>
  <c r="D569" i="132"/>
  <c r="H565" i="132"/>
  <c r="H564" i="132"/>
  <c r="H563" i="132"/>
  <c r="H561" i="132"/>
  <c r="H560" i="132"/>
  <c r="H559" i="132"/>
  <c r="H558" i="132"/>
  <c r="H557" i="132"/>
  <c r="H556" i="132"/>
  <c r="H555" i="132"/>
  <c r="H553" i="132"/>
  <c r="H552" i="132"/>
  <c r="H551" i="132"/>
  <c r="H550" i="132"/>
  <c r="H549" i="132"/>
  <c r="H547" i="132"/>
  <c r="H546" i="132"/>
  <c r="H545" i="132"/>
  <c r="H544" i="132"/>
  <c r="H543" i="132"/>
  <c r="H542" i="132"/>
  <c r="H541" i="132"/>
  <c r="H538" i="132"/>
  <c r="H537" i="132"/>
  <c r="H536" i="132"/>
  <c r="H535" i="132"/>
  <c r="H534" i="132"/>
  <c r="H533" i="132"/>
  <c r="H532" i="132"/>
  <c r="H529" i="132"/>
  <c r="H528" i="132"/>
  <c r="H527" i="132"/>
  <c r="H526" i="132"/>
  <c r="H525" i="132"/>
  <c r="H524" i="132"/>
  <c r="H523" i="132"/>
  <c r="H426" i="132"/>
  <c r="H425" i="132"/>
  <c r="H424" i="132"/>
  <c r="H413" i="132"/>
  <c r="E370" i="132"/>
  <c r="E368" i="132"/>
  <c r="E367" i="132"/>
  <c r="E253" i="132"/>
  <c r="H247" i="132"/>
  <c r="E247" i="132"/>
  <c r="H246" i="132"/>
  <c r="E246" i="132"/>
  <c r="H245" i="132"/>
  <c r="E245" i="132"/>
  <c r="H244" i="132"/>
  <c r="E244" i="132"/>
  <c r="H243" i="132"/>
  <c r="H242" i="132"/>
  <c r="H241" i="132"/>
  <c r="H240" i="132"/>
  <c r="H238" i="132"/>
  <c r="H237" i="132"/>
  <c r="H235" i="132"/>
  <c r="H234" i="132"/>
  <c r="H233" i="132"/>
  <c r="H232" i="132"/>
  <c r="H230" i="132"/>
  <c r="H228" i="132"/>
  <c r="H227" i="132"/>
  <c r="H226" i="132"/>
  <c r="H225" i="132"/>
  <c r="H224" i="132"/>
  <c r="H223" i="132"/>
  <c r="H222" i="132"/>
  <c r="H221" i="132"/>
  <c r="H220" i="132"/>
  <c r="H219" i="132"/>
  <c r="H218" i="132"/>
  <c r="H217" i="132"/>
  <c r="H216" i="132"/>
  <c r="H214" i="132"/>
  <c r="H213" i="132"/>
  <c r="H212" i="132"/>
  <c r="H211" i="132"/>
  <c r="H210" i="132"/>
  <c r="D210" i="132"/>
  <c r="H98" i="132"/>
  <c r="H97" i="132"/>
  <c r="AI687" i="132"/>
  <c r="AL687" i="132"/>
  <c r="AJ666" i="132"/>
  <c r="AJ665" i="132"/>
  <c r="AJ664" i="132"/>
  <c r="AJ663" i="132"/>
  <c r="AJ662" i="132"/>
  <c r="AJ661" i="132"/>
  <c r="AJ660" i="132"/>
  <c r="AJ659" i="132"/>
  <c r="AJ658" i="132"/>
  <c r="AJ657" i="132"/>
  <c r="AJ656" i="132"/>
  <c r="AJ655" i="132"/>
  <c r="AJ654" i="132"/>
  <c r="AJ653" i="132"/>
  <c r="AJ652" i="132"/>
  <c r="AJ651" i="132"/>
  <c r="AJ649" i="132"/>
  <c r="AJ648" i="132"/>
  <c r="AJ647" i="132"/>
  <c r="AJ646" i="132"/>
  <c r="AJ645" i="132"/>
  <c r="AJ644" i="132"/>
  <c r="AJ643" i="132"/>
  <c r="AJ642" i="132"/>
  <c r="AJ641" i="132"/>
  <c r="AJ640" i="132"/>
  <c r="AJ639" i="132"/>
  <c r="AJ636" i="132"/>
  <c r="AJ635" i="132"/>
  <c r="AJ634" i="132"/>
  <c r="AJ633" i="132"/>
  <c r="AJ632" i="132"/>
  <c r="AJ631" i="132"/>
  <c r="AJ630" i="132"/>
  <c r="AJ629" i="132"/>
  <c r="AJ628" i="132"/>
  <c r="AJ627" i="132"/>
  <c r="AJ626" i="132"/>
  <c r="AJ625" i="132"/>
  <c r="AJ624" i="132"/>
  <c r="AJ623" i="132"/>
  <c r="AJ622" i="132"/>
  <c r="AJ621" i="132"/>
  <c r="AJ620" i="132"/>
  <c r="AJ619" i="132"/>
  <c r="AJ617" i="132"/>
  <c r="AJ616" i="132"/>
  <c r="AJ615" i="132"/>
  <c r="AJ614" i="132"/>
  <c r="AJ613" i="132"/>
  <c r="AJ610" i="132"/>
  <c r="AJ609" i="132"/>
  <c r="AJ608" i="132"/>
  <c r="AJ607" i="132"/>
  <c r="AJ606" i="132"/>
  <c r="AJ605" i="132"/>
  <c r="AJ603" i="132"/>
  <c r="AJ602" i="132"/>
  <c r="AJ601" i="132"/>
  <c r="AJ600" i="132"/>
  <c r="AJ599" i="132"/>
  <c r="AJ598" i="132"/>
  <c r="AJ597" i="132"/>
  <c r="AJ596" i="132"/>
  <c r="AJ595" i="132"/>
  <c r="AJ594" i="132"/>
  <c r="AJ593" i="132"/>
  <c r="AJ592" i="132"/>
  <c r="AJ591" i="132"/>
  <c r="AJ590" i="132"/>
  <c r="AJ589" i="132"/>
  <c r="AJ588" i="132"/>
  <c r="AJ587" i="132"/>
  <c r="AJ586" i="132"/>
  <c r="AJ585" i="132"/>
  <c r="AJ584" i="132"/>
  <c r="AJ582" i="132"/>
  <c r="AJ581" i="132"/>
  <c r="AJ580" i="132"/>
  <c r="AJ579" i="132"/>
  <c r="AJ578" i="132"/>
  <c r="AJ577" i="132"/>
  <c r="AJ576" i="132"/>
  <c r="AJ575" i="132"/>
  <c r="AJ574" i="132"/>
  <c r="AJ573" i="132"/>
  <c r="AJ572" i="132"/>
  <c r="AJ571" i="132"/>
  <c r="AJ570" i="132"/>
  <c r="AJ569" i="132"/>
  <c r="AJ565" i="132"/>
  <c r="AJ564" i="132"/>
  <c r="AJ563" i="132"/>
  <c r="AJ561" i="132"/>
  <c r="AJ560" i="132"/>
  <c r="AJ559" i="132"/>
  <c r="AJ558" i="132"/>
  <c r="AJ557" i="132"/>
  <c r="AJ556" i="132"/>
  <c r="AJ555" i="132"/>
  <c r="AJ553" i="132"/>
  <c r="AJ552" i="132"/>
  <c r="AJ551" i="132"/>
  <c r="AJ550" i="132"/>
  <c r="AJ549" i="132"/>
  <c r="AJ548" i="132"/>
  <c r="AL548" i="132" s="1"/>
  <c r="AJ547" i="132"/>
  <c r="AJ546" i="132"/>
  <c r="AJ545" i="132"/>
  <c r="AJ544" i="132"/>
  <c r="AJ543" i="132"/>
  <c r="AJ542" i="132"/>
  <c r="AJ541" i="132"/>
  <c r="AJ540" i="132"/>
  <c r="AL540" i="132" s="1"/>
  <c r="AJ538" i="132"/>
  <c r="AJ537" i="132"/>
  <c r="AJ536" i="132"/>
  <c r="AJ535" i="132"/>
  <c r="AJ534" i="132"/>
  <c r="AJ533" i="132"/>
  <c r="AJ532" i="132"/>
  <c r="AJ531" i="132"/>
  <c r="AL531" i="132" s="1"/>
  <c r="AJ529" i="132"/>
  <c r="AJ528" i="132"/>
  <c r="AJ527" i="132"/>
  <c r="AJ526" i="132"/>
  <c r="AJ525" i="132"/>
  <c r="AJ524" i="132"/>
  <c r="AJ523" i="132"/>
  <c r="AJ521" i="132"/>
  <c r="AJ520" i="132"/>
  <c r="AJ519" i="132"/>
  <c r="AJ518" i="132"/>
  <c r="AJ517" i="132"/>
  <c r="AJ516" i="132"/>
  <c r="AJ514" i="132"/>
  <c r="AJ513" i="132"/>
  <c r="AJ512" i="132"/>
  <c r="AJ511" i="132"/>
  <c r="AJ510" i="132"/>
  <c r="AJ509" i="132"/>
  <c r="AJ508" i="132"/>
  <c r="AJ506" i="132"/>
  <c r="AJ505" i="132"/>
  <c r="AJ504" i="132"/>
  <c r="AJ503" i="132"/>
  <c r="AJ502" i="132"/>
  <c r="AJ501" i="132"/>
  <c r="AJ500" i="132"/>
  <c r="AJ498" i="132"/>
  <c r="AJ497" i="132"/>
  <c r="AJ496" i="132"/>
  <c r="AJ495" i="132"/>
  <c r="AJ494" i="132"/>
  <c r="AJ493" i="132"/>
  <c r="AJ426" i="132"/>
  <c r="AJ425" i="132"/>
  <c r="AJ424" i="132"/>
  <c r="AJ422" i="132"/>
  <c r="AJ421" i="132"/>
  <c r="AJ420" i="132"/>
  <c r="AJ419" i="132"/>
  <c r="AJ418" i="132"/>
  <c r="AJ417" i="132"/>
  <c r="AJ416" i="132"/>
  <c r="AJ415" i="132"/>
  <c r="AJ413" i="132"/>
  <c r="AJ411" i="132"/>
  <c r="AJ410" i="132"/>
  <c r="AJ409" i="132"/>
  <c r="AJ408" i="132"/>
  <c r="AJ407" i="132"/>
  <c r="AJ406" i="132"/>
  <c r="AJ383" i="132"/>
  <c r="AJ382" i="132"/>
  <c r="AJ381" i="132"/>
  <c r="AJ380" i="132"/>
  <c r="AJ379" i="132"/>
  <c r="AJ378" i="132"/>
  <c r="AL378" i="132" s="1"/>
  <c r="AJ377" i="132"/>
  <c r="AJ376" i="132"/>
  <c r="AJ375" i="132"/>
  <c r="AJ374" i="132"/>
  <c r="AJ373" i="132"/>
  <c r="AL373" i="132" s="1"/>
  <c r="AJ371" i="132"/>
  <c r="AJ370" i="132"/>
  <c r="AJ369" i="132"/>
  <c r="AJ368" i="132"/>
  <c r="AJ367" i="132"/>
  <c r="AJ365" i="132"/>
  <c r="AJ364" i="132"/>
  <c r="AJ362" i="132"/>
  <c r="AJ361" i="132"/>
  <c r="AJ359" i="132"/>
  <c r="AJ357" i="132"/>
  <c r="AJ356" i="132"/>
  <c r="AJ355" i="132"/>
  <c r="AJ354" i="132"/>
  <c r="AJ353" i="132"/>
  <c r="AJ352" i="132"/>
  <c r="AJ351" i="132"/>
  <c r="AJ350" i="132"/>
  <c r="AJ349" i="132"/>
  <c r="AJ347" i="132"/>
  <c r="AJ346" i="132"/>
  <c r="AJ345" i="132"/>
  <c r="AJ344" i="132"/>
  <c r="AL344" i="132" s="1"/>
  <c r="AJ343" i="132"/>
  <c r="AJ342" i="132"/>
  <c r="AJ341" i="132"/>
  <c r="AJ340" i="132"/>
  <c r="AJ339" i="132"/>
  <c r="AJ338" i="132"/>
  <c r="AL338" i="132" s="1"/>
  <c r="AJ337" i="132"/>
  <c r="AJ336" i="132"/>
  <c r="AL336" i="132" s="1"/>
  <c r="AJ404" i="132"/>
  <c r="AJ403" i="132"/>
  <c r="AJ402" i="132"/>
  <c r="AJ401" i="132"/>
  <c r="AJ400" i="132"/>
  <c r="AJ399" i="132"/>
  <c r="AJ398" i="132"/>
  <c r="AJ397" i="132"/>
  <c r="AJ396" i="132"/>
  <c r="AJ395" i="132"/>
  <c r="AJ394" i="132"/>
  <c r="AJ393" i="132"/>
  <c r="AJ334" i="132"/>
  <c r="AJ333" i="132"/>
  <c r="AJ332" i="132"/>
  <c r="AJ330" i="132"/>
  <c r="AJ329" i="132"/>
  <c r="AJ328" i="132"/>
  <c r="AJ326" i="132"/>
  <c r="AJ325" i="132"/>
  <c r="AJ323" i="132"/>
  <c r="AJ391" i="132"/>
  <c r="AJ390" i="132"/>
  <c r="AJ389" i="132"/>
  <c r="AJ388" i="132"/>
  <c r="AJ387" i="132"/>
  <c r="AJ386" i="132"/>
  <c r="AJ385" i="132"/>
  <c r="AJ317" i="132"/>
  <c r="AJ316" i="132"/>
  <c r="AJ315" i="132"/>
  <c r="AL315" i="132" s="1"/>
  <c r="AJ314" i="132"/>
  <c r="AJ313" i="132"/>
  <c r="AJ312" i="132"/>
  <c r="AL312" i="132" s="1"/>
  <c r="AJ310" i="132"/>
  <c r="AL310" i="132" s="1"/>
  <c r="AJ308" i="132"/>
  <c r="AJ307" i="132"/>
  <c r="AJ306" i="132"/>
  <c r="AJ305" i="132"/>
  <c r="AJ304" i="132"/>
  <c r="AJ302" i="132"/>
  <c r="AJ301" i="132"/>
  <c r="AJ300" i="132"/>
  <c r="AJ299" i="132"/>
  <c r="AJ298" i="132"/>
  <c r="AJ297" i="132"/>
  <c r="AJ294" i="132"/>
  <c r="AJ293" i="132"/>
  <c r="AJ292" i="132"/>
  <c r="AJ291" i="132"/>
  <c r="AJ289" i="132"/>
  <c r="AJ287" i="132"/>
  <c r="AJ286" i="132"/>
  <c r="AJ284" i="132"/>
  <c r="AJ283" i="132"/>
  <c r="AJ282" i="132"/>
  <c r="AJ281" i="132"/>
  <c r="AJ280" i="132"/>
  <c r="AJ279" i="132"/>
  <c r="AL279" i="132" s="1"/>
  <c r="AJ278" i="132"/>
  <c r="AJ277" i="132"/>
  <c r="AJ276" i="132"/>
  <c r="AJ275" i="132"/>
  <c r="AJ274" i="132"/>
  <c r="AJ273" i="132"/>
  <c r="AJ271" i="132"/>
  <c r="AJ270" i="132"/>
  <c r="AJ268" i="132"/>
  <c r="AJ267" i="132"/>
  <c r="AJ266" i="132"/>
  <c r="AJ265" i="132"/>
  <c r="AJ264" i="132"/>
  <c r="AJ262" i="132"/>
  <c r="AJ261" i="132"/>
  <c r="AJ260" i="132"/>
  <c r="AJ259" i="132"/>
  <c r="AJ258" i="132"/>
  <c r="AJ257" i="132"/>
  <c r="AJ256" i="132"/>
  <c r="AJ254" i="132"/>
  <c r="AJ253" i="132"/>
  <c r="AJ252" i="132"/>
  <c r="AJ251" i="132"/>
  <c r="AJ250" i="132"/>
  <c r="AJ247" i="132"/>
  <c r="AJ246" i="132"/>
  <c r="AJ245" i="132"/>
  <c r="AJ244" i="132"/>
  <c r="AJ243" i="132"/>
  <c r="AJ242" i="132"/>
  <c r="AJ241" i="132"/>
  <c r="AJ240" i="132"/>
  <c r="AJ238" i="132"/>
  <c r="AJ237" i="132"/>
  <c r="AJ235" i="132"/>
  <c r="AJ234" i="132"/>
  <c r="AJ233" i="132"/>
  <c r="AJ232" i="132"/>
  <c r="AJ230" i="132"/>
  <c r="AJ228" i="132"/>
  <c r="AJ225" i="132"/>
  <c r="AJ224" i="132"/>
  <c r="AJ223" i="132"/>
  <c r="AJ222" i="132"/>
  <c r="AJ221" i="132"/>
  <c r="AJ220" i="132"/>
  <c r="AJ219" i="132"/>
  <c r="AJ218" i="132"/>
  <c r="AJ217" i="132"/>
  <c r="AJ216" i="132"/>
  <c r="AJ214" i="132"/>
  <c r="AJ213" i="132"/>
  <c r="AJ212" i="132"/>
  <c r="AJ211" i="132"/>
  <c r="AJ210" i="132"/>
  <c r="AJ208" i="132"/>
  <c r="AJ207" i="132"/>
  <c r="AJ206" i="132"/>
  <c r="AJ204" i="132"/>
  <c r="AJ203" i="132"/>
  <c r="AJ202" i="132"/>
  <c r="AJ201" i="132"/>
  <c r="AJ200" i="132"/>
  <c r="AJ199" i="132"/>
  <c r="AJ197" i="132"/>
  <c r="AJ196" i="132"/>
  <c r="AJ195" i="132"/>
  <c r="AJ193" i="132"/>
  <c r="AJ192" i="132"/>
  <c r="AJ174" i="132"/>
  <c r="AJ173" i="132"/>
  <c r="AJ169" i="132"/>
  <c r="AJ168" i="132"/>
  <c r="AJ167" i="132"/>
  <c r="AJ165" i="132"/>
  <c r="AJ164" i="132"/>
  <c r="AJ163" i="132"/>
  <c r="AJ162" i="132"/>
  <c r="AJ161" i="132"/>
  <c r="AJ160" i="132"/>
  <c r="AJ159" i="132"/>
  <c r="AJ158" i="132"/>
  <c r="AJ157" i="132"/>
  <c r="AJ154" i="132"/>
  <c r="AJ153" i="132"/>
  <c r="AJ152" i="132"/>
  <c r="AJ151" i="132"/>
  <c r="AJ149" i="132"/>
  <c r="AJ148" i="132"/>
  <c r="AJ147" i="132"/>
  <c r="AJ145" i="132"/>
  <c r="AJ144" i="132"/>
  <c r="AJ143" i="132"/>
  <c r="AJ142" i="132"/>
  <c r="AJ141" i="132"/>
  <c r="AJ138" i="132"/>
  <c r="AJ136" i="132"/>
  <c r="AJ135" i="132"/>
  <c r="AJ133" i="132"/>
  <c r="AJ132" i="132"/>
  <c r="AJ131" i="132"/>
  <c r="AJ130" i="132"/>
  <c r="AJ128" i="132"/>
  <c r="AJ126" i="132"/>
  <c r="AJ124" i="132"/>
  <c r="AJ123" i="132"/>
  <c r="AJ122" i="132"/>
  <c r="AJ120" i="132"/>
  <c r="AJ118" i="132"/>
  <c r="AJ117" i="132"/>
  <c r="AJ115" i="132"/>
  <c r="AJ114" i="132"/>
  <c r="AJ113" i="132"/>
  <c r="AJ112" i="132"/>
  <c r="AJ111" i="132"/>
  <c r="AJ109" i="132"/>
  <c r="AJ107" i="132"/>
  <c r="AJ106" i="132"/>
  <c r="AJ104" i="132"/>
  <c r="AJ103" i="132"/>
  <c r="AJ101" i="132"/>
  <c r="AJ98" i="132"/>
  <c r="AJ97" i="132"/>
  <c r="AJ94" i="132"/>
  <c r="AJ93" i="132"/>
  <c r="AJ92" i="132"/>
  <c r="AJ91" i="132"/>
  <c r="AJ90" i="132"/>
  <c r="AJ89" i="132"/>
  <c r="AJ88" i="132"/>
  <c r="AJ87" i="132"/>
  <c r="AJ86" i="132"/>
  <c r="AJ85" i="132"/>
  <c r="AJ84" i="132"/>
  <c r="AJ83" i="132"/>
  <c r="AJ81" i="132"/>
  <c r="AJ79" i="132"/>
  <c r="AJ78" i="132"/>
  <c r="AJ77" i="132"/>
  <c r="AJ76" i="132"/>
  <c r="AJ75" i="132"/>
  <c r="AJ74" i="132"/>
  <c r="AJ73" i="132"/>
  <c r="AJ71" i="132"/>
  <c r="AJ70" i="132"/>
  <c r="AJ69" i="132"/>
  <c r="AJ67" i="132"/>
  <c r="AJ66" i="132"/>
  <c r="AJ65" i="132"/>
  <c r="AJ64" i="132"/>
  <c r="AJ63" i="132"/>
  <c r="AJ62" i="132"/>
  <c r="AJ60" i="132"/>
  <c r="AJ59" i="132"/>
  <c r="AJ57" i="132"/>
  <c r="AJ56" i="132"/>
  <c r="AJ55" i="132"/>
  <c r="AJ53" i="132"/>
  <c r="AJ51" i="132"/>
  <c r="AJ49" i="132"/>
  <c r="AJ48" i="132"/>
  <c r="AJ47" i="132"/>
  <c r="AJ46" i="132"/>
  <c r="AJ45" i="132"/>
  <c r="AJ43" i="132"/>
  <c r="AJ40" i="132"/>
  <c r="AJ39" i="132"/>
  <c r="AJ38" i="132"/>
  <c r="AJ37" i="132"/>
  <c r="AJ35" i="132"/>
  <c r="AJ33" i="132"/>
  <c r="AJ31" i="132"/>
  <c r="AJ30" i="132"/>
  <c r="AJ29" i="132"/>
  <c r="AJ28" i="132"/>
  <c r="AJ27" i="132"/>
  <c r="AJ25" i="132"/>
  <c r="AJ24" i="132"/>
  <c r="AJ23" i="132"/>
  <c r="AL22" i="132"/>
  <c r="AJ21" i="132"/>
  <c r="AJ20" i="132"/>
  <c r="AJ19" i="132"/>
  <c r="AJ18" i="132"/>
  <c r="AJ17" i="132"/>
  <c r="AJ16" i="132"/>
  <c r="AJ15" i="132"/>
  <c r="AJ14" i="132"/>
  <c r="AJ13" i="132"/>
  <c r="AI172" i="132"/>
  <c r="AI179" i="132"/>
  <c r="AI180" i="132"/>
  <c r="AI181" i="132"/>
  <c r="AI182" i="132"/>
  <c r="AI183" i="132"/>
  <c r="AI184" i="132"/>
  <c r="AI185" i="132"/>
  <c r="AI186" i="132"/>
  <c r="AI187" i="132"/>
  <c r="AI188" i="132"/>
  <c r="AI189" i="132"/>
  <c r="AI191" i="132"/>
  <c r="AI226" i="132"/>
  <c r="AI227" i="132"/>
  <c r="AK237" i="132"/>
  <c r="AI272" i="132"/>
  <c r="AI319" i="132"/>
  <c r="AI320" i="132"/>
  <c r="AI321" i="132"/>
  <c r="AI322" i="132"/>
  <c r="AI410" i="132"/>
  <c r="AK410" i="132"/>
  <c r="AI411" i="132"/>
  <c r="AK411" i="132"/>
  <c r="AK492" i="132"/>
  <c r="AK499" i="132"/>
  <c r="AK539" i="132"/>
  <c r="M732" i="132"/>
  <c r="L732" i="132"/>
  <c r="F732" i="132"/>
  <c r="M729" i="132"/>
  <c r="L729" i="132"/>
  <c r="M726" i="132"/>
  <c r="L726" i="132"/>
  <c r="M722" i="132"/>
  <c r="L722" i="132"/>
  <c r="M720" i="132"/>
  <c r="L720" i="132"/>
  <c r="M717" i="132"/>
  <c r="L717" i="132"/>
  <c r="M716" i="132"/>
  <c r="L716" i="132"/>
  <c r="M708" i="132"/>
  <c r="L708" i="132"/>
  <c r="M703" i="132"/>
  <c r="L703" i="132"/>
  <c r="M700" i="132"/>
  <c r="L700" i="132"/>
  <c r="M699" i="132"/>
  <c r="L699" i="132"/>
  <c r="F699" i="132"/>
  <c r="H706" i="132"/>
  <c r="H725" i="132" s="1"/>
  <c r="H705" i="132"/>
  <c r="H721" i="132" s="1"/>
  <c r="I175" i="132"/>
  <c r="AM175" i="132" s="1"/>
  <c r="I24" i="132"/>
  <c r="AM24" i="132" s="1"/>
  <c r="I23" i="132"/>
  <c r="AM23" i="132" s="1"/>
  <c r="AK687" i="132"/>
  <c r="AB650" i="132"/>
  <c r="AP650" i="132" s="1"/>
  <c r="AA650" i="132"/>
  <c r="Z650" i="132"/>
  <c r="N650" i="132"/>
  <c r="AN650" i="132" s="1"/>
  <c r="AB638" i="132"/>
  <c r="AP638" i="132" s="1"/>
  <c r="N638" i="132"/>
  <c r="AN638" i="132" s="1"/>
  <c r="AB618" i="132"/>
  <c r="AP618" i="132" s="1"/>
  <c r="AA618" i="132"/>
  <c r="Z618" i="132"/>
  <c r="N618" i="132"/>
  <c r="AN618" i="132" s="1"/>
  <c r="M618" i="132"/>
  <c r="L618" i="132"/>
  <c r="AB612" i="132"/>
  <c r="AP612" i="132" s="1"/>
  <c r="N612" i="132"/>
  <c r="AN612" i="132" s="1"/>
  <c r="AB604" i="132"/>
  <c r="AP604" i="132" s="1"/>
  <c r="N604" i="132"/>
  <c r="AN604" i="132" s="1"/>
  <c r="AB583" i="132"/>
  <c r="AP583" i="132" s="1"/>
  <c r="N583" i="132"/>
  <c r="AN583" i="132" s="1"/>
  <c r="AB568" i="132"/>
  <c r="N568" i="132"/>
  <c r="AB562" i="132"/>
  <c r="AP562" i="132" s="1"/>
  <c r="N562" i="132"/>
  <c r="AN562" i="132" s="1"/>
  <c r="AB554" i="132"/>
  <c r="AP554" i="132" s="1"/>
  <c r="N554" i="132"/>
  <c r="AN554" i="132" s="1"/>
  <c r="AB539" i="132"/>
  <c r="AP539" i="132" s="1"/>
  <c r="N539" i="132"/>
  <c r="AN539" i="132" s="1"/>
  <c r="AB530" i="132"/>
  <c r="AP530" i="132" s="1"/>
  <c r="AA530" i="132"/>
  <c r="Z530" i="132"/>
  <c r="N530" i="132"/>
  <c r="AN530" i="132" s="1"/>
  <c r="AB522" i="132"/>
  <c r="AP522" i="132" s="1"/>
  <c r="AA522" i="132"/>
  <c r="Z522" i="132"/>
  <c r="N522" i="132"/>
  <c r="AN522" i="132" s="1"/>
  <c r="AB515" i="132"/>
  <c r="AP515" i="132" s="1"/>
  <c r="AA515" i="132"/>
  <c r="N515" i="132"/>
  <c r="AN515" i="132" s="1"/>
  <c r="M515" i="132"/>
  <c r="L515" i="132"/>
  <c r="AB507" i="132"/>
  <c r="AP507" i="132" s="1"/>
  <c r="AA507" i="132"/>
  <c r="N507" i="132"/>
  <c r="AN507" i="132" s="1"/>
  <c r="M507" i="132"/>
  <c r="L507" i="132"/>
  <c r="AB499" i="132"/>
  <c r="AP499" i="132" s="1"/>
  <c r="N499" i="132"/>
  <c r="AN499" i="132" s="1"/>
  <c r="AB492" i="132"/>
  <c r="AP492" i="132" s="1"/>
  <c r="AA492" i="132"/>
  <c r="Z492" i="132"/>
  <c r="N492" i="132"/>
  <c r="AN492" i="132" s="1"/>
  <c r="M492" i="132"/>
  <c r="L492" i="132"/>
  <c r="AB423" i="132"/>
  <c r="AP423" i="132" s="1"/>
  <c r="AA423" i="132"/>
  <c r="Z423" i="132"/>
  <c r="N423" i="132"/>
  <c r="AN423" i="132" s="1"/>
  <c r="M423" i="132"/>
  <c r="L423" i="132"/>
  <c r="AB414" i="132"/>
  <c r="AP414" i="132" s="1"/>
  <c r="AA414" i="132"/>
  <c r="N414" i="132"/>
  <c r="AN414" i="132" s="1"/>
  <c r="M414" i="132"/>
  <c r="L414" i="132"/>
  <c r="AB412" i="132"/>
  <c r="AP412" i="132" s="1"/>
  <c r="N412" i="132"/>
  <c r="AN412" i="132" s="1"/>
  <c r="M412" i="132"/>
  <c r="L412" i="132"/>
  <c r="AB405" i="132"/>
  <c r="N405" i="132"/>
  <c r="AB372" i="132"/>
  <c r="AP372" i="132" s="1"/>
  <c r="Z372" i="132"/>
  <c r="N372" i="132"/>
  <c r="AN372" i="132" s="1"/>
  <c r="L372" i="132"/>
  <c r="AB366" i="132"/>
  <c r="AP366" i="132" s="1"/>
  <c r="N366" i="132"/>
  <c r="AN366" i="132" s="1"/>
  <c r="AB363" i="132"/>
  <c r="AP363" i="132" s="1"/>
  <c r="N363" i="132"/>
  <c r="AN363" i="132" s="1"/>
  <c r="AB348" i="132"/>
  <c r="AP348" i="132" s="1"/>
  <c r="N348" i="132"/>
  <c r="AN348" i="132" s="1"/>
  <c r="AB335" i="132"/>
  <c r="AP335" i="132" s="1"/>
  <c r="AA335" i="132"/>
  <c r="Z335" i="132"/>
  <c r="N335" i="132"/>
  <c r="AN335" i="132" s="1"/>
  <c r="AB392" i="132"/>
  <c r="AP392" i="132" s="1"/>
  <c r="Z392" i="132"/>
  <c r="N392" i="132"/>
  <c r="AN392" i="132" s="1"/>
  <c r="L392" i="132"/>
  <c r="AB331" i="132"/>
  <c r="AP331" i="132" s="1"/>
  <c r="N331" i="132"/>
  <c r="AN331" i="132" s="1"/>
  <c r="AB327" i="132"/>
  <c r="AP327" i="132" s="1"/>
  <c r="N327" i="132"/>
  <c r="AN327" i="132" s="1"/>
  <c r="AB324" i="132"/>
  <c r="AP324" i="132" s="1"/>
  <c r="N324" i="132"/>
  <c r="AN324" i="132" s="1"/>
  <c r="AB384" i="132"/>
  <c r="AP384" i="132" s="1"/>
  <c r="AA384" i="132"/>
  <c r="Z384" i="132"/>
  <c r="N384" i="132"/>
  <c r="AN384" i="132" s="1"/>
  <c r="M309" i="132"/>
  <c r="L309" i="132"/>
  <c r="AB303" i="132"/>
  <c r="AP303" i="132" s="1"/>
  <c r="N303" i="132"/>
  <c r="AN303" i="132" s="1"/>
  <c r="M303" i="132"/>
  <c r="L303" i="132"/>
  <c r="AB296" i="132"/>
  <c r="N296" i="132"/>
  <c r="M296" i="132"/>
  <c r="L296" i="132"/>
  <c r="AA290" i="132"/>
  <c r="Z290" i="132"/>
  <c r="AB288" i="132"/>
  <c r="AP288" i="132" s="1"/>
  <c r="AA288" i="132"/>
  <c r="Z288" i="132"/>
  <c r="N288" i="132"/>
  <c r="AN288" i="132" s="1"/>
  <c r="M288" i="132"/>
  <c r="L288" i="132"/>
  <c r="AB285" i="132"/>
  <c r="AP285" i="132" s="1"/>
  <c r="N285" i="132"/>
  <c r="AN285" i="132" s="1"/>
  <c r="AB263" i="132"/>
  <c r="AP263" i="132" s="1"/>
  <c r="AA263" i="132"/>
  <c r="Z263" i="132"/>
  <c r="N263" i="132"/>
  <c r="AN263" i="132" s="1"/>
  <c r="AB255" i="132"/>
  <c r="AP255" i="132" s="1"/>
  <c r="AA255" i="132"/>
  <c r="Z255" i="132"/>
  <c r="N255" i="132"/>
  <c r="AN255" i="132" s="1"/>
  <c r="AB249" i="132"/>
  <c r="AP249" i="132" s="1"/>
  <c r="AA249" i="132"/>
  <c r="Z249" i="132"/>
  <c r="N249" i="132"/>
  <c r="AN249" i="132" s="1"/>
  <c r="M249" i="132"/>
  <c r="L249" i="132"/>
  <c r="AB239" i="132"/>
  <c r="AP239" i="132" s="1"/>
  <c r="N239" i="132"/>
  <c r="AN239" i="132" s="1"/>
  <c r="AB236" i="132"/>
  <c r="AP236" i="132" s="1"/>
  <c r="N236" i="132"/>
  <c r="AN236" i="132" s="1"/>
  <c r="AB231" i="132"/>
  <c r="AP231" i="132" s="1"/>
  <c r="AA231" i="132"/>
  <c r="Z231" i="132"/>
  <c r="N231" i="132"/>
  <c r="AN231" i="132" s="1"/>
  <c r="M231" i="132"/>
  <c r="L231" i="132"/>
  <c r="AB229" i="132"/>
  <c r="AP229" i="132" s="1"/>
  <c r="N229" i="132"/>
  <c r="AN229" i="132" s="1"/>
  <c r="AB209" i="132"/>
  <c r="AP209" i="132" s="1"/>
  <c r="N209" i="132"/>
  <c r="AN209" i="132" s="1"/>
  <c r="AB205" i="132"/>
  <c r="AP205" i="132" s="1"/>
  <c r="AA205" i="132"/>
  <c r="N205" i="132"/>
  <c r="AN205" i="132" s="1"/>
  <c r="AB198" i="132"/>
  <c r="AP198" i="132" s="1"/>
  <c r="N198" i="132"/>
  <c r="AN198" i="132" s="1"/>
  <c r="AA175" i="132"/>
  <c r="AB139" i="132"/>
  <c r="AP139" i="132" s="1"/>
  <c r="N139" i="132"/>
  <c r="AN139" i="132" s="1"/>
  <c r="AB129" i="132"/>
  <c r="AP129" i="132" s="1"/>
  <c r="N129" i="132"/>
  <c r="AN129" i="132" s="1"/>
  <c r="AB99" i="132"/>
  <c r="AP99" i="132" s="1"/>
  <c r="N99" i="132"/>
  <c r="AN99" i="132" s="1"/>
  <c r="AB96" i="132"/>
  <c r="AP96" i="132" s="1"/>
  <c r="N96" i="132"/>
  <c r="AN96" i="132" s="1"/>
  <c r="AB68" i="132"/>
  <c r="AP68" i="132" s="1"/>
  <c r="AA68" i="132"/>
  <c r="Z68" i="132"/>
  <c r="N68" i="132"/>
  <c r="AN68" i="132" s="1"/>
  <c r="M68" i="132"/>
  <c r="L68" i="132"/>
  <c r="AB61" i="132"/>
  <c r="AP61" i="132" s="1"/>
  <c r="N61" i="132"/>
  <c r="AN61" i="132" s="1"/>
  <c r="AB58" i="132"/>
  <c r="AP58" i="132" s="1"/>
  <c r="N58" i="132"/>
  <c r="AN58" i="132" s="1"/>
  <c r="AB34" i="132"/>
  <c r="AP34" i="132" s="1"/>
  <c r="AA34" i="132"/>
  <c r="Z34" i="132"/>
  <c r="N34" i="132"/>
  <c r="AN34" i="132" s="1"/>
  <c r="M34" i="132"/>
  <c r="AB26" i="132"/>
  <c r="AP26" i="132" s="1"/>
  <c r="AA26" i="132"/>
  <c r="Z26" i="132"/>
  <c r="N26" i="132"/>
  <c r="AN26" i="132" s="1"/>
  <c r="M26" i="132"/>
  <c r="L26" i="132"/>
  <c r="AA12" i="132"/>
  <c r="Z12" i="132"/>
  <c r="N12" i="132"/>
  <c r="AN12" i="132" s="1"/>
  <c r="M12" i="132"/>
  <c r="AB360" i="132"/>
  <c r="AP360" i="132" s="1"/>
  <c r="AB358" i="132"/>
  <c r="AP358" i="132" s="1"/>
  <c r="AP322" i="132"/>
  <c r="AP321" i="132"/>
  <c r="AP320" i="132"/>
  <c r="AP319" i="132"/>
  <c r="AB311" i="132"/>
  <c r="AB290" i="132"/>
  <c r="AP290" i="132" s="1"/>
  <c r="AP227" i="132"/>
  <c r="AP226" i="132"/>
  <c r="AB189" i="132"/>
  <c r="AP189" i="132" s="1"/>
  <c r="AB188" i="132"/>
  <c r="AP188" i="132" s="1"/>
  <c r="AB187" i="132"/>
  <c r="AP187" i="132" s="1"/>
  <c r="AB186" i="132"/>
  <c r="AP186" i="132" s="1"/>
  <c r="AB185" i="132"/>
  <c r="AP185" i="132" s="1"/>
  <c r="AB184" i="132"/>
  <c r="AP184" i="132" s="1"/>
  <c r="AB183" i="132"/>
  <c r="AP183" i="132" s="1"/>
  <c r="AB182" i="132"/>
  <c r="AP182" i="132" s="1"/>
  <c r="AB181" i="132"/>
  <c r="AP181" i="132" s="1"/>
  <c r="AB180" i="132"/>
  <c r="AP180" i="132" s="1"/>
  <c r="AB179" i="132"/>
  <c r="AP179" i="132" s="1"/>
  <c r="AB178" i="132"/>
  <c r="AP178" i="132" s="1"/>
  <c r="AB177" i="132"/>
  <c r="AP177" i="132" s="1"/>
  <c r="AB176" i="132"/>
  <c r="AP176" i="132" s="1"/>
  <c r="AB12" i="132"/>
  <c r="AP12" i="132" s="1"/>
  <c r="I65" i="132"/>
  <c r="AM65" i="132" s="1"/>
  <c r="J180" i="132"/>
  <c r="AN322" i="132"/>
  <c r="AN321" i="132"/>
  <c r="AN320" i="132"/>
  <c r="AN319" i="132"/>
  <c r="AN311" i="132"/>
  <c r="AN272" i="132"/>
  <c r="K272" i="132"/>
  <c r="I228" i="132"/>
  <c r="AM228" i="132" s="1"/>
  <c r="AN227" i="132"/>
  <c r="AN226" i="132"/>
  <c r="AN191" i="132"/>
  <c r="AN172" i="132"/>
  <c r="AI295" i="132" l="1"/>
  <c r="W612" i="132"/>
  <c r="AN296" i="132"/>
  <c r="AP296" i="132"/>
  <c r="W618" i="132"/>
  <c r="AO584" i="132"/>
  <c r="W583" i="132"/>
  <c r="AO583" i="132" s="1"/>
  <c r="AP405" i="132"/>
  <c r="H698" i="132"/>
  <c r="H731" i="132" s="1"/>
  <c r="H733" i="132" s="1"/>
  <c r="H734" i="132" s="1"/>
  <c r="AN568" i="132"/>
  <c r="N567" i="132"/>
  <c r="AO605" i="132"/>
  <c r="W604" i="132"/>
  <c r="AN405" i="132"/>
  <c r="D698" i="132"/>
  <c r="D731" i="132" s="1"/>
  <c r="AP568" i="132"/>
  <c r="AB567" i="132"/>
  <c r="W638" i="132"/>
  <c r="W171" i="132"/>
  <c r="AO171" i="132" s="1"/>
  <c r="Y295" i="132"/>
  <c r="X34" i="132"/>
  <c r="X285" i="132"/>
  <c r="X58" i="132"/>
  <c r="Y16" i="132"/>
  <c r="AO16" i="132"/>
  <c r="Y20" i="132"/>
  <c r="AO20" i="132"/>
  <c r="Y25" i="132"/>
  <c r="AO25" i="132"/>
  <c r="Y30" i="132"/>
  <c r="AO30" i="132"/>
  <c r="Y62" i="132"/>
  <c r="AO62" i="132"/>
  <c r="Y66" i="132"/>
  <c r="AO66" i="132"/>
  <c r="Y71" i="132"/>
  <c r="AO71" i="132"/>
  <c r="Y76" i="132"/>
  <c r="AO76" i="132"/>
  <c r="Y168" i="132"/>
  <c r="AO168" i="132"/>
  <c r="Y174" i="132"/>
  <c r="AO174" i="132"/>
  <c r="Y213" i="132"/>
  <c r="AO213" i="132"/>
  <c r="Y218" i="132"/>
  <c r="AO218" i="132"/>
  <c r="Y222" i="132"/>
  <c r="AO222" i="132"/>
  <c r="Y232" i="132"/>
  <c r="AO232" i="132"/>
  <c r="Y242" i="132"/>
  <c r="AO242" i="132"/>
  <c r="Y258" i="132"/>
  <c r="AO258" i="132"/>
  <c r="Y262" i="132"/>
  <c r="AO262" i="132"/>
  <c r="Y267" i="132"/>
  <c r="AO267" i="132"/>
  <c r="Y341" i="132"/>
  <c r="AO341" i="132"/>
  <c r="Y345" i="132"/>
  <c r="AO345" i="132"/>
  <c r="Y350" i="132"/>
  <c r="AO350" i="132"/>
  <c r="Y354" i="132"/>
  <c r="AO354" i="132"/>
  <c r="W358" i="132"/>
  <c r="AO358" i="132" s="1"/>
  <c r="AO359" i="132"/>
  <c r="Y365" i="132"/>
  <c r="AO365" i="132"/>
  <c r="Y417" i="132"/>
  <c r="AO417" i="132"/>
  <c r="Y421" i="132"/>
  <c r="AO421" i="132"/>
  <c r="Y496" i="132"/>
  <c r="AO496" i="132"/>
  <c r="Y501" i="132"/>
  <c r="AO501" i="132"/>
  <c r="Y505" i="132"/>
  <c r="AO505" i="132"/>
  <c r="Y510" i="132"/>
  <c r="AO510" i="132"/>
  <c r="Y514" i="132"/>
  <c r="AO514" i="132"/>
  <c r="Y519" i="132"/>
  <c r="AO519" i="132"/>
  <c r="Y558" i="132"/>
  <c r="AO558" i="132"/>
  <c r="Y563" i="132"/>
  <c r="AO563" i="132"/>
  <c r="Y587" i="132"/>
  <c r="AO587" i="132"/>
  <c r="Y591" i="132"/>
  <c r="AO591" i="132"/>
  <c r="Y599" i="132"/>
  <c r="AO599" i="132"/>
  <c r="Y603" i="132"/>
  <c r="AO603" i="132"/>
  <c r="Y37" i="132"/>
  <c r="AO37" i="132"/>
  <c r="Y48" i="132"/>
  <c r="AO48" i="132"/>
  <c r="Y83" i="132"/>
  <c r="AO83" i="132"/>
  <c r="Y86" i="132"/>
  <c r="AO86" i="132"/>
  <c r="Y90" i="132"/>
  <c r="AO90" i="132"/>
  <c r="Y94" i="132"/>
  <c r="AO94" i="132"/>
  <c r="Y103" i="132"/>
  <c r="AO103" i="132"/>
  <c r="Y109" i="132"/>
  <c r="AO109" i="132"/>
  <c r="Y114" i="132"/>
  <c r="AO114" i="132"/>
  <c r="Y120" i="132"/>
  <c r="AO120" i="132"/>
  <c r="Y126" i="132"/>
  <c r="AO126" i="132"/>
  <c r="Y132" i="132"/>
  <c r="AO132" i="132"/>
  <c r="Y138" i="132"/>
  <c r="AO138" i="132"/>
  <c r="Y144" i="132"/>
  <c r="AO144" i="132"/>
  <c r="Y149" i="132"/>
  <c r="AO149" i="132"/>
  <c r="Y154" i="132"/>
  <c r="AO154" i="132"/>
  <c r="Y160" i="132"/>
  <c r="AO160" i="132"/>
  <c r="Y164" i="132"/>
  <c r="AO164" i="132"/>
  <c r="Y200" i="132"/>
  <c r="AO200" i="132"/>
  <c r="Y204" i="132"/>
  <c r="AO204" i="132"/>
  <c r="Y273" i="132"/>
  <c r="AO273" i="132"/>
  <c r="Y277" i="132"/>
  <c r="AO277" i="132"/>
  <c r="Y281" i="132"/>
  <c r="AO281" i="132"/>
  <c r="Y292" i="132"/>
  <c r="AO292" i="132"/>
  <c r="W296" i="132"/>
  <c r="AO297" i="132"/>
  <c r="Y301" i="132"/>
  <c r="AO301" i="132"/>
  <c r="Y306" i="132"/>
  <c r="AO306" i="132"/>
  <c r="Y311" i="132"/>
  <c r="AO311" i="132"/>
  <c r="Y315" i="132"/>
  <c r="AO315" i="132"/>
  <c r="Y325" i="132"/>
  <c r="AO325" i="132"/>
  <c r="Y330" i="132"/>
  <c r="AO330" i="132"/>
  <c r="Y337" i="132"/>
  <c r="AO337" i="132"/>
  <c r="Y374" i="132"/>
  <c r="AO374" i="132"/>
  <c r="Y388" i="132"/>
  <c r="AO388" i="132"/>
  <c r="Y393" i="132"/>
  <c r="AO393" i="132"/>
  <c r="Y397" i="132"/>
  <c r="AO397" i="132"/>
  <c r="Y401" i="132"/>
  <c r="AO401" i="132"/>
  <c r="Y406" i="132"/>
  <c r="AO406" i="132"/>
  <c r="Y426" i="132"/>
  <c r="AO426" i="132"/>
  <c r="Y524" i="132"/>
  <c r="AO524" i="132"/>
  <c r="Y528" i="132"/>
  <c r="AO528" i="132"/>
  <c r="Y534" i="132"/>
  <c r="AO534" i="132"/>
  <c r="Y538" i="132"/>
  <c r="AO538" i="132"/>
  <c r="Y544" i="132"/>
  <c r="AO544" i="132"/>
  <c r="Y549" i="132"/>
  <c r="AO549" i="132"/>
  <c r="Y553" i="132"/>
  <c r="AO553" i="132"/>
  <c r="Y595" i="132"/>
  <c r="AO595" i="132"/>
  <c r="Y608" i="132"/>
  <c r="AO608" i="132"/>
  <c r="Y614" i="132"/>
  <c r="AO614" i="132"/>
  <c r="Y619" i="132"/>
  <c r="AO619" i="132"/>
  <c r="Y623" i="132"/>
  <c r="AO623" i="132"/>
  <c r="Y630" i="132"/>
  <c r="AO630" i="132"/>
  <c r="Y634" i="132"/>
  <c r="AO634" i="132"/>
  <c r="Y640" i="132"/>
  <c r="AO640" i="132"/>
  <c r="Y644" i="132"/>
  <c r="AO644" i="132"/>
  <c r="Y648" i="132"/>
  <c r="AO648" i="132"/>
  <c r="Y657" i="132"/>
  <c r="AO657" i="132"/>
  <c r="Y661" i="132"/>
  <c r="AO661" i="132"/>
  <c r="Y665" i="132"/>
  <c r="AO665" i="132"/>
  <c r="Y13" i="132"/>
  <c r="AO13" i="132"/>
  <c r="Y17" i="132"/>
  <c r="AO17" i="132"/>
  <c r="Y21" i="132"/>
  <c r="AO21" i="132"/>
  <c r="Y27" i="132"/>
  <c r="AO27" i="132"/>
  <c r="Y31" i="132"/>
  <c r="AO31" i="132"/>
  <c r="Y56" i="132"/>
  <c r="AO56" i="132"/>
  <c r="Y63" i="132"/>
  <c r="AO63" i="132"/>
  <c r="Y67" i="132"/>
  <c r="AO67" i="132"/>
  <c r="Y77" i="132"/>
  <c r="AO77" i="132"/>
  <c r="Y169" i="132"/>
  <c r="AO169" i="132"/>
  <c r="Y176" i="132"/>
  <c r="AO176" i="132"/>
  <c r="Y193" i="132"/>
  <c r="AO193" i="132"/>
  <c r="Y214" i="132"/>
  <c r="AO214" i="132"/>
  <c r="Y219" i="132"/>
  <c r="AO219" i="132"/>
  <c r="Y223" i="132"/>
  <c r="AO223" i="132"/>
  <c r="Y233" i="132"/>
  <c r="AO233" i="132"/>
  <c r="Y238" i="132"/>
  <c r="AO238" i="132"/>
  <c r="Y243" i="132"/>
  <c r="AO243" i="132"/>
  <c r="Y254" i="132"/>
  <c r="AO254" i="132"/>
  <c r="Y259" i="132"/>
  <c r="AO259" i="132"/>
  <c r="W263" i="132"/>
  <c r="AO263" i="132" s="1"/>
  <c r="AO264" i="132"/>
  <c r="Y268" i="132"/>
  <c r="AO268" i="132"/>
  <c r="Y342" i="132"/>
  <c r="AO342" i="132"/>
  <c r="Y346" i="132"/>
  <c r="AO346" i="132"/>
  <c r="Y351" i="132"/>
  <c r="AO351" i="132"/>
  <c r="Y355" i="132"/>
  <c r="AO355" i="132"/>
  <c r="Y361" i="132"/>
  <c r="AO361" i="132"/>
  <c r="Y418" i="132"/>
  <c r="AO418" i="132"/>
  <c r="Y422" i="132"/>
  <c r="AO422" i="132"/>
  <c r="Y497" i="132"/>
  <c r="AO497" i="132"/>
  <c r="Y502" i="132"/>
  <c r="AO502" i="132"/>
  <c r="Y506" i="132"/>
  <c r="AO506" i="132"/>
  <c r="Y511" i="132"/>
  <c r="AO511" i="132"/>
  <c r="Y516" i="132"/>
  <c r="AO516" i="132"/>
  <c r="Y520" i="132"/>
  <c r="AO520" i="132"/>
  <c r="Y559" i="132"/>
  <c r="AO559" i="132"/>
  <c r="Y564" i="132"/>
  <c r="AO564" i="132"/>
  <c r="Y588" i="132"/>
  <c r="AO588" i="132"/>
  <c r="Y592" i="132"/>
  <c r="AO592" i="132"/>
  <c r="Y600" i="132"/>
  <c r="AO600" i="132"/>
  <c r="AB190" i="132"/>
  <c r="AP190" i="132" s="1"/>
  <c r="AP191" i="132"/>
  <c r="Y38" i="132"/>
  <c r="AO38" i="132"/>
  <c r="Y45" i="132"/>
  <c r="AO45" i="132"/>
  <c r="Y49" i="132"/>
  <c r="AO49" i="132"/>
  <c r="Y57" i="132"/>
  <c r="AO57" i="132"/>
  <c r="Y87" i="132"/>
  <c r="AO87" i="132"/>
  <c r="Y91" i="132"/>
  <c r="AO91" i="132"/>
  <c r="Y104" i="132"/>
  <c r="AO104" i="132"/>
  <c r="Y111" i="132"/>
  <c r="AO111" i="132"/>
  <c r="Y115" i="132"/>
  <c r="AO115" i="132"/>
  <c r="Y122" i="132"/>
  <c r="AO122" i="132"/>
  <c r="Y128" i="132"/>
  <c r="AO128" i="132"/>
  <c r="Y133" i="132"/>
  <c r="AO133" i="132"/>
  <c r="Y141" i="132"/>
  <c r="AO141" i="132"/>
  <c r="Y145" i="132"/>
  <c r="AO145" i="132"/>
  <c r="Y151" i="132"/>
  <c r="AO151" i="132"/>
  <c r="Y161" i="132"/>
  <c r="AO161" i="132"/>
  <c r="Y165" i="132"/>
  <c r="AO165" i="132"/>
  <c r="Y201" i="132"/>
  <c r="AO201" i="132"/>
  <c r="Y206" i="132"/>
  <c r="AO206" i="132"/>
  <c r="Y250" i="132"/>
  <c r="AO250" i="132"/>
  <c r="Y274" i="132"/>
  <c r="AO274" i="132"/>
  <c r="Y282" i="132"/>
  <c r="AO282" i="132"/>
  <c r="Y287" i="132"/>
  <c r="AO287" i="132"/>
  <c r="Y293" i="132"/>
  <c r="AO293" i="132"/>
  <c r="Y298" i="132"/>
  <c r="AO298" i="132"/>
  <c r="Y302" i="132"/>
  <c r="AO302" i="132"/>
  <c r="Y307" i="132"/>
  <c r="AO307" i="132"/>
  <c r="Y312" i="132"/>
  <c r="AO312" i="132"/>
  <c r="Y316" i="132"/>
  <c r="AO316" i="132"/>
  <c r="Y326" i="132"/>
  <c r="Y324" i="132" s="1"/>
  <c r="AO326" i="132"/>
  <c r="Y332" i="132"/>
  <c r="AO332" i="132"/>
  <c r="Y385" i="132"/>
  <c r="AO385" i="132"/>
  <c r="Y389" i="132"/>
  <c r="AO389" i="132"/>
  <c r="Y398" i="132"/>
  <c r="AO398" i="132"/>
  <c r="Y402" i="132"/>
  <c r="AO402" i="132"/>
  <c r="Y413" i="132"/>
  <c r="Y412" i="132" s="1"/>
  <c r="AO413" i="132"/>
  <c r="Y525" i="132"/>
  <c r="AO525" i="132"/>
  <c r="Y529" i="132"/>
  <c r="AO529" i="132"/>
  <c r="Y535" i="132"/>
  <c r="AO535" i="132"/>
  <c r="Y541" i="132"/>
  <c r="AO541" i="132"/>
  <c r="Y545" i="132"/>
  <c r="AO545" i="132"/>
  <c r="Y550" i="132"/>
  <c r="AO550" i="132"/>
  <c r="Y596" i="132"/>
  <c r="AO596" i="132"/>
  <c r="Y609" i="132"/>
  <c r="AO609" i="132"/>
  <c r="Y615" i="132"/>
  <c r="AO615" i="132"/>
  <c r="Y620" i="132"/>
  <c r="AO620" i="132"/>
  <c r="Y624" i="132"/>
  <c r="AO624" i="132"/>
  <c r="Y627" i="132"/>
  <c r="AO627" i="132"/>
  <c r="Y631" i="132"/>
  <c r="AO631" i="132"/>
  <c r="Y635" i="132"/>
  <c r="AO635" i="132"/>
  <c r="Y641" i="132"/>
  <c r="AO641" i="132"/>
  <c r="Y645" i="132"/>
  <c r="AO645" i="132"/>
  <c r="Y649" i="132"/>
  <c r="AO649" i="132"/>
  <c r="Y654" i="132"/>
  <c r="AO654" i="132"/>
  <c r="Y658" i="132"/>
  <c r="AO658" i="132"/>
  <c r="Y662" i="132"/>
  <c r="AO662" i="132"/>
  <c r="Y666" i="132"/>
  <c r="AO666" i="132"/>
  <c r="AB171" i="132"/>
  <c r="AP171" i="132" s="1"/>
  <c r="AP172" i="132"/>
  <c r="Y14" i="132"/>
  <c r="AO14" i="132"/>
  <c r="Y18" i="132"/>
  <c r="AO18" i="132"/>
  <c r="Y23" i="132"/>
  <c r="AO23" i="132"/>
  <c r="Y28" i="132"/>
  <c r="AO28" i="132"/>
  <c r="Y33" i="132"/>
  <c r="AO33" i="132"/>
  <c r="Y64" i="132"/>
  <c r="AO64" i="132"/>
  <c r="Y74" i="132"/>
  <c r="AO74" i="132"/>
  <c r="Y78" i="132"/>
  <c r="AO78" i="132"/>
  <c r="Y97" i="132"/>
  <c r="AO97" i="132"/>
  <c r="Y177" i="132"/>
  <c r="AO177" i="132"/>
  <c r="Y211" i="132"/>
  <c r="AO211" i="132"/>
  <c r="Y220" i="132"/>
  <c r="AO220" i="132"/>
  <c r="Y224" i="132"/>
  <c r="AO224" i="132"/>
  <c r="Y228" i="132"/>
  <c r="AO228" i="132"/>
  <c r="Y234" i="132"/>
  <c r="AO234" i="132"/>
  <c r="Y240" i="132"/>
  <c r="AO240" i="132"/>
  <c r="Y256" i="132"/>
  <c r="AO256" i="132"/>
  <c r="Y260" i="132"/>
  <c r="AO260" i="132"/>
  <c r="Y265" i="132"/>
  <c r="AO265" i="132"/>
  <c r="Y339" i="132"/>
  <c r="AO339" i="132"/>
  <c r="Y343" i="132"/>
  <c r="AO343" i="132"/>
  <c r="Y347" i="132"/>
  <c r="AO347" i="132"/>
  <c r="Y352" i="132"/>
  <c r="AO352" i="132"/>
  <c r="Y356" i="132"/>
  <c r="AO356" i="132"/>
  <c r="Y362" i="132"/>
  <c r="AO362" i="132"/>
  <c r="Y369" i="132"/>
  <c r="AO369" i="132"/>
  <c r="Y415" i="132"/>
  <c r="AO415" i="132"/>
  <c r="Y419" i="132"/>
  <c r="AO419" i="132"/>
  <c r="Y494" i="132"/>
  <c r="AO494" i="132"/>
  <c r="Y498" i="132"/>
  <c r="AO498" i="132"/>
  <c r="Y503" i="132"/>
  <c r="AO503" i="132"/>
  <c r="Y508" i="132"/>
  <c r="AO508" i="132"/>
  <c r="Y512" i="132"/>
  <c r="AO512" i="132"/>
  <c r="Y517" i="132"/>
  <c r="AO517" i="132"/>
  <c r="Y521" i="132"/>
  <c r="AO521" i="132"/>
  <c r="Y556" i="132"/>
  <c r="AO556" i="132"/>
  <c r="Y560" i="132"/>
  <c r="AO560" i="132"/>
  <c r="Y565" i="132"/>
  <c r="AO565" i="132"/>
  <c r="Y585" i="132"/>
  <c r="AO585" i="132"/>
  <c r="Y589" i="132"/>
  <c r="AO589" i="132"/>
  <c r="Y593" i="132"/>
  <c r="AO593" i="132"/>
  <c r="Y597" i="132"/>
  <c r="AO597" i="132"/>
  <c r="Y601" i="132"/>
  <c r="AO601" i="132"/>
  <c r="Y621" i="132"/>
  <c r="AO621" i="132"/>
  <c r="Y39" i="132"/>
  <c r="AO39" i="132"/>
  <c r="Y46" i="132"/>
  <c r="AO46" i="132"/>
  <c r="Y51" i="132"/>
  <c r="AO51" i="132"/>
  <c r="Y84" i="132"/>
  <c r="AO84" i="132"/>
  <c r="Y88" i="132"/>
  <c r="AO88" i="132"/>
  <c r="Y92" i="132"/>
  <c r="AO92" i="132"/>
  <c r="Y106" i="132"/>
  <c r="AO106" i="132"/>
  <c r="Y112" i="132"/>
  <c r="AO112" i="132"/>
  <c r="Y117" i="132"/>
  <c r="AO117" i="132"/>
  <c r="Y123" i="132"/>
  <c r="AO123" i="132"/>
  <c r="Y130" i="132"/>
  <c r="AO130" i="132"/>
  <c r="Y135" i="132"/>
  <c r="AO135" i="132"/>
  <c r="Y142" i="132"/>
  <c r="AO142" i="132"/>
  <c r="Y147" i="132"/>
  <c r="AO147" i="132"/>
  <c r="Y152" i="132"/>
  <c r="AO152" i="132"/>
  <c r="Y158" i="132"/>
  <c r="AO158" i="132"/>
  <c r="Y162" i="132"/>
  <c r="AO162" i="132"/>
  <c r="Y202" i="132"/>
  <c r="AO202" i="132"/>
  <c r="Y207" i="132"/>
  <c r="AO207" i="132"/>
  <c r="Y275" i="132"/>
  <c r="AO275" i="132"/>
  <c r="Y279" i="132"/>
  <c r="AO279" i="132"/>
  <c r="Y283" i="132"/>
  <c r="AO283" i="132"/>
  <c r="Y294" i="132"/>
  <c r="AO294" i="132"/>
  <c r="Y299" i="132"/>
  <c r="AO299" i="132"/>
  <c r="Y304" i="132"/>
  <c r="AO304" i="132"/>
  <c r="Y308" i="132"/>
  <c r="AO308" i="132"/>
  <c r="Y313" i="132"/>
  <c r="AO313" i="132"/>
  <c r="Y317" i="132"/>
  <c r="AO317" i="132"/>
  <c r="Y328" i="132"/>
  <c r="AO328" i="132"/>
  <c r="Y333" i="132"/>
  <c r="AO333" i="132"/>
  <c r="Y376" i="132"/>
  <c r="AO376" i="132"/>
  <c r="Y390" i="132"/>
  <c r="AO390" i="132"/>
  <c r="Y395" i="132"/>
  <c r="AO395" i="132"/>
  <c r="Y399" i="132"/>
  <c r="AO399" i="132"/>
  <c r="Y403" i="132"/>
  <c r="AO403" i="132"/>
  <c r="Y408" i="132"/>
  <c r="AO408" i="132"/>
  <c r="Y424" i="132"/>
  <c r="AO424" i="132"/>
  <c r="Y526" i="132"/>
  <c r="AO526" i="132"/>
  <c r="Y532" i="132"/>
  <c r="AO532" i="132"/>
  <c r="Y536" i="132"/>
  <c r="AO536" i="132"/>
  <c r="Y542" i="132"/>
  <c r="AO542" i="132"/>
  <c r="Y546" i="132"/>
  <c r="AO546" i="132"/>
  <c r="Y551" i="132"/>
  <c r="AO551" i="132"/>
  <c r="Y580" i="132"/>
  <c r="AO580" i="132"/>
  <c r="Y606" i="132"/>
  <c r="AO606" i="132"/>
  <c r="Y610" i="132"/>
  <c r="AO610" i="132"/>
  <c r="Y616" i="132"/>
  <c r="AO616" i="132"/>
  <c r="Y625" i="132"/>
  <c r="AO625" i="132"/>
  <c r="Y628" i="132"/>
  <c r="AO628" i="132"/>
  <c r="Y632" i="132"/>
  <c r="AO632" i="132"/>
  <c r="Y636" i="132"/>
  <c r="AO636" i="132"/>
  <c r="Y642" i="132"/>
  <c r="AO642" i="132"/>
  <c r="Y646" i="132"/>
  <c r="AO646" i="132"/>
  <c r="Y651" i="132"/>
  <c r="AO651" i="132"/>
  <c r="Y655" i="132"/>
  <c r="AO655" i="132"/>
  <c r="Y659" i="132"/>
  <c r="AO659" i="132"/>
  <c r="Y663" i="132"/>
  <c r="AO663" i="132"/>
  <c r="AB309" i="132"/>
  <c r="AP309" i="132" s="1"/>
  <c r="AP311" i="132"/>
  <c r="AB269" i="132"/>
  <c r="AP269" i="132" s="1"/>
  <c r="AP272" i="132"/>
  <c r="Y15" i="132"/>
  <c r="AO15" i="132"/>
  <c r="Y19" i="132"/>
  <c r="AO19" i="132"/>
  <c r="Y24" i="132"/>
  <c r="AO24" i="132"/>
  <c r="Y29" i="132"/>
  <c r="AO29" i="132"/>
  <c r="Y60" i="132"/>
  <c r="AO60" i="132"/>
  <c r="Y65" i="132"/>
  <c r="AO65" i="132"/>
  <c r="Y70" i="132"/>
  <c r="AO70" i="132"/>
  <c r="Y75" i="132"/>
  <c r="AO75" i="132"/>
  <c r="Y79" i="132"/>
  <c r="AO79" i="132"/>
  <c r="Y98" i="132"/>
  <c r="AO98" i="132"/>
  <c r="Y173" i="132"/>
  <c r="AO173" i="132"/>
  <c r="Y178" i="132"/>
  <c r="AO178" i="132"/>
  <c r="Y212" i="132"/>
  <c r="AO212" i="132"/>
  <c r="Y217" i="132"/>
  <c r="AO217" i="132"/>
  <c r="Y221" i="132"/>
  <c r="AO221" i="132"/>
  <c r="Y225" i="132"/>
  <c r="AO225" i="132"/>
  <c r="W229" i="132"/>
  <c r="AO230" i="132"/>
  <c r="Y235" i="132"/>
  <c r="AO235" i="132"/>
  <c r="Y241" i="132"/>
  <c r="AO241" i="132"/>
  <c r="Y257" i="132"/>
  <c r="AO257" i="132"/>
  <c r="Y261" i="132"/>
  <c r="AO261" i="132"/>
  <c r="Y266" i="132"/>
  <c r="AO266" i="132"/>
  <c r="Y340" i="132"/>
  <c r="AO340" i="132"/>
  <c r="Y344" i="132"/>
  <c r="AO344" i="132"/>
  <c r="Y349" i="132"/>
  <c r="AO349" i="132"/>
  <c r="Y353" i="132"/>
  <c r="AO353" i="132"/>
  <c r="Y357" i="132"/>
  <c r="AO357" i="132"/>
  <c r="Y416" i="132"/>
  <c r="AO416" i="132"/>
  <c r="Y420" i="132"/>
  <c r="AO420" i="132"/>
  <c r="Y495" i="132"/>
  <c r="AO495" i="132"/>
  <c r="Y500" i="132"/>
  <c r="AO500" i="132"/>
  <c r="Y504" i="132"/>
  <c r="AO504" i="132"/>
  <c r="Y509" i="132"/>
  <c r="AO509" i="132"/>
  <c r="Y513" i="132"/>
  <c r="AO513" i="132"/>
  <c r="Y518" i="132"/>
  <c r="AO518" i="132"/>
  <c r="Y557" i="132"/>
  <c r="AO557" i="132"/>
  <c r="Y561" i="132"/>
  <c r="AO561" i="132"/>
  <c r="Y586" i="132"/>
  <c r="AO586" i="132"/>
  <c r="Y594" i="132"/>
  <c r="AO594" i="132"/>
  <c r="Y598" i="132"/>
  <c r="AO598" i="132"/>
  <c r="Y602" i="132"/>
  <c r="AO602" i="132"/>
  <c r="Y35" i="132"/>
  <c r="AO35" i="132"/>
  <c r="Y40" i="132"/>
  <c r="AO40" i="132"/>
  <c r="Y47" i="132"/>
  <c r="AO47" i="132"/>
  <c r="Y53" i="132"/>
  <c r="AO53" i="132"/>
  <c r="Y85" i="132"/>
  <c r="AO85" i="132"/>
  <c r="Y89" i="132"/>
  <c r="AO89" i="132"/>
  <c r="Y93" i="132"/>
  <c r="AO93" i="132"/>
  <c r="Y107" i="132"/>
  <c r="AO107" i="132"/>
  <c r="Y113" i="132"/>
  <c r="AO113" i="132"/>
  <c r="Y118" i="132"/>
  <c r="AO118" i="132"/>
  <c r="Y124" i="132"/>
  <c r="AO124" i="132"/>
  <c r="Y131" i="132"/>
  <c r="AO131" i="132"/>
  <c r="Y136" i="132"/>
  <c r="AO136" i="132"/>
  <c r="Y143" i="132"/>
  <c r="AO143" i="132"/>
  <c r="Y148" i="132"/>
  <c r="AO148" i="132"/>
  <c r="Y153" i="132"/>
  <c r="AO153" i="132"/>
  <c r="Y159" i="132"/>
  <c r="AO159" i="132"/>
  <c r="Y163" i="132"/>
  <c r="AO163" i="132"/>
  <c r="Y203" i="132"/>
  <c r="AO203" i="132"/>
  <c r="Y208" i="132"/>
  <c r="AO208" i="132"/>
  <c r="Y252" i="132"/>
  <c r="AO252" i="132"/>
  <c r="Y276" i="132"/>
  <c r="AO276" i="132"/>
  <c r="Y280" i="132"/>
  <c r="AO280" i="132"/>
  <c r="Y284" i="132"/>
  <c r="AO284" i="132"/>
  <c r="Y291" i="132"/>
  <c r="AO291" i="132"/>
  <c r="Y300" i="132"/>
  <c r="AO300" i="132"/>
  <c r="Y305" i="132"/>
  <c r="AO305" i="132"/>
  <c r="Y310" i="132"/>
  <c r="AO310" i="132"/>
  <c r="Y314" i="132"/>
  <c r="AO314" i="132"/>
  <c r="W318" i="132"/>
  <c r="AO318" i="132" s="1"/>
  <c r="AO323" i="132"/>
  <c r="Y329" i="132"/>
  <c r="AO329" i="132"/>
  <c r="Y334" i="132"/>
  <c r="AO334" i="132"/>
  <c r="X348" i="132"/>
  <c r="X363" i="132"/>
  <c r="Y371" i="132"/>
  <c r="AO371" i="132"/>
  <c r="Y377" i="132"/>
  <c r="AO377" i="132"/>
  <c r="Y387" i="132"/>
  <c r="AO387" i="132"/>
  <c r="Y391" i="132"/>
  <c r="AO391" i="132"/>
  <c r="Y396" i="132"/>
  <c r="AO396" i="132"/>
  <c r="Y400" i="132"/>
  <c r="AO400" i="132"/>
  <c r="Y404" i="132"/>
  <c r="AO404" i="132"/>
  <c r="Y409" i="132"/>
  <c r="AO409" i="132"/>
  <c r="Y425" i="132"/>
  <c r="AO425" i="132"/>
  <c r="Y527" i="132"/>
  <c r="AO527" i="132"/>
  <c r="Y533" i="132"/>
  <c r="AO533" i="132"/>
  <c r="Y537" i="132"/>
  <c r="AO537" i="132"/>
  <c r="Y543" i="132"/>
  <c r="AO543" i="132"/>
  <c r="Y547" i="132"/>
  <c r="AO547" i="132"/>
  <c r="Y552" i="132"/>
  <c r="AO552" i="132"/>
  <c r="Y590" i="132"/>
  <c r="AO590" i="132"/>
  <c r="Y607" i="132"/>
  <c r="AO607" i="132"/>
  <c r="Y613" i="132"/>
  <c r="AO613" i="132"/>
  <c r="Y617" i="132"/>
  <c r="AO617" i="132"/>
  <c r="Y622" i="132"/>
  <c r="AO622" i="132"/>
  <c r="Y626" i="132"/>
  <c r="AO626" i="132"/>
  <c r="Y629" i="132"/>
  <c r="AO629" i="132"/>
  <c r="Y633" i="132"/>
  <c r="AO633" i="132"/>
  <c r="AO638" i="132"/>
  <c r="AO639" i="132"/>
  <c r="Y643" i="132"/>
  <c r="AO643" i="132"/>
  <c r="Y647" i="132"/>
  <c r="AO647" i="132"/>
  <c r="Y652" i="132"/>
  <c r="AO652" i="132"/>
  <c r="Y656" i="132"/>
  <c r="AO656" i="132"/>
  <c r="Y660" i="132"/>
  <c r="AO660" i="132"/>
  <c r="Y664" i="132"/>
  <c r="AO664" i="132"/>
  <c r="D696" i="132"/>
  <c r="N11" i="132"/>
  <c r="AN11" i="132" s="1"/>
  <c r="N95" i="132"/>
  <c r="AN95" i="132" s="1"/>
  <c r="AJ155" i="132"/>
  <c r="X139" i="132"/>
  <c r="X155" i="132"/>
  <c r="AB95" i="132"/>
  <c r="AP95" i="132" s="1"/>
  <c r="AJ166" i="132"/>
  <c r="W80" i="132"/>
  <c r="AO80" i="132" s="1"/>
  <c r="X129" i="132"/>
  <c r="X166" i="132"/>
  <c r="X335" i="132"/>
  <c r="W492" i="132"/>
  <c r="AO492" i="132" s="1"/>
  <c r="Y157" i="132"/>
  <c r="W155" i="132"/>
  <c r="AO155" i="132" s="1"/>
  <c r="AJ72" i="132"/>
  <c r="Y43" i="132"/>
  <c r="W41" i="132"/>
  <c r="AO41" i="132" s="1"/>
  <c r="Y55" i="132"/>
  <c r="W54" i="132"/>
  <c r="AO54" i="132" s="1"/>
  <c r="X61" i="132"/>
  <c r="W99" i="132"/>
  <c r="AO99" i="132" s="1"/>
  <c r="Y167" i="132"/>
  <c r="W166" i="132"/>
  <c r="AO166" i="132" s="1"/>
  <c r="W198" i="132"/>
  <c r="AO198" i="132" s="1"/>
  <c r="W290" i="132"/>
  <c r="AO290" i="132" s="1"/>
  <c r="X303" i="132"/>
  <c r="X372" i="132"/>
  <c r="X384" i="132"/>
  <c r="W72" i="132"/>
  <c r="AO72" i="132" s="1"/>
  <c r="AJ41" i="132"/>
  <c r="AJ54" i="132"/>
  <c r="X12" i="132"/>
  <c r="W236" i="132"/>
  <c r="AO236" i="132" s="1"/>
  <c r="W309" i="132"/>
  <c r="AO309" i="132" s="1"/>
  <c r="X41" i="132"/>
  <c r="W58" i="132"/>
  <c r="AO58" i="132" s="1"/>
  <c r="W68" i="132"/>
  <c r="AO68" i="132" s="1"/>
  <c r="W285" i="132"/>
  <c r="AO285" i="132" s="1"/>
  <c r="X318" i="132"/>
  <c r="W363" i="132"/>
  <c r="AO363" i="132" s="1"/>
  <c r="H696" i="132"/>
  <c r="H715" i="132" s="1"/>
  <c r="H718" i="132" s="1"/>
  <c r="AB11" i="132"/>
  <c r="AP11" i="132" s="1"/>
  <c r="W139" i="132"/>
  <c r="AO139" i="132" s="1"/>
  <c r="AJ80" i="132"/>
  <c r="Y73" i="132"/>
  <c r="X171" i="132"/>
  <c r="W34" i="132"/>
  <c r="AO34" i="132" s="1"/>
  <c r="X72" i="132"/>
  <c r="X99" i="132"/>
  <c r="W215" i="132"/>
  <c r="AO215" i="132" s="1"/>
  <c r="X263" i="132"/>
  <c r="X296" i="132"/>
  <c r="X604" i="132"/>
  <c r="X580" i="132"/>
  <c r="V580" i="132" s="1"/>
  <c r="W12" i="132"/>
  <c r="AO12" i="132" s="1"/>
  <c r="X68" i="132"/>
  <c r="W96" i="132"/>
  <c r="AO96" i="132" s="1"/>
  <c r="W499" i="132"/>
  <c r="AO499" i="132" s="1"/>
  <c r="X573" i="132"/>
  <c r="W190" i="132"/>
  <c r="AO190" i="132" s="1"/>
  <c r="X522" i="132"/>
  <c r="X638" i="132"/>
  <c r="Y81" i="132"/>
  <c r="W175" i="132"/>
  <c r="AO175" i="132" s="1"/>
  <c r="X210" i="132"/>
  <c r="X209" i="132" s="1"/>
  <c r="W570" i="132"/>
  <c r="W578" i="132"/>
  <c r="X175" i="132"/>
  <c r="X190" i="132"/>
  <c r="X196" i="132"/>
  <c r="U196" i="132" s="1"/>
  <c r="Y196" i="132"/>
  <c r="Y197" i="132"/>
  <c r="X197" i="132"/>
  <c r="X198" i="132"/>
  <c r="AK199" i="132"/>
  <c r="X245" i="132"/>
  <c r="W245" i="132"/>
  <c r="X246" i="132"/>
  <c r="W246" i="132"/>
  <c r="X253" i="132"/>
  <c r="X249" i="132" s="1"/>
  <c r="W253" i="132"/>
  <c r="AO253" i="132" s="1"/>
  <c r="X271" i="132"/>
  <c r="X269" i="132" s="1"/>
  <c r="W271" i="132"/>
  <c r="W288" i="132"/>
  <c r="AO288" i="132" s="1"/>
  <c r="Y289" i="132"/>
  <c r="Y288" i="132" s="1"/>
  <c r="X331" i="132"/>
  <c r="X368" i="132"/>
  <c r="W368" i="132"/>
  <c r="W372" i="132"/>
  <c r="AO372" i="132" s="1"/>
  <c r="W384" i="132"/>
  <c r="AO384" i="132" s="1"/>
  <c r="W392" i="132"/>
  <c r="AO392" i="132" s="1"/>
  <c r="Y394" i="132"/>
  <c r="W405" i="132"/>
  <c r="Y407" i="132"/>
  <c r="X405" i="132"/>
  <c r="X414" i="132"/>
  <c r="X507" i="132"/>
  <c r="X515" i="132"/>
  <c r="W522" i="132"/>
  <c r="AO522" i="132" s="1"/>
  <c r="Y523" i="132"/>
  <c r="X569" i="132"/>
  <c r="W569" i="132"/>
  <c r="X571" i="132"/>
  <c r="W571" i="132"/>
  <c r="X574" i="132"/>
  <c r="W574" i="132"/>
  <c r="X576" i="132"/>
  <c r="X577" i="132"/>
  <c r="W577" i="132"/>
  <c r="X579" i="132"/>
  <c r="W579" i="132"/>
  <c r="X582" i="132"/>
  <c r="W582" i="132"/>
  <c r="Y584" i="132"/>
  <c r="X653" i="132"/>
  <c r="X650" i="132" s="1"/>
  <c r="W653" i="132"/>
  <c r="W650" i="132" s="1"/>
  <c r="W637" i="132" s="1"/>
  <c r="X555" i="132"/>
  <c r="X554" i="132" s="1"/>
  <c r="X562" i="132"/>
  <c r="W555" i="132"/>
  <c r="AO555" i="132" s="1"/>
  <c r="W423" i="132"/>
  <c r="AO423" i="132" s="1"/>
  <c r="W360" i="132"/>
  <c r="AO360" i="132" s="1"/>
  <c r="X205" i="132"/>
  <c r="W26" i="132"/>
  <c r="AO26" i="132" s="1"/>
  <c r="X26" i="132"/>
  <c r="X96" i="132"/>
  <c r="X215" i="132"/>
  <c r="X56" i="132"/>
  <c r="W61" i="132"/>
  <c r="AO61" i="132" s="1"/>
  <c r="W303" i="132"/>
  <c r="AO303" i="132" s="1"/>
  <c r="X195" i="132"/>
  <c r="V195" i="132" s="1"/>
  <c r="W367" i="132"/>
  <c r="AO367" i="132" s="1"/>
  <c r="Y69" i="132"/>
  <c r="W129" i="132"/>
  <c r="AO129" i="132" s="1"/>
  <c r="Y192" i="132"/>
  <c r="Y195" i="132"/>
  <c r="Y199" i="132"/>
  <c r="W205" i="132"/>
  <c r="AO205" i="132" s="1"/>
  <c r="Y230" i="132"/>
  <c r="X244" i="132"/>
  <c r="W244" i="132"/>
  <c r="AO244" i="132" s="1"/>
  <c r="Y251" i="132"/>
  <c r="Y264" i="132"/>
  <c r="Y286" i="132"/>
  <c r="Y297" i="132"/>
  <c r="Y359" i="132"/>
  <c r="Y358" i="132" s="1"/>
  <c r="W414" i="132"/>
  <c r="AO414" i="132" s="1"/>
  <c r="Y493" i="132"/>
  <c r="X575" i="132"/>
  <c r="W575" i="132"/>
  <c r="X55" i="132"/>
  <c r="Y101" i="132"/>
  <c r="W210" i="132"/>
  <c r="AO210" i="132" s="1"/>
  <c r="Y216" i="132"/>
  <c r="W231" i="132"/>
  <c r="AO231" i="132" s="1"/>
  <c r="X290" i="132"/>
  <c r="X309" i="132"/>
  <c r="W327" i="132"/>
  <c r="AO327" i="132" s="1"/>
  <c r="W331" i="132"/>
  <c r="AO331" i="132" s="1"/>
  <c r="X370" i="132"/>
  <c r="W370" i="132"/>
  <c r="W515" i="132"/>
  <c r="AO515" i="132" s="1"/>
  <c r="W530" i="132"/>
  <c r="AO530" i="132" s="1"/>
  <c r="W539" i="132"/>
  <c r="W562" i="132"/>
  <c r="AO562" i="132" s="1"/>
  <c r="W573" i="132"/>
  <c r="X581" i="132"/>
  <c r="W581" i="132"/>
  <c r="X583" i="132"/>
  <c r="AO612" i="132"/>
  <c r="Y639" i="132"/>
  <c r="Y59" i="132"/>
  <c r="X81" i="132"/>
  <c r="Y237" i="132"/>
  <c r="W255" i="132"/>
  <c r="AO255" i="132" s="1"/>
  <c r="Y323" i="132"/>
  <c r="Y318" i="132" s="1"/>
  <c r="X327" i="132"/>
  <c r="W348" i="132"/>
  <c r="AO348" i="132" s="1"/>
  <c r="Y364" i="132"/>
  <c r="Y363" i="132" s="1"/>
  <c r="Y386" i="132"/>
  <c r="X530" i="132"/>
  <c r="AO604" i="132"/>
  <c r="Y605" i="132"/>
  <c r="X612" i="132"/>
  <c r="AO618" i="132"/>
  <c r="X57" i="132"/>
  <c r="X255" i="132"/>
  <c r="W324" i="132"/>
  <c r="AO324" i="132" s="1"/>
  <c r="X360" i="132"/>
  <c r="X392" i="132"/>
  <c r="W507" i="132"/>
  <c r="AO507" i="132" s="1"/>
  <c r="X231" i="132"/>
  <c r="X247" i="132"/>
  <c r="W247" i="132"/>
  <c r="X324" i="132"/>
  <c r="Y375" i="132"/>
  <c r="X423" i="132"/>
  <c r="W576" i="132"/>
  <c r="X578" i="132"/>
  <c r="W335" i="132"/>
  <c r="AO335" i="132" s="1"/>
  <c r="X570" i="132"/>
  <c r="X572" i="132"/>
  <c r="W572" i="132"/>
  <c r="X618" i="132"/>
  <c r="AJ492" i="132"/>
  <c r="AJ522" i="132"/>
  <c r="AJ618" i="132"/>
  <c r="AJ554" i="132"/>
  <c r="AJ604" i="132"/>
  <c r="AJ423" i="132"/>
  <c r="AJ26" i="132"/>
  <c r="AJ198" i="132"/>
  <c r="AJ499" i="132"/>
  <c r="AJ562" i="132"/>
  <c r="AJ612" i="132"/>
  <c r="AJ638" i="132"/>
  <c r="AJ227" i="132"/>
  <c r="AI23" i="132"/>
  <c r="AJ319" i="132"/>
  <c r="AI24" i="132"/>
  <c r="AJ392" i="132"/>
  <c r="AJ507" i="132"/>
  <c r="AJ539" i="132"/>
  <c r="AJ583" i="132"/>
  <c r="AL411" i="132"/>
  <c r="AJ226" i="132"/>
  <c r="AJ320" i="132"/>
  <c r="AJ530" i="132"/>
  <c r="AJ322" i="132"/>
  <c r="AJ321" i="132"/>
  <c r="AJ568" i="132"/>
  <c r="AJ650" i="132"/>
  <c r="N290" i="132"/>
  <c r="AJ295" i="132"/>
  <c r="N171" i="132"/>
  <c r="AN171" i="132" s="1"/>
  <c r="AJ172" i="132"/>
  <c r="N309" i="132"/>
  <c r="AJ311" i="132"/>
  <c r="AJ96" i="132"/>
  <c r="AJ209" i="132"/>
  <c r="AJ249" i="132"/>
  <c r="AJ263" i="132"/>
  <c r="AJ288" i="132"/>
  <c r="AJ296" i="132"/>
  <c r="D706" i="132"/>
  <c r="D725" i="132" s="1"/>
  <c r="L725" i="132" s="1"/>
  <c r="AJ384" i="132"/>
  <c r="AJ331" i="132"/>
  <c r="AJ412" i="132"/>
  <c r="AJ372" i="132"/>
  <c r="N190" i="132"/>
  <c r="AJ191" i="132"/>
  <c r="AJ68" i="132"/>
  <c r="AJ99" i="132"/>
  <c r="AJ229" i="132"/>
  <c r="AJ236" i="132"/>
  <c r="AJ348" i="132"/>
  <c r="AJ12" i="132"/>
  <c r="AJ58" i="132"/>
  <c r="AJ129" i="132"/>
  <c r="AJ239" i="132"/>
  <c r="AJ255" i="132"/>
  <c r="AJ285" i="132"/>
  <c r="AJ303" i="132"/>
  <c r="AJ324" i="132"/>
  <c r="AJ363" i="132"/>
  <c r="AJ405" i="132"/>
  <c r="AJ414" i="132"/>
  <c r="AJ515" i="132"/>
  <c r="AJ205" i="132"/>
  <c r="N269" i="132"/>
  <c r="AJ272" i="132"/>
  <c r="AJ34" i="132"/>
  <c r="AJ61" i="132"/>
  <c r="AJ139" i="132"/>
  <c r="AJ231" i="132"/>
  <c r="AJ327" i="132"/>
  <c r="AJ335" i="132"/>
  <c r="AJ366" i="132"/>
  <c r="AL410" i="132"/>
  <c r="AB611" i="132"/>
  <c r="AP611" i="132" s="1"/>
  <c r="N318" i="132"/>
  <c r="AN318" i="132" s="1"/>
  <c r="AB318" i="132"/>
  <c r="AB215" i="132"/>
  <c r="AB175" i="132"/>
  <c r="AP175" i="132" s="1"/>
  <c r="N215" i="132"/>
  <c r="AN215" i="132" s="1"/>
  <c r="AB637" i="132"/>
  <c r="AB491" i="132"/>
  <c r="W611" i="132" l="1"/>
  <c r="Y263" i="132"/>
  <c r="I698" i="132"/>
  <c r="Y612" i="132"/>
  <c r="Y58" i="132"/>
  <c r="AB566" i="132"/>
  <c r="AP566" i="132" s="1"/>
  <c r="AO405" i="132"/>
  <c r="G698" i="132"/>
  <c r="AO296" i="132"/>
  <c r="AB248" i="132"/>
  <c r="W568" i="132"/>
  <c r="W567" i="132" s="1"/>
  <c r="Y562" i="132"/>
  <c r="AP491" i="132"/>
  <c r="Y515" i="132"/>
  <c r="Y303" i="132"/>
  <c r="Y530" i="132"/>
  <c r="Y171" i="132"/>
  <c r="Y166" i="132"/>
  <c r="Y205" i="132"/>
  <c r="Y405" i="132"/>
  <c r="Y175" i="132"/>
  <c r="Y296" i="132"/>
  <c r="Y423" i="132"/>
  <c r="Y392" i="132"/>
  <c r="Y139" i="132"/>
  <c r="Y360" i="132"/>
  <c r="Y96" i="132"/>
  <c r="Y414" i="132"/>
  <c r="Y231" i="132"/>
  <c r="Y26" i="132"/>
  <c r="Y285" i="132"/>
  <c r="Y327" i="132"/>
  <c r="Y190" i="132"/>
  <c r="Y583" i="132"/>
  <c r="Y331" i="132"/>
  <c r="Y61" i="132"/>
  <c r="Y618" i="132"/>
  <c r="Y309" i="132"/>
  <c r="Y290" i="132"/>
  <c r="Y129" i="132"/>
  <c r="Y507" i="132"/>
  <c r="Y348" i="132"/>
  <c r="Y269" i="132"/>
  <c r="Y499" i="132"/>
  <c r="Y335" i="132"/>
  <c r="Y255" i="132"/>
  <c r="Y492" i="132"/>
  <c r="Y12" i="132"/>
  <c r="Y34" i="132"/>
  <c r="Y80" i="132"/>
  <c r="Y68" i="132"/>
  <c r="Y372" i="132"/>
  <c r="Y638" i="132"/>
  <c r="Y54" i="132"/>
  <c r="Y604" i="132"/>
  <c r="Y215" i="132"/>
  <c r="Y198" i="132"/>
  <c r="V196" i="132"/>
  <c r="Y41" i="132"/>
  <c r="Y99" i="132"/>
  <c r="Y72" i="132"/>
  <c r="Y384" i="132"/>
  <c r="Y236" i="132"/>
  <c r="Y522" i="132"/>
  <c r="Y155" i="132"/>
  <c r="AP567" i="132"/>
  <c r="AJ290" i="132"/>
  <c r="AN290" i="132"/>
  <c r="Y573" i="132"/>
  <c r="AO573" i="132"/>
  <c r="Y575" i="132"/>
  <c r="AO575" i="132"/>
  <c r="Y229" i="132"/>
  <c r="AO229" i="132"/>
  <c r="AJ269" i="132"/>
  <c r="AN269" i="132"/>
  <c r="Y246" i="132"/>
  <c r="AO246" i="132"/>
  <c r="H707" i="132"/>
  <c r="H709" i="132" s="1"/>
  <c r="AP637" i="132"/>
  <c r="Y539" i="132"/>
  <c r="AO539" i="132"/>
  <c r="Y574" i="132"/>
  <c r="AO574" i="132"/>
  <c r="Y582" i="132"/>
  <c r="AO582" i="132"/>
  <c r="Y245" i="132"/>
  <c r="AO245" i="132"/>
  <c r="AJ309" i="132"/>
  <c r="AN309" i="132"/>
  <c r="Y571" i="132"/>
  <c r="AO571" i="132"/>
  <c r="AP318" i="132"/>
  <c r="AO637" i="132"/>
  <c r="AO650" i="132"/>
  <c r="Y247" i="132"/>
  <c r="AO247" i="132"/>
  <c r="Y370" i="132"/>
  <c r="AO370" i="132"/>
  <c r="Y579" i="132"/>
  <c r="AO579" i="132"/>
  <c r="Y368" i="132"/>
  <c r="AO368" i="132"/>
  <c r="W269" i="132"/>
  <c r="AO269" i="132" s="1"/>
  <c r="AO271" i="132"/>
  <c r="H702" i="132"/>
  <c r="AP215" i="132"/>
  <c r="Y581" i="132"/>
  <c r="AO581" i="132"/>
  <c r="Y569" i="132"/>
  <c r="AO569" i="132"/>
  <c r="Y578" i="132"/>
  <c r="AO578" i="132"/>
  <c r="AJ190" i="132"/>
  <c r="AN190" i="132"/>
  <c r="Y572" i="132"/>
  <c r="AO572" i="132"/>
  <c r="Y576" i="132"/>
  <c r="AO576" i="132"/>
  <c r="Y653" i="132"/>
  <c r="Y650" i="132" s="1"/>
  <c r="AO653" i="132"/>
  <c r="Y577" i="132"/>
  <c r="AO577" i="132"/>
  <c r="Y570" i="132"/>
  <c r="AO570" i="132"/>
  <c r="U580" i="132"/>
  <c r="AJ11" i="132"/>
  <c r="AJ171" i="132"/>
  <c r="X491" i="132"/>
  <c r="X366" i="132"/>
  <c r="X248" i="132" s="1"/>
  <c r="W11" i="132"/>
  <c r="AO11" i="132" s="1"/>
  <c r="X95" i="132"/>
  <c r="U55" i="132"/>
  <c r="X54" i="132"/>
  <c r="I696" i="132" s="1"/>
  <c r="AJ95" i="132"/>
  <c r="X637" i="132"/>
  <c r="W95" i="132"/>
  <c r="AO95" i="132" s="1"/>
  <c r="G696" i="132"/>
  <c r="U81" i="132"/>
  <c r="X80" i="132"/>
  <c r="X239" i="132"/>
  <c r="X170" i="132" s="1"/>
  <c r="Y253" i="132"/>
  <c r="Y249" i="132" s="1"/>
  <c r="W249" i="132"/>
  <c r="AO249" i="132" s="1"/>
  <c r="V197" i="132"/>
  <c r="U197" i="132"/>
  <c r="W554" i="132"/>
  <c r="Y555" i="132"/>
  <c r="Y554" i="132" s="1"/>
  <c r="W366" i="132"/>
  <c r="AO366" i="132" s="1"/>
  <c r="Y367" i="132"/>
  <c r="V56" i="132"/>
  <c r="U56" i="132"/>
  <c r="W209" i="132"/>
  <c r="AO209" i="132" s="1"/>
  <c r="Y210" i="132"/>
  <c r="Y209" i="132" s="1"/>
  <c r="X568" i="132"/>
  <c r="X567" i="132" s="1"/>
  <c r="V57" i="132"/>
  <c r="U57" i="132"/>
  <c r="V81" i="132"/>
  <c r="V55" i="132"/>
  <c r="U195" i="132"/>
  <c r="X611" i="132"/>
  <c r="Y244" i="132"/>
  <c r="W239" i="132"/>
  <c r="AO239" i="132" s="1"/>
  <c r="L706" i="132"/>
  <c r="AJ318" i="132"/>
  <c r="H724" i="132"/>
  <c r="H727" i="132" s="1"/>
  <c r="D705" i="132"/>
  <c r="L705" i="132" s="1"/>
  <c r="D733" i="132"/>
  <c r="L733" i="132" s="1"/>
  <c r="AJ215" i="132"/>
  <c r="L731" i="132"/>
  <c r="H697" i="132"/>
  <c r="H701" i="132" s="1"/>
  <c r="L696" i="132"/>
  <c r="D715" i="132"/>
  <c r="L698" i="132"/>
  <c r="AB170" i="132"/>
  <c r="Y611" i="132" l="1"/>
  <c r="W566" i="132"/>
  <c r="J698" i="132"/>
  <c r="X566" i="132"/>
  <c r="W248" i="132"/>
  <c r="H728" i="132"/>
  <c r="H730" i="132" s="1"/>
  <c r="Y637" i="132"/>
  <c r="AK488" i="132"/>
  <c r="AP488" i="132"/>
  <c r="AJ488" i="132"/>
  <c r="Y366" i="132"/>
  <c r="Y248" i="132" s="1"/>
  <c r="Y239" i="132"/>
  <c r="Y170" i="132" s="1"/>
  <c r="Y11" i="132"/>
  <c r="Y95" i="132"/>
  <c r="Y491" i="132"/>
  <c r="G702" i="132"/>
  <c r="G703" i="132" s="1"/>
  <c r="AO611" i="132"/>
  <c r="AO567" i="132"/>
  <c r="AO568" i="132"/>
  <c r="AP170" i="132"/>
  <c r="I702" i="132"/>
  <c r="W491" i="132"/>
  <c r="AO554" i="132"/>
  <c r="Y568" i="132"/>
  <c r="Y567" i="132" s="1"/>
  <c r="J696" i="132"/>
  <c r="X11" i="132"/>
  <c r="W170" i="132"/>
  <c r="AO170" i="132" s="1"/>
  <c r="H704" i="132"/>
  <c r="H710" i="132" s="1"/>
  <c r="D721" i="132"/>
  <c r="L721" i="132" s="1"/>
  <c r="D734" i="132"/>
  <c r="L734" i="132" s="1"/>
  <c r="L715" i="132"/>
  <c r="D718" i="132"/>
  <c r="L718" i="132" s="1"/>
  <c r="H719" i="132"/>
  <c r="H723" i="132" s="1"/>
  <c r="H735" i="132" s="1"/>
  <c r="Y566" i="132" l="1"/>
  <c r="AP470" i="132"/>
  <c r="AJ470" i="132"/>
  <c r="AO491" i="132"/>
  <c r="AK470" i="132"/>
  <c r="K177" i="132"/>
  <c r="L177" i="132"/>
  <c r="M177" i="132"/>
  <c r="K178" i="132"/>
  <c r="L178" i="132"/>
  <c r="M178" i="132"/>
  <c r="K179" i="132"/>
  <c r="L179" i="132"/>
  <c r="M179" i="132"/>
  <c r="K180" i="132"/>
  <c r="L180" i="132"/>
  <c r="M180" i="132"/>
  <c r="K181" i="132"/>
  <c r="L181" i="132"/>
  <c r="M181" i="132"/>
  <c r="K182" i="132"/>
  <c r="L182" i="132"/>
  <c r="M182" i="132"/>
  <c r="K183" i="132"/>
  <c r="L183" i="132"/>
  <c r="M183" i="132"/>
  <c r="K184" i="132"/>
  <c r="L184" i="132"/>
  <c r="M184" i="132"/>
  <c r="K185" i="132"/>
  <c r="L185" i="132"/>
  <c r="M185" i="132"/>
  <c r="K186" i="132"/>
  <c r="L186" i="132"/>
  <c r="M186" i="132"/>
  <c r="K187" i="132"/>
  <c r="L187" i="132"/>
  <c r="M187" i="132"/>
  <c r="K188" i="132"/>
  <c r="L188" i="132"/>
  <c r="M188" i="132"/>
  <c r="K189" i="132"/>
  <c r="L189" i="132"/>
  <c r="M189" i="132"/>
  <c r="M176" i="132"/>
  <c r="L176" i="132"/>
  <c r="K176" i="132"/>
  <c r="N177" i="132"/>
  <c r="N178" i="132"/>
  <c r="N179" i="132"/>
  <c r="N180" i="132"/>
  <c r="N181" i="132"/>
  <c r="N182" i="132"/>
  <c r="N183" i="132"/>
  <c r="N184" i="132"/>
  <c r="N185" i="132"/>
  <c r="N186" i="132"/>
  <c r="N187" i="132"/>
  <c r="N188" i="132"/>
  <c r="N189" i="132"/>
  <c r="N176" i="132"/>
  <c r="I13" i="132"/>
  <c r="AM13" i="132" s="1"/>
  <c r="AO566" i="132" l="1"/>
  <c r="AK456" i="132"/>
  <c r="AP248" i="132"/>
  <c r="AB10" i="132"/>
  <c r="AO488" i="132"/>
  <c r="AI488" i="132"/>
  <c r="AP456" i="132"/>
  <c r="AJ456" i="132"/>
  <c r="AJ188" i="132"/>
  <c r="AN188" i="132"/>
  <c r="AJ179" i="132"/>
  <c r="AN179" i="132"/>
  <c r="AJ186" i="132"/>
  <c r="AN186" i="132"/>
  <c r="AJ185" i="132"/>
  <c r="AN185" i="132"/>
  <c r="AJ184" i="132"/>
  <c r="AN184" i="132"/>
  <c r="AJ183" i="132"/>
  <c r="AN183" i="132"/>
  <c r="AJ178" i="132"/>
  <c r="AN178" i="132"/>
  <c r="AJ176" i="132"/>
  <c r="AN176" i="132"/>
  <c r="AJ182" i="132"/>
  <c r="AN182" i="132"/>
  <c r="AJ180" i="132"/>
  <c r="AN180" i="132"/>
  <c r="AJ187" i="132"/>
  <c r="AN187" i="132"/>
  <c r="AJ177" i="132"/>
  <c r="AN177" i="132"/>
  <c r="AJ189" i="132"/>
  <c r="AN189" i="132"/>
  <c r="AJ181" i="132"/>
  <c r="AN181" i="132"/>
  <c r="N175" i="132"/>
  <c r="AN175" i="132" s="1"/>
  <c r="M175" i="132"/>
  <c r="L175" i="132"/>
  <c r="K175" i="132"/>
  <c r="AL488" i="132" l="1"/>
  <c r="AP10" i="132"/>
  <c r="AB687" i="132"/>
  <c r="AO470" i="132"/>
  <c r="AI470" i="132"/>
  <c r="AJ175" i="132"/>
  <c r="D697" i="132"/>
  <c r="D701" i="132" s="1"/>
  <c r="L701" i="132" s="1"/>
  <c r="AL470" i="132" l="1"/>
  <c r="AP687" i="132"/>
  <c r="AB688" i="132"/>
  <c r="AO248" i="132"/>
  <c r="AO456" i="132"/>
  <c r="AI456" i="132"/>
  <c r="D719" i="132"/>
  <c r="D723" i="132" s="1"/>
  <c r="L723" i="132" s="1"/>
  <c r="L697" i="132"/>
  <c r="AL456" i="132" l="1"/>
  <c r="AP688" i="132"/>
  <c r="AB691" i="132"/>
  <c r="AP691" i="132" s="1"/>
  <c r="L719" i="132"/>
  <c r="K13" i="132"/>
  <c r="J13" i="132"/>
  <c r="I580" i="132"/>
  <c r="AM580" i="132" s="1"/>
  <c r="AI580" i="132" l="1"/>
  <c r="M580" i="132"/>
  <c r="Z580" i="132"/>
  <c r="AA580" i="132"/>
  <c r="K580" i="132"/>
  <c r="L580" i="132"/>
  <c r="L13" i="132"/>
  <c r="I237" i="132" l="1"/>
  <c r="AM237" i="132" s="1"/>
  <c r="AI237" i="132" l="1"/>
  <c r="I207" i="132"/>
  <c r="AM207" i="132" s="1"/>
  <c r="I197" i="132"/>
  <c r="AM197" i="132" s="1"/>
  <c r="I196" i="132"/>
  <c r="AM196" i="132" s="1"/>
  <c r="I195" i="132"/>
  <c r="AM195" i="132" s="1"/>
  <c r="I169" i="132"/>
  <c r="AM169" i="132" s="1"/>
  <c r="I130" i="132"/>
  <c r="AM130" i="132" s="1"/>
  <c r="I168" i="132"/>
  <c r="AM168" i="132" s="1"/>
  <c r="I167" i="132"/>
  <c r="AM167" i="132" s="1"/>
  <c r="I81" i="132"/>
  <c r="I57" i="132"/>
  <c r="AM57" i="132" s="1"/>
  <c r="I56" i="132"/>
  <c r="AM56" i="132" s="1"/>
  <c r="I55" i="132"/>
  <c r="AM55" i="132" s="1"/>
  <c r="AM81" i="132" l="1"/>
  <c r="I54" i="132"/>
  <c r="I166" i="132"/>
  <c r="AM166" i="132" s="1"/>
  <c r="AI81" i="132"/>
  <c r="AI196" i="132"/>
  <c r="AI195" i="132"/>
  <c r="AI55" i="132"/>
  <c r="AI56" i="132"/>
  <c r="AI57" i="132"/>
  <c r="AI197" i="132"/>
  <c r="AI169" i="132"/>
  <c r="AL237" i="132"/>
  <c r="AG237" i="132"/>
  <c r="AH237" i="132"/>
  <c r="J81" i="132"/>
  <c r="J167" i="132"/>
  <c r="M55" i="132"/>
  <c r="J57" i="132"/>
  <c r="J197" i="132"/>
  <c r="H197" i="132" s="1"/>
  <c r="M56" i="132"/>
  <c r="J196" i="132"/>
  <c r="J195" i="132"/>
  <c r="J169" i="132"/>
  <c r="H169" i="132" s="1"/>
  <c r="J55" i="132"/>
  <c r="J56" i="132"/>
  <c r="K55" i="132"/>
  <c r="L55" i="132"/>
  <c r="J168" i="132"/>
  <c r="H168" i="132" s="1"/>
  <c r="K56" i="132"/>
  <c r="L56" i="132"/>
  <c r="J24" i="132"/>
  <c r="I21" i="132"/>
  <c r="AM21" i="132" s="1"/>
  <c r="J580" i="132"/>
  <c r="AA197" i="132"/>
  <c r="Z196" i="132"/>
  <c r="L196" i="132"/>
  <c r="AA195" i="132"/>
  <c r="M195" i="132"/>
  <c r="J189" i="132"/>
  <c r="Z188" i="132"/>
  <c r="J188" i="132"/>
  <c r="Z187" i="132"/>
  <c r="J187" i="132"/>
  <c r="Z186" i="132"/>
  <c r="J186" i="132"/>
  <c r="Z185" i="132"/>
  <c r="J185" i="132"/>
  <c r="Z184" i="132"/>
  <c r="J184" i="132"/>
  <c r="J183" i="132"/>
  <c r="J182" i="132"/>
  <c r="J181" i="132"/>
  <c r="AK180" i="132"/>
  <c r="Z179" i="132"/>
  <c r="J179" i="132"/>
  <c r="AI178" i="132"/>
  <c r="J178" i="132"/>
  <c r="J177" i="132"/>
  <c r="AI176" i="132"/>
  <c r="J176" i="132"/>
  <c r="M191" i="132"/>
  <c r="J191" i="132"/>
  <c r="Z191" i="132"/>
  <c r="I192" i="132"/>
  <c r="AM192" i="132" s="1"/>
  <c r="J192" i="132"/>
  <c r="I193" i="132"/>
  <c r="AM193" i="132" s="1"/>
  <c r="J193" i="132"/>
  <c r="Z193" i="132"/>
  <c r="AA326" i="132"/>
  <c r="J326" i="132"/>
  <c r="I326" i="132"/>
  <c r="AM326" i="132" s="1"/>
  <c r="J325" i="132"/>
  <c r="I325" i="132"/>
  <c r="AM325" i="132" s="1"/>
  <c r="AM54" i="132" l="1"/>
  <c r="H167" i="132"/>
  <c r="J166" i="132"/>
  <c r="AI54" i="132"/>
  <c r="G55" i="132"/>
  <c r="J54" i="132"/>
  <c r="H81" i="132"/>
  <c r="H195" i="132"/>
  <c r="G195" i="132"/>
  <c r="H196" i="132"/>
  <c r="G196" i="132"/>
  <c r="H57" i="132"/>
  <c r="G57" i="132"/>
  <c r="AK55" i="132"/>
  <c r="AG55" i="132" s="1"/>
  <c r="H55" i="132"/>
  <c r="G197" i="132"/>
  <c r="H580" i="132"/>
  <c r="G580" i="132"/>
  <c r="AK56" i="132"/>
  <c r="AH56" i="132" s="1"/>
  <c r="H56" i="132"/>
  <c r="G168" i="132"/>
  <c r="G169" i="132"/>
  <c r="G167" i="132"/>
  <c r="G56" i="132"/>
  <c r="G81" i="132"/>
  <c r="AK195" i="132"/>
  <c r="AH195" i="132" s="1"/>
  <c r="AK183" i="132"/>
  <c r="AI325" i="132"/>
  <c r="AK177" i="132"/>
  <c r="AK188" i="132"/>
  <c r="AI192" i="132"/>
  <c r="AK176" i="132"/>
  <c r="AL176" i="132" s="1"/>
  <c r="AK187" i="132"/>
  <c r="AK179" i="132"/>
  <c r="AK182" i="132"/>
  <c r="AK325" i="132"/>
  <c r="AK186" i="132"/>
  <c r="K326" i="132"/>
  <c r="AI326" i="132"/>
  <c r="AK326" i="132"/>
  <c r="AK81" i="132"/>
  <c r="AK192" i="132"/>
  <c r="AK185" i="132"/>
  <c r="AK169" i="132"/>
  <c r="AH169" i="132" s="1"/>
  <c r="AL180" i="132"/>
  <c r="K21" i="132"/>
  <c r="AK197" i="132"/>
  <c r="AK191" i="132"/>
  <c r="AK178" i="132"/>
  <c r="AK181" i="132"/>
  <c r="AK189" i="132"/>
  <c r="AK57" i="132"/>
  <c r="AI177" i="132"/>
  <c r="AK193" i="132"/>
  <c r="K193" i="132"/>
  <c r="AI193" i="132"/>
  <c r="AK184" i="132"/>
  <c r="AK196" i="132"/>
  <c r="J175" i="132"/>
  <c r="I190" i="132"/>
  <c r="AM190" i="132" s="1"/>
  <c r="J324" i="132"/>
  <c r="I324" i="132"/>
  <c r="AM324" i="132" s="1"/>
  <c r="Z325" i="132"/>
  <c r="J190" i="132"/>
  <c r="AI175" i="132"/>
  <c r="K192" i="132"/>
  <c r="K191" i="132"/>
  <c r="K195" i="132"/>
  <c r="Z189" i="132"/>
  <c r="AA191" i="132"/>
  <c r="K197" i="132"/>
  <c r="L325" i="132"/>
  <c r="M325" i="132"/>
  <c r="M192" i="132"/>
  <c r="L193" i="132"/>
  <c r="L192" i="132"/>
  <c r="Z197" i="132"/>
  <c r="L195" i="132"/>
  <c r="M196" i="132"/>
  <c r="M193" i="132"/>
  <c r="L191" i="132"/>
  <c r="AA325" i="132"/>
  <c r="AA324" i="132" s="1"/>
  <c r="K325" i="132"/>
  <c r="L326" i="132"/>
  <c r="M326" i="132"/>
  <c r="Z183" i="132"/>
  <c r="Z181" i="132"/>
  <c r="Z180" i="132"/>
  <c r="Z182" i="132"/>
  <c r="AA196" i="132"/>
  <c r="L197" i="132"/>
  <c r="Z195" i="132"/>
  <c r="K196" i="132"/>
  <c r="M197" i="132"/>
  <c r="AA192" i="132"/>
  <c r="Z192" i="132"/>
  <c r="Z190" i="132" s="1"/>
  <c r="AA193" i="132"/>
  <c r="Z326" i="132"/>
  <c r="AL195" i="132" l="1"/>
  <c r="AG56" i="132"/>
  <c r="AH55" i="132"/>
  <c r="AK54" i="132"/>
  <c r="AL55" i="132"/>
  <c r="AL56" i="132"/>
  <c r="AG195" i="132"/>
  <c r="AL183" i="132"/>
  <c r="AG325" i="132"/>
  <c r="AH325" i="132"/>
  <c r="AL187" i="132"/>
  <c r="AH192" i="132"/>
  <c r="AL179" i="132"/>
  <c r="AI324" i="132"/>
  <c r="AL188" i="132"/>
  <c r="AL325" i="132"/>
  <c r="AI190" i="132"/>
  <c r="AL182" i="132"/>
  <c r="AH193" i="132"/>
  <c r="AL186" i="132"/>
  <c r="AL192" i="132"/>
  <c r="AG192" i="132"/>
  <c r="K324" i="132"/>
  <c r="AH326" i="132"/>
  <c r="AK175" i="132"/>
  <c r="AL175" i="132" s="1"/>
  <c r="AL193" i="132"/>
  <c r="AG193" i="132"/>
  <c r="AL189" i="132"/>
  <c r="AL181" i="132"/>
  <c r="AK324" i="132"/>
  <c r="AH196" i="132"/>
  <c r="AL196" i="132"/>
  <c r="AG196" i="132"/>
  <c r="AG169" i="132"/>
  <c r="AL191" i="132"/>
  <c r="AL169" i="132"/>
  <c r="AL185" i="132"/>
  <c r="AL184" i="132"/>
  <c r="AH57" i="132"/>
  <c r="AL57" i="132"/>
  <c r="AG57" i="132"/>
  <c r="AH81" i="132"/>
  <c r="AG81" i="132"/>
  <c r="AL81" i="132"/>
  <c r="AK190" i="132"/>
  <c r="AL178" i="132"/>
  <c r="AK580" i="132"/>
  <c r="AH197" i="132"/>
  <c r="AL197" i="132"/>
  <c r="AG197" i="132"/>
  <c r="AL326" i="132"/>
  <c r="AG326" i="132"/>
  <c r="AL177" i="132"/>
  <c r="K190" i="132"/>
  <c r="M324" i="132"/>
  <c r="L324" i="132"/>
  <c r="Z324" i="132"/>
  <c r="Z175" i="132"/>
  <c r="M190" i="132"/>
  <c r="L190" i="132"/>
  <c r="AA190" i="132"/>
  <c r="AL54" i="132" l="1"/>
  <c r="AL190" i="132"/>
  <c r="AL324" i="132"/>
  <c r="AH190" i="132"/>
  <c r="AH324" i="132"/>
  <c r="AH580" i="132"/>
  <c r="AG580" i="132"/>
  <c r="AL580" i="132"/>
  <c r="AG190" i="132"/>
  <c r="AG324" i="132"/>
  <c r="I666" i="132" l="1"/>
  <c r="AM666" i="132" s="1"/>
  <c r="J666" i="132"/>
  <c r="I665" i="132"/>
  <c r="AM665" i="132" s="1"/>
  <c r="J665" i="132"/>
  <c r="I664" i="132"/>
  <c r="AM664" i="132" s="1"/>
  <c r="J664" i="132"/>
  <c r="I663" i="132"/>
  <c r="AM663" i="132" s="1"/>
  <c r="J663" i="132"/>
  <c r="I662" i="132"/>
  <c r="AM662" i="132" s="1"/>
  <c r="J662" i="132"/>
  <c r="I661" i="132"/>
  <c r="AM661" i="132" s="1"/>
  <c r="J661" i="132"/>
  <c r="I660" i="132"/>
  <c r="AM660" i="132" s="1"/>
  <c r="J660" i="132"/>
  <c r="I659" i="132"/>
  <c r="AM659" i="132" s="1"/>
  <c r="J659" i="132"/>
  <c r="I658" i="132"/>
  <c r="AM658" i="132" s="1"/>
  <c r="J658" i="132"/>
  <c r="I657" i="132"/>
  <c r="AM657" i="132" s="1"/>
  <c r="J657" i="132"/>
  <c r="I656" i="132"/>
  <c r="AM656" i="132" s="1"/>
  <c r="J656" i="132"/>
  <c r="I655" i="132"/>
  <c r="AM655" i="132" s="1"/>
  <c r="J655" i="132"/>
  <c r="I654" i="132"/>
  <c r="AM654" i="132" s="1"/>
  <c r="J654" i="132"/>
  <c r="I653" i="132"/>
  <c r="AM653" i="132" s="1"/>
  <c r="I652" i="132"/>
  <c r="AM652" i="132" s="1"/>
  <c r="J652" i="132"/>
  <c r="I651" i="132"/>
  <c r="J651" i="132"/>
  <c r="I636" i="132"/>
  <c r="AM636" i="132" s="1"/>
  <c r="J636" i="132"/>
  <c r="I635" i="132"/>
  <c r="AM635" i="132" s="1"/>
  <c r="J635" i="132"/>
  <c r="I634" i="132"/>
  <c r="AM634" i="132" s="1"/>
  <c r="J634" i="132"/>
  <c r="I633" i="132"/>
  <c r="AM633" i="132" s="1"/>
  <c r="J633" i="132"/>
  <c r="I632" i="132"/>
  <c r="J632" i="132"/>
  <c r="I631" i="132"/>
  <c r="AM631" i="132" s="1"/>
  <c r="J631" i="132"/>
  <c r="I630" i="132"/>
  <c r="AM630" i="132" s="1"/>
  <c r="J630" i="132"/>
  <c r="I629" i="132"/>
  <c r="AM629" i="132" s="1"/>
  <c r="J629" i="132"/>
  <c r="I628" i="132"/>
  <c r="AM628" i="132" s="1"/>
  <c r="J628" i="132"/>
  <c r="AM627" i="132"/>
  <c r="J627" i="132"/>
  <c r="I626" i="132"/>
  <c r="AM626" i="132" s="1"/>
  <c r="J626" i="132"/>
  <c r="I625" i="132"/>
  <c r="AM625" i="132" s="1"/>
  <c r="J625" i="132"/>
  <c r="I624" i="132"/>
  <c r="AM624" i="132" s="1"/>
  <c r="J624" i="132"/>
  <c r="I623" i="132"/>
  <c r="AM623" i="132" s="1"/>
  <c r="J623" i="132"/>
  <c r="I622" i="132"/>
  <c r="AM622" i="132" s="1"/>
  <c r="J622" i="132"/>
  <c r="I621" i="132"/>
  <c r="AM621" i="132" s="1"/>
  <c r="J621" i="132"/>
  <c r="I620" i="132"/>
  <c r="AM620" i="132" s="1"/>
  <c r="J620" i="132"/>
  <c r="I619" i="132"/>
  <c r="J619" i="132"/>
  <c r="I553" i="132"/>
  <c r="AM553" i="132" s="1"/>
  <c r="J553" i="132"/>
  <c r="I552" i="132"/>
  <c r="AM552" i="132" s="1"/>
  <c r="J552" i="132"/>
  <c r="I551" i="132"/>
  <c r="AM551" i="132" s="1"/>
  <c r="J551" i="132"/>
  <c r="I550" i="132"/>
  <c r="AM550" i="132" s="1"/>
  <c r="J550" i="132"/>
  <c r="I549" i="132"/>
  <c r="AM549" i="132" s="1"/>
  <c r="J549" i="132"/>
  <c r="I547" i="132"/>
  <c r="AM547" i="132" s="1"/>
  <c r="J547" i="132"/>
  <c r="I546" i="132"/>
  <c r="AM546" i="132" s="1"/>
  <c r="J546" i="132"/>
  <c r="I545" i="132"/>
  <c r="AM545" i="132" s="1"/>
  <c r="J545" i="132"/>
  <c r="I544" i="132"/>
  <c r="AM544" i="132" s="1"/>
  <c r="J544" i="132"/>
  <c r="I543" i="132"/>
  <c r="AM543" i="132" s="1"/>
  <c r="J543" i="132"/>
  <c r="I542" i="132"/>
  <c r="AM542" i="132" s="1"/>
  <c r="J542" i="132"/>
  <c r="I541" i="132"/>
  <c r="AM541" i="132" s="1"/>
  <c r="J541" i="132"/>
  <c r="I538" i="132"/>
  <c r="AM538" i="132" s="1"/>
  <c r="J538" i="132"/>
  <c r="I537" i="132"/>
  <c r="AM537" i="132" s="1"/>
  <c r="J537" i="132"/>
  <c r="I536" i="132"/>
  <c r="AM536" i="132" s="1"/>
  <c r="J536" i="132"/>
  <c r="I535" i="132"/>
  <c r="AM535" i="132" s="1"/>
  <c r="J535" i="132"/>
  <c r="I534" i="132"/>
  <c r="AM534" i="132" s="1"/>
  <c r="J534" i="132"/>
  <c r="I533" i="132"/>
  <c r="AM533" i="132" s="1"/>
  <c r="J533" i="132"/>
  <c r="I532" i="132"/>
  <c r="AM532" i="132" s="1"/>
  <c r="J532" i="132"/>
  <c r="I529" i="132"/>
  <c r="AM529" i="132" s="1"/>
  <c r="J529" i="132"/>
  <c r="I528" i="132"/>
  <c r="AM528" i="132" s="1"/>
  <c r="J528" i="132"/>
  <c r="I527" i="132"/>
  <c r="AM527" i="132" s="1"/>
  <c r="J527" i="132"/>
  <c r="I526" i="132"/>
  <c r="AM526" i="132" s="1"/>
  <c r="J526" i="132"/>
  <c r="I525" i="132"/>
  <c r="AM525" i="132" s="1"/>
  <c r="J525" i="132"/>
  <c r="I524" i="132"/>
  <c r="AM524" i="132" s="1"/>
  <c r="J524" i="132"/>
  <c r="I523" i="132"/>
  <c r="AM523" i="132" s="1"/>
  <c r="J523" i="132"/>
  <c r="AA565" i="132"/>
  <c r="I565" i="132"/>
  <c r="AM565" i="132" s="1"/>
  <c r="J565" i="132"/>
  <c r="AA564" i="132"/>
  <c r="I564" i="132"/>
  <c r="AM564" i="132" s="1"/>
  <c r="J564" i="132"/>
  <c r="I563" i="132"/>
  <c r="AM563" i="132" s="1"/>
  <c r="J563" i="132"/>
  <c r="J506" i="132"/>
  <c r="I506" i="132"/>
  <c r="AM506" i="132" s="1"/>
  <c r="J505" i="132"/>
  <c r="I505" i="132"/>
  <c r="AM505" i="132" s="1"/>
  <c r="J504" i="132"/>
  <c r="I504" i="132"/>
  <c r="AM504" i="132" s="1"/>
  <c r="J503" i="132"/>
  <c r="I503" i="132"/>
  <c r="AM503" i="132" s="1"/>
  <c r="J502" i="132"/>
  <c r="I502" i="132"/>
  <c r="AM502" i="132" s="1"/>
  <c r="J501" i="132"/>
  <c r="I501" i="132"/>
  <c r="AM501" i="132" s="1"/>
  <c r="J500" i="132"/>
  <c r="I500" i="132"/>
  <c r="AM500" i="132" s="1"/>
  <c r="J498" i="132"/>
  <c r="I498" i="132"/>
  <c r="AM498" i="132" s="1"/>
  <c r="J497" i="132"/>
  <c r="I497" i="132"/>
  <c r="AM497" i="132" s="1"/>
  <c r="J496" i="132"/>
  <c r="I496" i="132"/>
  <c r="AM496" i="132" s="1"/>
  <c r="J495" i="132"/>
  <c r="I495" i="132"/>
  <c r="AM495" i="132" s="1"/>
  <c r="J494" i="132"/>
  <c r="I494" i="132"/>
  <c r="AM494" i="132" s="1"/>
  <c r="J493" i="132"/>
  <c r="I493" i="132"/>
  <c r="AM493" i="132" s="1"/>
  <c r="J404" i="132"/>
  <c r="I404" i="132"/>
  <c r="AM404" i="132" s="1"/>
  <c r="J403" i="132"/>
  <c r="I403" i="132"/>
  <c r="AM403" i="132" s="1"/>
  <c r="J402" i="132"/>
  <c r="I402" i="132"/>
  <c r="AM402" i="132" s="1"/>
  <c r="AA401" i="132"/>
  <c r="J401" i="132"/>
  <c r="I401" i="132"/>
  <c r="AM401" i="132" s="1"/>
  <c r="J400" i="132"/>
  <c r="I400" i="132"/>
  <c r="AM400" i="132" s="1"/>
  <c r="J399" i="132"/>
  <c r="I399" i="132"/>
  <c r="AM399" i="132" s="1"/>
  <c r="J398" i="132"/>
  <c r="I398" i="132"/>
  <c r="AM398" i="132" s="1"/>
  <c r="J397" i="132"/>
  <c r="I397" i="132"/>
  <c r="AM397" i="132" s="1"/>
  <c r="J396" i="132"/>
  <c r="I396" i="132"/>
  <c r="AM396" i="132" s="1"/>
  <c r="J395" i="132"/>
  <c r="I395" i="132"/>
  <c r="AM395" i="132" s="1"/>
  <c r="J394" i="132"/>
  <c r="I394" i="132"/>
  <c r="AM394" i="132" s="1"/>
  <c r="J393" i="132"/>
  <c r="I393" i="132"/>
  <c r="AM393" i="132" s="1"/>
  <c r="J289" i="132"/>
  <c r="I289" i="132"/>
  <c r="AM289" i="132" s="1"/>
  <c r="AA287" i="132"/>
  <c r="J287" i="132"/>
  <c r="I287" i="132"/>
  <c r="AM287" i="132" s="1"/>
  <c r="J286" i="132"/>
  <c r="I286" i="132"/>
  <c r="AM286" i="132" s="1"/>
  <c r="Z278" i="132"/>
  <c r="J278" i="132"/>
  <c r="I278" i="132"/>
  <c r="AM278" i="132" s="1"/>
  <c r="J277" i="132"/>
  <c r="I277" i="132"/>
  <c r="AM277" i="132" s="1"/>
  <c r="J276" i="132"/>
  <c r="I276" i="132"/>
  <c r="AM276" i="132" s="1"/>
  <c r="J275" i="132"/>
  <c r="I275" i="132"/>
  <c r="AM275" i="132" s="1"/>
  <c r="J274" i="132"/>
  <c r="I274" i="132"/>
  <c r="AM274" i="132" s="1"/>
  <c r="J273" i="132"/>
  <c r="I273" i="132"/>
  <c r="AM273" i="132" s="1"/>
  <c r="J272" i="132"/>
  <c r="J271" i="132"/>
  <c r="I271" i="132"/>
  <c r="AM271" i="132" s="1"/>
  <c r="J270" i="132"/>
  <c r="I270" i="132"/>
  <c r="AM270" i="132" s="1"/>
  <c r="J253" i="132"/>
  <c r="J252" i="132"/>
  <c r="I252" i="132"/>
  <c r="AM252" i="132" s="1"/>
  <c r="J251" i="132"/>
  <c r="I251" i="132"/>
  <c r="AM251" i="132" s="1"/>
  <c r="J250" i="132"/>
  <c r="I250" i="132"/>
  <c r="AM250" i="132" s="1"/>
  <c r="J254" i="132"/>
  <c r="I254" i="132"/>
  <c r="AM254" i="132" s="1"/>
  <c r="J295" i="132"/>
  <c r="K295" i="132"/>
  <c r="J294" i="132"/>
  <c r="I294" i="132"/>
  <c r="AM294" i="132" s="1"/>
  <c r="J293" i="132"/>
  <c r="I293" i="132"/>
  <c r="AM293" i="132" s="1"/>
  <c r="J292" i="132"/>
  <c r="I292" i="132"/>
  <c r="AM292" i="132" s="1"/>
  <c r="J291" i="132"/>
  <c r="I291" i="132"/>
  <c r="AM291" i="132" s="1"/>
  <c r="J268" i="132"/>
  <c r="I268" i="132"/>
  <c r="AM268" i="132" s="1"/>
  <c r="J267" i="132"/>
  <c r="I267" i="132"/>
  <c r="AM267" i="132" s="1"/>
  <c r="J266" i="132"/>
  <c r="I266" i="132"/>
  <c r="AM266" i="132" s="1"/>
  <c r="J265" i="132"/>
  <c r="I265" i="132"/>
  <c r="AM265" i="132" s="1"/>
  <c r="J264" i="132"/>
  <c r="I264" i="132"/>
  <c r="AM264" i="132" s="1"/>
  <c r="J262" i="132"/>
  <c r="I262" i="132"/>
  <c r="AM262" i="132" s="1"/>
  <c r="J261" i="132"/>
  <c r="I261" i="132"/>
  <c r="AM261" i="132" s="1"/>
  <c r="J260" i="132"/>
  <c r="I260" i="132"/>
  <c r="AM260" i="132" s="1"/>
  <c r="J259" i="132"/>
  <c r="I259" i="132"/>
  <c r="AM259" i="132" s="1"/>
  <c r="J258" i="132"/>
  <c r="I258" i="132"/>
  <c r="AM258" i="132" s="1"/>
  <c r="J257" i="132"/>
  <c r="I257" i="132"/>
  <c r="AM257" i="132" s="1"/>
  <c r="J256" i="132"/>
  <c r="I256" i="132"/>
  <c r="AM256" i="132" s="1"/>
  <c r="J391" i="132"/>
  <c r="I391" i="132"/>
  <c r="AM391" i="132" s="1"/>
  <c r="J390" i="132"/>
  <c r="I390" i="132"/>
  <c r="AM390" i="132" s="1"/>
  <c r="J389" i="132"/>
  <c r="I389" i="132"/>
  <c r="AM389" i="132" s="1"/>
  <c r="J388" i="132"/>
  <c r="I388" i="132"/>
  <c r="AM388" i="132" s="1"/>
  <c r="J387" i="132"/>
  <c r="I387" i="132"/>
  <c r="AM387" i="132" s="1"/>
  <c r="J386" i="132"/>
  <c r="I386" i="132"/>
  <c r="AM386" i="132" s="1"/>
  <c r="J385" i="132"/>
  <c r="I385" i="132"/>
  <c r="AM385" i="132" s="1"/>
  <c r="AA383" i="132"/>
  <c r="J383" i="132"/>
  <c r="I383" i="132"/>
  <c r="AM383" i="132" s="1"/>
  <c r="AA382" i="132"/>
  <c r="J382" i="132"/>
  <c r="I382" i="132"/>
  <c r="AM382" i="132" s="1"/>
  <c r="AA381" i="132"/>
  <c r="J381" i="132"/>
  <c r="I381" i="132"/>
  <c r="AM381" i="132" s="1"/>
  <c r="AA380" i="132"/>
  <c r="J380" i="132"/>
  <c r="I380" i="132"/>
  <c r="AM380" i="132" s="1"/>
  <c r="AA379" i="132"/>
  <c r="J379" i="132"/>
  <c r="I379" i="132"/>
  <c r="AM379" i="132" s="1"/>
  <c r="J377" i="132"/>
  <c r="I377" i="132"/>
  <c r="AM377" i="132" s="1"/>
  <c r="J376" i="132"/>
  <c r="I376" i="132"/>
  <c r="AM376" i="132" s="1"/>
  <c r="J375" i="132"/>
  <c r="I375" i="132"/>
  <c r="AM375" i="132" s="1"/>
  <c r="AI374" i="132"/>
  <c r="K374" i="132"/>
  <c r="J374" i="132"/>
  <c r="J371" i="132"/>
  <c r="I371" i="132"/>
  <c r="AM371" i="132" s="1"/>
  <c r="J370" i="132"/>
  <c r="J369" i="132"/>
  <c r="I369" i="132"/>
  <c r="AM369" i="132" s="1"/>
  <c r="I368" i="132"/>
  <c r="AM368" i="132" s="1"/>
  <c r="I367" i="132"/>
  <c r="AM367" i="132" s="1"/>
  <c r="AA365" i="132"/>
  <c r="J365" i="132"/>
  <c r="I365" i="132"/>
  <c r="AM365" i="132" s="1"/>
  <c r="AA364" i="132"/>
  <c r="J364" i="132"/>
  <c r="I364" i="132"/>
  <c r="AM364" i="132" s="1"/>
  <c r="J362" i="132"/>
  <c r="I362" i="132"/>
  <c r="AM362" i="132" s="1"/>
  <c r="J361" i="132"/>
  <c r="I361" i="132"/>
  <c r="AM361" i="132" s="1"/>
  <c r="M360" i="132"/>
  <c r="L360" i="132"/>
  <c r="J359" i="132"/>
  <c r="I359" i="132"/>
  <c r="AM359" i="132" s="1"/>
  <c r="M358" i="132"/>
  <c r="L358" i="132"/>
  <c r="J357" i="132"/>
  <c r="I357" i="132"/>
  <c r="AM357" i="132" s="1"/>
  <c r="AA356" i="132"/>
  <c r="J356" i="132"/>
  <c r="I356" i="132"/>
  <c r="AM356" i="132" s="1"/>
  <c r="J355" i="132"/>
  <c r="I355" i="132"/>
  <c r="AM355" i="132" s="1"/>
  <c r="AA354" i="132"/>
  <c r="J354" i="132"/>
  <c r="I354" i="132"/>
  <c r="AM354" i="132" s="1"/>
  <c r="J353" i="132"/>
  <c r="I353" i="132"/>
  <c r="AM353" i="132" s="1"/>
  <c r="AA352" i="132"/>
  <c r="J352" i="132"/>
  <c r="I352" i="132"/>
  <c r="AM352" i="132" s="1"/>
  <c r="J351" i="132"/>
  <c r="I351" i="132"/>
  <c r="AM351" i="132" s="1"/>
  <c r="AA350" i="132"/>
  <c r="J350" i="132"/>
  <c r="I350" i="132"/>
  <c r="AM350" i="132" s="1"/>
  <c r="J349" i="132"/>
  <c r="I349" i="132"/>
  <c r="AM349" i="132" s="1"/>
  <c r="J308" i="132"/>
  <c r="I308" i="132"/>
  <c r="AM308" i="132" s="1"/>
  <c r="J307" i="132"/>
  <c r="I307" i="132"/>
  <c r="AM307" i="132" s="1"/>
  <c r="J306" i="132"/>
  <c r="I306" i="132"/>
  <c r="AM306" i="132" s="1"/>
  <c r="J305" i="132"/>
  <c r="I305" i="132"/>
  <c r="AM305" i="132" s="1"/>
  <c r="J304" i="132"/>
  <c r="I304" i="132"/>
  <c r="AM304" i="132" s="1"/>
  <c r="J283" i="132"/>
  <c r="I283" i="132"/>
  <c r="AM283" i="132" s="1"/>
  <c r="J284" i="132"/>
  <c r="I284" i="132"/>
  <c r="AM284" i="132" s="1"/>
  <c r="J282" i="132"/>
  <c r="I282" i="132"/>
  <c r="AM282" i="132" s="1"/>
  <c r="J281" i="132"/>
  <c r="I281" i="132"/>
  <c r="AM281" i="132" s="1"/>
  <c r="AM280" i="132"/>
  <c r="J302" i="132"/>
  <c r="I302" i="132"/>
  <c r="AM302" i="132" s="1"/>
  <c r="J301" i="132"/>
  <c r="I301" i="132"/>
  <c r="AM301" i="132" s="1"/>
  <c r="J300" i="132"/>
  <c r="I300" i="132"/>
  <c r="AM300" i="132" s="1"/>
  <c r="J299" i="132"/>
  <c r="I299" i="132"/>
  <c r="AM299" i="132" s="1"/>
  <c r="J298" i="132"/>
  <c r="I298" i="132"/>
  <c r="AM298" i="132" s="1"/>
  <c r="J297" i="132"/>
  <c r="I297" i="132"/>
  <c r="AM297" i="132" s="1"/>
  <c r="I247" i="132"/>
  <c r="AM247" i="132" s="1"/>
  <c r="I246" i="132"/>
  <c r="AM246" i="132" s="1"/>
  <c r="I245" i="132"/>
  <c r="AM245" i="132" s="1"/>
  <c r="I244" i="132"/>
  <c r="AM244" i="132" s="1"/>
  <c r="I243" i="132"/>
  <c r="AM243" i="132" s="1"/>
  <c r="J243" i="132"/>
  <c r="I242" i="132"/>
  <c r="AM242" i="132" s="1"/>
  <c r="J242" i="132"/>
  <c r="I241" i="132"/>
  <c r="AM241" i="132" s="1"/>
  <c r="J241" i="132"/>
  <c r="I240" i="132"/>
  <c r="AM240" i="132" s="1"/>
  <c r="J240" i="132"/>
  <c r="I238" i="132"/>
  <c r="AM238" i="132" s="1"/>
  <c r="J238" i="132"/>
  <c r="AA237" i="132"/>
  <c r="Z237" i="132"/>
  <c r="M237" i="132"/>
  <c r="L237" i="132"/>
  <c r="K237" i="132"/>
  <c r="I235" i="132"/>
  <c r="AM235" i="132" s="1"/>
  <c r="J235" i="132"/>
  <c r="I234" i="132"/>
  <c r="AM234" i="132" s="1"/>
  <c r="J234" i="132"/>
  <c r="I233" i="132"/>
  <c r="AM233" i="132" s="1"/>
  <c r="J233" i="132"/>
  <c r="I232" i="132"/>
  <c r="AM232" i="132" s="1"/>
  <c r="J232" i="132"/>
  <c r="I230" i="132"/>
  <c r="AM230" i="132" s="1"/>
  <c r="J230" i="132"/>
  <c r="M228" i="132"/>
  <c r="J228" i="132"/>
  <c r="AA227" i="132"/>
  <c r="J227" i="132"/>
  <c r="AA226" i="132"/>
  <c r="M226" i="132"/>
  <c r="J226" i="132"/>
  <c r="AA225" i="132"/>
  <c r="I225" i="132"/>
  <c r="AM225" i="132" s="1"/>
  <c r="J225" i="132"/>
  <c r="AA224" i="132"/>
  <c r="I224" i="132"/>
  <c r="AM224" i="132" s="1"/>
  <c r="J224" i="132"/>
  <c r="AA223" i="132"/>
  <c r="I223" i="132"/>
  <c r="AM223" i="132" s="1"/>
  <c r="J223" i="132"/>
  <c r="AA222" i="132"/>
  <c r="I222" i="132"/>
  <c r="AM222" i="132" s="1"/>
  <c r="J222" i="132"/>
  <c r="Z221" i="132"/>
  <c r="I221" i="132"/>
  <c r="AM221" i="132" s="1"/>
  <c r="J221" i="132"/>
  <c r="Z220" i="132"/>
  <c r="I220" i="132"/>
  <c r="AM220" i="132" s="1"/>
  <c r="J220" i="132"/>
  <c r="Z219" i="132"/>
  <c r="I219" i="132"/>
  <c r="AM219" i="132" s="1"/>
  <c r="J219" i="132"/>
  <c r="Z218" i="132"/>
  <c r="I218" i="132"/>
  <c r="AM218" i="132" s="1"/>
  <c r="J218" i="132"/>
  <c r="Z217" i="132"/>
  <c r="I217" i="132"/>
  <c r="AM217" i="132" s="1"/>
  <c r="J217" i="132"/>
  <c r="I216" i="132"/>
  <c r="AM216" i="132" s="1"/>
  <c r="J216" i="132"/>
  <c r="AA214" i="132"/>
  <c r="I214" i="132"/>
  <c r="AM214" i="132" s="1"/>
  <c r="J214" i="132"/>
  <c r="AA213" i="132"/>
  <c r="I213" i="132"/>
  <c r="AM213" i="132" s="1"/>
  <c r="J213" i="132"/>
  <c r="AA212" i="132"/>
  <c r="I212" i="132"/>
  <c r="AM212" i="132" s="1"/>
  <c r="J212" i="132"/>
  <c r="AA211" i="132"/>
  <c r="I211" i="132"/>
  <c r="AM211" i="132" s="1"/>
  <c r="J211" i="132"/>
  <c r="I210" i="132"/>
  <c r="AM210" i="132" s="1"/>
  <c r="AA79" i="132"/>
  <c r="J79" i="132"/>
  <c r="I79" i="132"/>
  <c r="AM79" i="132" s="1"/>
  <c r="AA78" i="132"/>
  <c r="J78" i="132"/>
  <c r="I78" i="132"/>
  <c r="AM78" i="132" s="1"/>
  <c r="AA77" i="132"/>
  <c r="J77" i="132"/>
  <c r="I77" i="132"/>
  <c r="AM77" i="132" s="1"/>
  <c r="J76" i="132"/>
  <c r="I76" i="132"/>
  <c r="AM76" i="132" s="1"/>
  <c r="J75" i="132"/>
  <c r="I75" i="132"/>
  <c r="AM75" i="132" s="1"/>
  <c r="J74" i="132"/>
  <c r="I74" i="132"/>
  <c r="AM74" i="132" s="1"/>
  <c r="J73" i="132"/>
  <c r="I73" i="132"/>
  <c r="AM73" i="132" s="1"/>
  <c r="J71" i="132"/>
  <c r="I71" i="132"/>
  <c r="AM71" i="132" s="1"/>
  <c r="J70" i="132"/>
  <c r="I70" i="132"/>
  <c r="AM70" i="132" s="1"/>
  <c r="J69" i="132"/>
  <c r="I69" i="132"/>
  <c r="AM69" i="132" s="1"/>
  <c r="AA67" i="132"/>
  <c r="J67" i="132"/>
  <c r="I67" i="132"/>
  <c r="AM67" i="132" s="1"/>
  <c r="AA66" i="132"/>
  <c r="J66" i="132"/>
  <c r="I66" i="132"/>
  <c r="AM66" i="132" s="1"/>
  <c r="J65" i="132"/>
  <c r="AA64" i="132"/>
  <c r="J64" i="132"/>
  <c r="I64" i="132"/>
  <c r="AM64" i="132" s="1"/>
  <c r="AA63" i="132"/>
  <c r="J63" i="132"/>
  <c r="I63" i="132"/>
  <c r="AM63" i="132" s="1"/>
  <c r="J62" i="132"/>
  <c r="I62" i="132"/>
  <c r="AM62" i="132" s="1"/>
  <c r="AA94" i="132"/>
  <c r="J94" i="132"/>
  <c r="I94" i="132"/>
  <c r="AM94" i="132" s="1"/>
  <c r="AA93" i="132"/>
  <c r="J93" i="132"/>
  <c r="I93" i="132"/>
  <c r="AM93" i="132" s="1"/>
  <c r="AA92" i="132"/>
  <c r="J92" i="132"/>
  <c r="I92" i="132"/>
  <c r="AM92" i="132" s="1"/>
  <c r="AA91" i="132"/>
  <c r="J91" i="132"/>
  <c r="I91" i="132"/>
  <c r="AM91" i="132" s="1"/>
  <c r="AA90" i="132"/>
  <c r="J90" i="132"/>
  <c r="I90" i="132"/>
  <c r="AM90" i="132" s="1"/>
  <c r="AA89" i="132"/>
  <c r="J89" i="132"/>
  <c r="I89" i="132"/>
  <c r="AM89" i="132" s="1"/>
  <c r="AA88" i="132"/>
  <c r="J88" i="132"/>
  <c r="I88" i="132"/>
  <c r="AM88" i="132" s="1"/>
  <c r="AA87" i="132"/>
  <c r="J87" i="132"/>
  <c r="I87" i="132"/>
  <c r="AM87" i="132" s="1"/>
  <c r="AA86" i="132"/>
  <c r="J86" i="132"/>
  <c r="I86" i="132"/>
  <c r="AM86" i="132" s="1"/>
  <c r="AA85" i="132"/>
  <c r="J85" i="132"/>
  <c r="I85" i="132"/>
  <c r="AM85" i="132" s="1"/>
  <c r="AA84" i="132"/>
  <c r="J84" i="132"/>
  <c r="I84" i="132"/>
  <c r="AM84" i="132" s="1"/>
  <c r="AA83" i="132"/>
  <c r="J83" i="132"/>
  <c r="I83" i="132"/>
  <c r="AA81" i="132"/>
  <c r="AA649" i="132"/>
  <c r="I649" i="132"/>
  <c r="AM649" i="132" s="1"/>
  <c r="J649" i="132"/>
  <c r="I648" i="132"/>
  <c r="AM648" i="132" s="1"/>
  <c r="J648" i="132"/>
  <c r="Z647" i="132"/>
  <c r="I647" i="132"/>
  <c r="AM647" i="132" s="1"/>
  <c r="J647" i="132"/>
  <c r="Z646" i="132"/>
  <c r="I646" i="132"/>
  <c r="AM646" i="132" s="1"/>
  <c r="J646" i="132"/>
  <c r="AA645" i="132"/>
  <c r="I645" i="132"/>
  <c r="AM645" i="132" s="1"/>
  <c r="J645" i="132"/>
  <c r="I644" i="132"/>
  <c r="AM644" i="132" s="1"/>
  <c r="J644" i="132"/>
  <c r="AA643" i="132"/>
  <c r="I643" i="132"/>
  <c r="AM643" i="132" s="1"/>
  <c r="J643" i="132"/>
  <c r="AA642" i="132"/>
  <c r="I642" i="132"/>
  <c r="AM642" i="132" s="1"/>
  <c r="J642" i="132"/>
  <c r="AA641" i="132"/>
  <c r="I641" i="132"/>
  <c r="AM641" i="132" s="1"/>
  <c r="J641" i="132"/>
  <c r="AA640" i="132"/>
  <c r="I640" i="132"/>
  <c r="AM640" i="132" s="1"/>
  <c r="J640" i="132"/>
  <c r="I639" i="132"/>
  <c r="J639" i="132"/>
  <c r="AA617" i="132"/>
  <c r="I617" i="132"/>
  <c r="AM617" i="132" s="1"/>
  <c r="J617" i="132"/>
  <c r="AA616" i="132"/>
  <c r="I616" i="132"/>
  <c r="AM616" i="132" s="1"/>
  <c r="J616" i="132"/>
  <c r="AA615" i="132"/>
  <c r="I615" i="132"/>
  <c r="AM615" i="132" s="1"/>
  <c r="J615" i="132"/>
  <c r="AA614" i="132"/>
  <c r="I614" i="132"/>
  <c r="AM614" i="132" s="1"/>
  <c r="J614" i="132"/>
  <c r="I613" i="132"/>
  <c r="J613" i="132"/>
  <c r="I610" i="132"/>
  <c r="AM610" i="132" s="1"/>
  <c r="J610" i="132"/>
  <c r="I609" i="132"/>
  <c r="AM609" i="132" s="1"/>
  <c r="J609" i="132"/>
  <c r="AA608" i="132"/>
  <c r="I608" i="132"/>
  <c r="AM608" i="132" s="1"/>
  <c r="J608" i="132"/>
  <c r="AA607" i="132"/>
  <c r="I607" i="132"/>
  <c r="AM607" i="132" s="1"/>
  <c r="J607" i="132"/>
  <c r="AA606" i="132"/>
  <c r="I606" i="132"/>
  <c r="J606" i="132"/>
  <c r="I605" i="132"/>
  <c r="AM605" i="132" s="1"/>
  <c r="J605" i="132"/>
  <c r="I603" i="132"/>
  <c r="AM603" i="132" s="1"/>
  <c r="J603" i="132"/>
  <c r="I602" i="132"/>
  <c r="AM602" i="132" s="1"/>
  <c r="J602" i="132"/>
  <c r="I601" i="132"/>
  <c r="AM601" i="132" s="1"/>
  <c r="J601" i="132"/>
  <c r="I600" i="132"/>
  <c r="AM600" i="132" s="1"/>
  <c r="J600" i="132"/>
  <c r="I599" i="132"/>
  <c r="AM599" i="132" s="1"/>
  <c r="J599" i="132"/>
  <c r="I598" i="132"/>
  <c r="AM598" i="132" s="1"/>
  <c r="J598" i="132"/>
  <c r="I597" i="132"/>
  <c r="AM597" i="132" s="1"/>
  <c r="J597" i="132"/>
  <c r="I596" i="132"/>
  <c r="AM596" i="132" s="1"/>
  <c r="J596" i="132"/>
  <c r="I595" i="132"/>
  <c r="AM595" i="132" s="1"/>
  <c r="J595" i="132"/>
  <c r="I594" i="132"/>
  <c r="AM594" i="132" s="1"/>
  <c r="J594" i="132"/>
  <c r="I593" i="132"/>
  <c r="AM593" i="132" s="1"/>
  <c r="J593" i="132"/>
  <c r="I592" i="132"/>
  <c r="AM592" i="132" s="1"/>
  <c r="J592" i="132"/>
  <c r="I591" i="132"/>
  <c r="AM591" i="132" s="1"/>
  <c r="J591" i="132"/>
  <c r="I590" i="132"/>
  <c r="AM590" i="132" s="1"/>
  <c r="J590" i="132"/>
  <c r="I589" i="132"/>
  <c r="AM589" i="132" s="1"/>
  <c r="J589" i="132"/>
  <c r="I588" i="132"/>
  <c r="AM588" i="132" s="1"/>
  <c r="J588" i="132"/>
  <c r="I587" i="132"/>
  <c r="AM587" i="132" s="1"/>
  <c r="J587" i="132"/>
  <c r="AA586" i="132"/>
  <c r="I586" i="132"/>
  <c r="J586" i="132"/>
  <c r="I585" i="132"/>
  <c r="AM585" i="132" s="1"/>
  <c r="J585" i="132"/>
  <c r="I584" i="132"/>
  <c r="AM584" i="132" s="1"/>
  <c r="J584" i="132"/>
  <c r="Z582" i="132"/>
  <c r="Z581" i="132"/>
  <c r="Z579" i="132"/>
  <c r="I426" i="132"/>
  <c r="AM426" i="132" s="1"/>
  <c r="J426" i="132"/>
  <c r="I425" i="132"/>
  <c r="AM425" i="132" s="1"/>
  <c r="J425" i="132"/>
  <c r="I424" i="132"/>
  <c r="AM424" i="132" s="1"/>
  <c r="J424" i="132"/>
  <c r="Z422" i="132"/>
  <c r="I422" i="132"/>
  <c r="AM422" i="132" s="1"/>
  <c r="J422" i="132"/>
  <c r="I421" i="132"/>
  <c r="AM421" i="132" s="1"/>
  <c r="J421" i="132"/>
  <c r="Z420" i="132"/>
  <c r="I420" i="132"/>
  <c r="AM420" i="132" s="1"/>
  <c r="J420" i="132"/>
  <c r="Z419" i="132"/>
  <c r="I419" i="132"/>
  <c r="AM419" i="132" s="1"/>
  <c r="J419" i="132"/>
  <c r="Z418" i="132"/>
  <c r="I418" i="132"/>
  <c r="AM418" i="132" s="1"/>
  <c r="J418" i="132"/>
  <c r="I417" i="132"/>
  <c r="AM417" i="132" s="1"/>
  <c r="J417" i="132"/>
  <c r="Z416" i="132"/>
  <c r="I416" i="132"/>
  <c r="AM416" i="132" s="1"/>
  <c r="J416" i="132"/>
  <c r="Z415" i="132"/>
  <c r="I415" i="132"/>
  <c r="AM415" i="132" s="1"/>
  <c r="J415" i="132"/>
  <c r="I413" i="132"/>
  <c r="AM413" i="132" s="1"/>
  <c r="J413" i="132"/>
  <c r="I409" i="132"/>
  <c r="AM409" i="132" s="1"/>
  <c r="J409" i="132"/>
  <c r="I408" i="132"/>
  <c r="AM408" i="132" s="1"/>
  <c r="J408" i="132"/>
  <c r="I407" i="132"/>
  <c r="AM407" i="132" s="1"/>
  <c r="J407" i="132"/>
  <c r="I406" i="132"/>
  <c r="AM406" i="132" s="1"/>
  <c r="J406" i="132"/>
  <c r="Z561" i="132"/>
  <c r="I561" i="132"/>
  <c r="AM561" i="132" s="1"/>
  <c r="J561" i="132"/>
  <c r="Z560" i="132"/>
  <c r="I560" i="132"/>
  <c r="AM560" i="132" s="1"/>
  <c r="J560" i="132"/>
  <c r="I559" i="132"/>
  <c r="AM559" i="132" s="1"/>
  <c r="Z558" i="132"/>
  <c r="I558" i="132"/>
  <c r="AM558" i="132" s="1"/>
  <c r="J558" i="132"/>
  <c r="Z557" i="132"/>
  <c r="I557" i="132"/>
  <c r="AM557" i="132" s="1"/>
  <c r="J557" i="132"/>
  <c r="Z556" i="132"/>
  <c r="I556" i="132"/>
  <c r="AM556" i="132" s="1"/>
  <c r="J556" i="132"/>
  <c r="I555" i="132"/>
  <c r="AM555" i="132" s="1"/>
  <c r="J555" i="132"/>
  <c r="I521" i="132"/>
  <c r="AM521" i="132" s="1"/>
  <c r="J521" i="132"/>
  <c r="Z520" i="132"/>
  <c r="I520" i="132"/>
  <c r="AM520" i="132" s="1"/>
  <c r="J520" i="132"/>
  <c r="Z519" i="132"/>
  <c r="I519" i="132"/>
  <c r="AM519" i="132" s="1"/>
  <c r="J519" i="132"/>
  <c r="I518" i="132"/>
  <c r="AM518" i="132" s="1"/>
  <c r="J518" i="132"/>
  <c r="I517" i="132"/>
  <c r="AM517" i="132" s="1"/>
  <c r="J517" i="132"/>
  <c r="I516" i="132"/>
  <c r="AM516" i="132" s="1"/>
  <c r="J516" i="132"/>
  <c r="I514" i="132"/>
  <c r="AM514" i="132" s="1"/>
  <c r="J514" i="132"/>
  <c r="Z513" i="132"/>
  <c r="I513" i="132"/>
  <c r="AM513" i="132" s="1"/>
  <c r="J513" i="132"/>
  <c r="Z512" i="132"/>
  <c r="I512" i="132"/>
  <c r="AM512" i="132" s="1"/>
  <c r="J512" i="132"/>
  <c r="I511" i="132"/>
  <c r="AM511" i="132" s="1"/>
  <c r="J511" i="132"/>
  <c r="I510" i="132"/>
  <c r="AM510" i="132" s="1"/>
  <c r="J510" i="132"/>
  <c r="Z509" i="132"/>
  <c r="I509" i="132"/>
  <c r="AM509" i="132" s="1"/>
  <c r="J509" i="132"/>
  <c r="I508" i="132"/>
  <c r="AM508" i="132" s="1"/>
  <c r="J508" i="132"/>
  <c r="J347" i="132"/>
  <c r="I347" i="132"/>
  <c r="AM347" i="132" s="1"/>
  <c r="J346" i="132"/>
  <c r="I346" i="132"/>
  <c r="AM346" i="132" s="1"/>
  <c r="J345" i="132"/>
  <c r="I345" i="132"/>
  <c r="AM345" i="132" s="1"/>
  <c r="J344" i="132"/>
  <c r="I344" i="132"/>
  <c r="J343" i="132"/>
  <c r="I343" i="132"/>
  <c r="AM343" i="132" s="1"/>
  <c r="J342" i="132"/>
  <c r="I342" i="132"/>
  <c r="AM342" i="132" s="1"/>
  <c r="J341" i="132"/>
  <c r="I341" i="132"/>
  <c r="AM341" i="132" s="1"/>
  <c r="J340" i="132"/>
  <c r="I340" i="132"/>
  <c r="AM340" i="132" s="1"/>
  <c r="J339" i="132"/>
  <c r="I339" i="132"/>
  <c r="AM339" i="132" s="1"/>
  <c r="J338" i="132"/>
  <c r="J337" i="132"/>
  <c r="AK337" i="132" s="1"/>
  <c r="I337" i="132"/>
  <c r="J334" i="132"/>
  <c r="I334" i="132"/>
  <c r="AM334" i="132" s="1"/>
  <c r="AA333" i="132"/>
  <c r="AA331" i="132" s="1"/>
  <c r="J333" i="132"/>
  <c r="I333" i="132"/>
  <c r="AM333" i="132" s="1"/>
  <c r="J332" i="132"/>
  <c r="I332" i="132"/>
  <c r="AM332" i="132" s="1"/>
  <c r="AA330" i="132"/>
  <c r="J330" i="132"/>
  <c r="I330" i="132"/>
  <c r="AM330" i="132" s="1"/>
  <c r="AA329" i="132"/>
  <c r="J329" i="132"/>
  <c r="I329" i="132"/>
  <c r="AM329" i="132" s="1"/>
  <c r="J328" i="132"/>
  <c r="I328" i="132"/>
  <c r="AM328" i="132" s="1"/>
  <c r="J323" i="132"/>
  <c r="I323" i="132"/>
  <c r="AM323" i="132" s="1"/>
  <c r="AA322" i="132"/>
  <c r="J322" i="132"/>
  <c r="AA321" i="132"/>
  <c r="J321" i="132"/>
  <c r="AA320" i="132"/>
  <c r="J320" i="132"/>
  <c r="AA319" i="132"/>
  <c r="J319" i="132"/>
  <c r="J317" i="132"/>
  <c r="I317" i="132"/>
  <c r="AM317" i="132" s="1"/>
  <c r="J316" i="132"/>
  <c r="I316" i="132"/>
  <c r="AM316" i="132" s="1"/>
  <c r="J315" i="132"/>
  <c r="I315" i="132"/>
  <c r="J314" i="132"/>
  <c r="I314" i="132"/>
  <c r="AM314" i="132" s="1"/>
  <c r="J313" i="132"/>
  <c r="I313" i="132"/>
  <c r="AM313" i="132" s="1"/>
  <c r="J312" i="132"/>
  <c r="I312" i="132"/>
  <c r="J311" i="132"/>
  <c r="J310" i="132"/>
  <c r="I310" i="132"/>
  <c r="AM310" i="132" s="1"/>
  <c r="Z208" i="132"/>
  <c r="J208" i="132"/>
  <c r="I208" i="132"/>
  <c r="AM208" i="132" s="1"/>
  <c r="J207" i="132"/>
  <c r="K207" i="132"/>
  <c r="J206" i="132"/>
  <c r="I206" i="132"/>
  <c r="AM206" i="132" s="1"/>
  <c r="AA204" i="132"/>
  <c r="J204" i="132"/>
  <c r="I204" i="132"/>
  <c r="AM204" i="132" s="1"/>
  <c r="AA203" i="132"/>
  <c r="J203" i="132"/>
  <c r="I203" i="132"/>
  <c r="AM203" i="132" s="1"/>
  <c r="AA202" i="132"/>
  <c r="J202" i="132"/>
  <c r="I202" i="132"/>
  <c r="AM202" i="132" s="1"/>
  <c r="AA201" i="132"/>
  <c r="J201" i="132"/>
  <c r="I201" i="132"/>
  <c r="AM201" i="132" s="1"/>
  <c r="AA200" i="132"/>
  <c r="J200" i="132"/>
  <c r="I200" i="132"/>
  <c r="AM200" i="132" s="1"/>
  <c r="I199" i="132"/>
  <c r="AM199" i="132" s="1"/>
  <c r="AA174" i="132"/>
  <c r="J174" i="132"/>
  <c r="I174" i="132"/>
  <c r="AM174" i="132" s="1"/>
  <c r="J173" i="132"/>
  <c r="I173" i="132"/>
  <c r="AM173" i="132" s="1"/>
  <c r="AA172" i="132"/>
  <c r="J172" i="132"/>
  <c r="J165" i="132"/>
  <c r="I165" i="132"/>
  <c r="AM165" i="132" s="1"/>
  <c r="J164" i="132"/>
  <c r="I164" i="132"/>
  <c r="AM164" i="132" s="1"/>
  <c r="J163" i="132"/>
  <c r="I163" i="132"/>
  <c r="AM163" i="132" s="1"/>
  <c r="J162" i="132"/>
  <c r="I162" i="132"/>
  <c r="AM162" i="132" s="1"/>
  <c r="J161" i="132"/>
  <c r="I161" i="132"/>
  <c r="AM161" i="132" s="1"/>
  <c r="J160" i="132"/>
  <c r="I160" i="132"/>
  <c r="AM160" i="132" s="1"/>
  <c r="J159" i="132"/>
  <c r="I159" i="132"/>
  <c r="AM159" i="132" s="1"/>
  <c r="J158" i="132"/>
  <c r="I158" i="132"/>
  <c r="AM158" i="132" s="1"/>
  <c r="J157" i="132"/>
  <c r="I157" i="132"/>
  <c r="AM157" i="132" s="1"/>
  <c r="AA154" i="132"/>
  <c r="J154" i="132"/>
  <c r="I154" i="132"/>
  <c r="AM154" i="132" s="1"/>
  <c r="AA153" i="132"/>
  <c r="J153" i="132"/>
  <c r="I153" i="132"/>
  <c r="AM153" i="132" s="1"/>
  <c r="J152" i="132"/>
  <c r="I152" i="132"/>
  <c r="AM152" i="132" s="1"/>
  <c r="AA151" i="132"/>
  <c r="J151" i="132"/>
  <c r="I151" i="132"/>
  <c r="AM151" i="132" s="1"/>
  <c r="AA149" i="132"/>
  <c r="J149" i="132"/>
  <c r="I149" i="132"/>
  <c r="AM149" i="132" s="1"/>
  <c r="AA148" i="132"/>
  <c r="J148" i="132"/>
  <c r="I148" i="132"/>
  <c r="AM148" i="132" s="1"/>
  <c r="J147" i="132"/>
  <c r="I147" i="132"/>
  <c r="AM147" i="132" s="1"/>
  <c r="AA145" i="132"/>
  <c r="J145" i="132"/>
  <c r="I145" i="132"/>
  <c r="AM145" i="132" s="1"/>
  <c r="AA144" i="132"/>
  <c r="J144" i="132"/>
  <c r="I144" i="132"/>
  <c r="AM144" i="132" s="1"/>
  <c r="AA143" i="132"/>
  <c r="J143" i="132"/>
  <c r="I143" i="132"/>
  <c r="AM143" i="132" s="1"/>
  <c r="AA142" i="132"/>
  <c r="J142" i="132"/>
  <c r="I142" i="132"/>
  <c r="AM142" i="132" s="1"/>
  <c r="J141" i="132"/>
  <c r="I141" i="132"/>
  <c r="AM141" i="132" s="1"/>
  <c r="AA138" i="132"/>
  <c r="I138" i="132"/>
  <c r="AM138" i="132" s="1"/>
  <c r="J138" i="132"/>
  <c r="AA136" i="132"/>
  <c r="I136" i="132"/>
  <c r="AM136" i="132" s="1"/>
  <c r="J136" i="132"/>
  <c r="AA135" i="132"/>
  <c r="I135" i="132"/>
  <c r="AM135" i="132" s="1"/>
  <c r="J135" i="132"/>
  <c r="I133" i="132"/>
  <c r="AM133" i="132" s="1"/>
  <c r="J133" i="132"/>
  <c r="AA132" i="132"/>
  <c r="I132" i="132"/>
  <c r="AM132" i="132" s="1"/>
  <c r="J132" i="132"/>
  <c r="AA131" i="132"/>
  <c r="I131" i="132"/>
  <c r="AM131" i="132" s="1"/>
  <c r="J131" i="132"/>
  <c r="M130" i="132"/>
  <c r="J130" i="132"/>
  <c r="AA169" i="132"/>
  <c r="I128" i="132"/>
  <c r="AM128" i="132" s="1"/>
  <c r="J128" i="132"/>
  <c r="I126" i="132"/>
  <c r="AM126" i="132" s="1"/>
  <c r="J126" i="132"/>
  <c r="AA124" i="132"/>
  <c r="I124" i="132"/>
  <c r="AM124" i="132" s="1"/>
  <c r="J124" i="132"/>
  <c r="AA123" i="132"/>
  <c r="I123" i="132"/>
  <c r="AM123" i="132" s="1"/>
  <c r="J123" i="132"/>
  <c r="AA122" i="132"/>
  <c r="I122" i="132"/>
  <c r="AM122" i="132" s="1"/>
  <c r="J122" i="132"/>
  <c r="I120" i="132"/>
  <c r="AM120" i="132" s="1"/>
  <c r="J120" i="132"/>
  <c r="I118" i="132"/>
  <c r="AM118" i="132" s="1"/>
  <c r="J118" i="132"/>
  <c r="AA117" i="132"/>
  <c r="I117" i="132"/>
  <c r="AM117" i="132" s="1"/>
  <c r="J117" i="132"/>
  <c r="AA115" i="132"/>
  <c r="I115" i="132"/>
  <c r="AM115" i="132" s="1"/>
  <c r="J115" i="132"/>
  <c r="AA114" i="132"/>
  <c r="I114" i="132"/>
  <c r="AM114" i="132" s="1"/>
  <c r="J114" i="132"/>
  <c r="AA113" i="132"/>
  <c r="I113" i="132"/>
  <c r="AM113" i="132" s="1"/>
  <c r="J113" i="132"/>
  <c r="AA112" i="132"/>
  <c r="I112" i="132"/>
  <c r="AM112" i="132" s="1"/>
  <c r="J112" i="132"/>
  <c r="AA111" i="132"/>
  <c r="I111" i="132"/>
  <c r="AM111" i="132" s="1"/>
  <c r="J111" i="132"/>
  <c r="AA109" i="132"/>
  <c r="I109" i="132"/>
  <c r="AM109" i="132" s="1"/>
  <c r="J109" i="132"/>
  <c r="AA107" i="132"/>
  <c r="I107" i="132"/>
  <c r="AM107" i="132" s="1"/>
  <c r="J107" i="132"/>
  <c r="AA106" i="132"/>
  <c r="I106" i="132"/>
  <c r="AM106" i="132" s="1"/>
  <c r="J106" i="132"/>
  <c r="I104" i="132"/>
  <c r="AM104" i="132" s="1"/>
  <c r="J104" i="132"/>
  <c r="AA103" i="132"/>
  <c r="I103" i="132"/>
  <c r="AM103" i="132" s="1"/>
  <c r="J103" i="132"/>
  <c r="I101" i="132"/>
  <c r="AM101" i="132" s="1"/>
  <c r="J101" i="132"/>
  <c r="AK168" i="132"/>
  <c r="K168" i="132"/>
  <c r="AK167" i="132"/>
  <c r="AA98" i="132"/>
  <c r="I98" i="132"/>
  <c r="AM98" i="132" s="1"/>
  <c r="J98" i="132"/>
  <c r="I97" i="132"/>
  <c r="AM97" i="132" s="1"/>
  <c r="J97" i="132"/>
  <c r="AK97" i="132" s="1"/>
  <c r="Z60" i="132"/>
  <c r="J60" i="132"/>
  <c r="I60" i="132"/>
  <c r="AM60" i="132" s="1"/>
  <c r="J59" i="132"/>
  <c r="I59" i="132"/>
  <c r="J53" i="132"/>
  <c r="I53" i="132"/>
  <c r="AM53" i="132" s="1"/>
  <c r="J51" i="132"/>
  <c r="I51" i="132"/>
  <c r="J49" i="132"/>
  <c r="I49" i="132"/>
  <c r="AM49" i="132" s="1"/>
  <c r="J48" i="132"/>
  <c r="I48" i="132"/>
  <c r="J47" i="132"/>
  <c r="I47" i="132"/>
  <c r="AM47" i="132" s="1"/>
  <c r="J46" i="132"/>
  <c r="I46" i="132"/>
  <c r="J45" i="132"/>
  <c r="I45" i="132"/>
  <c r="AM45" i="132" s="1"/>
  <c r="J43" i="132"/>
  <c r="I43" i="132"/>
  <c r="AM43" i="132" s="1"/>
  <c r="J40" i="132"/>
  <c r="I40" i="132"/>
  <c r="AM40" i="132" s="1"/>
  <c r="J39" i="132"/>
  <c r="I39" i="132"/>
  <c r="AM39" i="132" s="1"/>
  <c r="J38" i="132"/>
  <c r="I38" i="132"/>
  <c r="AM38" i="132" s="1"/>
  <c r="J37" i="132"/>
  <c r="I37" i="132"/>
  <c r="AM37" i="132" s="1"/>
  <c r="J35" i="132"/>
  <c r="I35" i="132"/>
  <c r="AM35" i="132" s="1"/>
  <c r="J33" i="132"/>
  <c r="I33" i="132"/>
  <c r="AM33" i="132" s="1"/>
  <c r="J31" i="132"/>
  <c r="I31" i="132"/>
  <c r="AM31" i="132" s="1"/>
  <c r="J30" i="132"/>
  <c r="I30" i="132"/>
  <c r="AM30" i="132" s="1"/>
  <c r="J29" i="132"/>
  <c r="I29" i="132"/>
  <c r="AM29" i="132" s="1"/>
  <c r="J28" i="132"/>
  <c r="I28" i="132"/>
  <c r="AM28" i="132" s="1"/>
  <c r="J27" i="132"/>
  <c r="I27" i="132"/>
  <c r="AM27" i="132" s="1"/>
  <c r="Z57" i="132"/>
  <c r="AA56" i="132"/>
  <c r="Z55" i="132"/>
  <c r="J25" i="132"/>
  <c r="I25" i="132"/>
  <c r="AM25" i="132" s="1"/>
  <c r="AK24" i="132"/>
  <c r="K24" i="132"/>
  <c r="J23" i="132"/>
  <c r="J21" i="132"/>
  <c r="J20" i="132"/>
  <c r="I20" i="132"/>
  <c r="AM20" i="132" s="1"/>
  <c r="J19" i="132"/>
  <c r="I19" i="132"/>
  <c r="AM19" i="132" s="1"/>
  <c r="J18" i="132"/>
  <c r="I18" i="132"/>
  <c r="AM18" i="132" s="1"/>
  <c r="J17" i="132"/>
  <c r="I17" i="132"/>
  <c r="AM17" i="132" s="1"/>
  <c r="J16" i="132"/>
  <c r="I16" i="132"/>
  <c r="AM16" i="132" s="1"/>
  <c r="J15" i="132"/>
  <c r="I15" i="132"/>
  <c r="AM15" i="132" s="1"/>
  <c r="J14" i="132"/>
  <c r="I14" i="132"/>
  <c r="AM14" i="132" s="1"/>
  <c r="AK13" i="132"/>
  <c r="AI13" i="132"/>
  <c r="AM632" i="132" l="1"/>
  <c r="I618" i="132"/>
  <c r="AM639" i="132"/>
  <c r="I638" i="132"/>
  <c r="AM638" i="132" s="1"/>
  <c r="AM586" i="132"/>
  <c r="I583" i="132"/>
  <c r="AM583" i="132" s="1"/>
  <c r="AM651" i="132"/>
  <c r="I650" i="132"/>
  <c r="I637" i="132" s="1"/>
  <c r="AM619" i="132"/>
  <c r="AM618" i="132"/>
  <c r="AM613" i="132"/>
  <c r="I612" i="132"/>
  <c r="AM612" i="132" s="1"/>
  <c r="AM606" i="132"/>
  <c r="I604" i="132"/>
  <c r="I80" i="132"/>
  <c r="AM80" i="132" s="1"/>
  <c r="AM83" i="132"/>
  <c r="K315" i="132"/>
  <c r="AM315" i="132"/>
  <c r="AI48" i="132"/>
  <c r="AM48" i="132"/>
  <c r="AI59" i="132"/>
  <c r="AM59" i="132"/>
  <c r="K312" i="132"/>
  <c r="AM312" i="132"/>
  <c r="AI337" i="132"/>
  <c r="AM337" i="132"/>
  <c r="K344" i="132"/>
  <c r="AM344" i="132"/>
  <c r="AI46" i="132"/>
  <c r="AM46" i="132"/>
  <c r="AI51" i="132"/>
  <c r="AM51" i="132"/>
  <c r="I155" i="132"/>
  <c r="AM155" i="132" s="1"/>
  <c r="J155" i="132"/>
  <c r="I41" i="132"/>
  <c r="AM41" i="132" s="1"/>
  <c r="AA80" i="132"/>
  <c r="J41" i="132"/>
  <c r="AK166" i="132"/>
  <c r="I72" i="132"/>
  <c r="AM72" i="132" s="1"/>
  <c r="J72" i="132"/>
  <c r="J80" i="132"/>
  <c r="AK281" i="132"/>
  <c r="AK284" i="132"/>
  <c r="AK304" i="132"/>
  <c r="AK306" i="132"/>
  <c r="AK308" i="132"/>
  <c r="AK350" i="132"/>
  <c r="AK352" i="132"/>
  <c r="AK354" i="132"/>
  <c r="AK356" i="132"/>
  <c r="AK361" i="132"/>
  <c r="AI274" i="132"/>
  <c r="AI276" i="132"/>
  <c r="AI278" i="132"/>
  <c r="AI287" i="132"/>
  <c r="AI393" i="132"/>
  <c r="AI395" i="132"/>
  <c r="AI397" i="132"/>
  <c r="AI399" i="132"/>
  <c r="AI403" i="132"/>
  <c r="AI493" i="132"/>
  <c r="AI495" i="132"/>
  <c r="AI497" i="132"/>
  <c r="AI500" i="132"/>
  <c r="AI502" i="132"/>
  <c r="AI504" i="132"/>
  <c r="AI506" i="132"/>
  <c r="AK564" i="132"/>
  <c r="AK523" i="132"/>
  <c r="AK525" i="132"/>
  <c r="AK527" i="132"/>
  <c r="AK529" i="132"/>
  <c r="AK533" i="132"/>
  <c r="AK535" i="132"/>
  <c r="AK537" i="132"/>
  <c r="AK541" i="132"/>
  <c r="AK543" i="132"/>
  <c r="AK545" i="132"/>
  <c r="AK547" i="132"/>
  <c r="AK550" i="132"/>
  <c r="AK552" i="132"/>
  <c r="AK619" i="132"/>
  <c r="AK621" i="132"/>
  <c r="AK623" i="132"/>
  <c r="AK625" i="132"/>
  <c r="AK628" i="132"/>
  <c r="AK630" i="132"/>
  <c r="AK632" i="132"/>
  <c r="AK634" i="132"/>
  <c r="AK636" i="132"/>
  <c r="AK652" i="132"/>
  <c r="AK654" i="132"/>
  <c r="AK656" i="132"/>
  <c r="AK658" i="132"/>
  <c r="AK660" i="132"/>
  <c r="AK662" i="132"/>
  <c r="AK664" i="132"/>
  <c r="AK365" i="132"/>
  <c r="AK369" i="132"/>
  <c r="AI43" i="132"/>
  <c r="AI252" i="132"/>
  <c r="AK273" i="132"/>
  <c r="AK275" i="132"/>
  <c r="AK277" i="132"/>
  <c r="AK289" i="132"/>
  <c r="AK394" i="132"/>
  <c r="AK396" i="132"/>
  <c r="AK398" i="132"/>
  <c r="AK400" i="132"/>
  <c r="AK402" i="132"/>
  <c r="AK404" i="132"/>
  <c r="AK494" i="132"/>
  <c r="AI651" i="132"/>
  <c r="AI60" i="132"/>
  <c r="AK98" i="132"/>
  <c r="AI201" i="132"/>
  <c r="AI203" i="132"/>
  <c r="AI208" i="132"/>
  <c r="AK311" i="132"/>
  <c r="AK313" i="132"/>
  <c r="AK317" i="132"/>
  <c r="AK323" i="132"/>
  <c r="AK329" i="132"/>
  <c r="AK332" i="132"/>
  <c r="AK334" i="132"/>
  <c r="AK339" i="132"/>
  <c r="AK341" i="132"/>
  <c r="AK343" i="132"/>
  <c r="AK345" i="132"/>
  <c r="AK347" i="132"/>
  <c r="AI511" i="132"/>
  <c r="AI513" i="132"/>
  <c r="AI416" i="132"/>
  <c r="AI420" i="132"/>
  <c r="AK85" i="132"/>
  <c r="AK87" i="132"/>
  <c r="AK89" i="132"/>
  <c r="AK91" i="132"/>
  <c r="AK93" i="132"/>
  <c r="AK62" i="132"/>
  <c r="AK64" i="132"/>
  <c r="AI199" i="132"/>
  <c r="AK271" i="132"/>
  <c r="AK230" i="132"/>
  <c r="AK233" i="132"/>
  <c r="AK240" i="132"/>
  <c r="AK242" i="132"/>
  <c r="AI297" i="132"/>
  <c r="AI376" i="132"/>
  <c r="AI383" i="132"/>
  <c r="AI386" i="132"/>
  <c r="AI388" i="132"/>
  <c r="AI390" i="132"/>
  <c r="AI256" i="132"/>
  <c r="AI258" i="132"/>
  <c r="AI260" i="132"/>
  <c r="AI262" i="132"/>
  <c r="AI265" i="132"/>
  <c r="AI267" i="132"/>
  <c r="AI291" i="132"/>
  <c r="AI293" i="132"/>
  <c r="AI250" i="132"/>
  <c r="AK274" i="132"/>
  <c r="AK276" i="132"/>
  <c r="AK278" i="132"/>
  <c r="AK287" i="132"/>
  <c r="AK393" i="132"/>
  <c r="AK395" i="132"/>
  <c r="AK397" i="132"/>
  <c r="AK399" i="132"/>
  <c r="AK401" i="132"/>
  <c r="AK403" i="132"/>
  <c r="AK493" i="132"/>
  <c r="AK495" i="132"/>
  <c r="AK497" i="132"/>
  <c r="AK500" i="132"/>
  <c r="AK502" i="132"/>
  <c r="AK504" i="132"/>
  <c r="AK506" i="132"/>
  <c r="AI564" i="132"/>
  <c r="AI533" i="132"/>
  <c r="AK272" i="132"/>
  <c r="AL272" i="132" s="1"/>
  <c r="AK21" i="132"/>
  <c r="AI27" i="132"/>
  <c r="AI45" i="132"/>
  <c r="AI47" i="132"/>
  <c r="AI49" i="132"/>
  <c r="AK666" i="132"/>
  <c r="AI135" i="132"/>
  <c r="AK142" i="132"/>
  <c r="AK144" i="132"/>
  <c r="AK147" i="132"/>
  <c r="AK149" i="132"/>
  <c r="AK152" i="132"/>
  <c r="AK154" i="132"/>
  <c r="AK158" i="132"/>
  <c r="AK160" i="132"/>
  <c r="AK162" i="132"/>
  <c r="AK164" i="132"/>
  <c r="AI313" i="132"/>
  <c r="AI317" i="132"/>
  <c r="AI329" i="132"/>
  <c r="AI332" i="132"/>
  <c r="AI339" i="132"/>
  <c r="AI341" i="132"/>
  <c r="AI343" i="132"/>
  <c r="AK509" i="132"/>
  <c r="AK511" i="132"/>
  <c r="AK513" i="132"/>
  <c r="AK516" i="132"/>
  <c r="AK518" i="132"/>
  <c r="AK520" i="132"/>
  <c r="AK555" i="132"/>
  <c r="AK557" i="132"/>
  <c r="AI561" i="132"/>
  <c r="AI361" i="132"/>
  <c r="AI365" i="132"/>
  <c r="AK253" i="132"/>
  <c r="AI541" i="132"/>
  <c r="AH13" i="132"/>
  <c r="AI204" i="132"/>
  <c r="AK314" i="132"/>
  <c r="AI385" i="132"/>
  <c r="AI387" i="132"/>
  <c r="AI389" i="132"/>
  <c r="AI391" i="132"/>
  <c r="AI257" i="132"/>
  <c r="AK496" i="132"/>
  <c r="AK498" i="132"/>
  <c r="AK501" i="132"/>
  <c r="AK503" i="132"/>
  <c r="AK505" i="132"/>
  <c r="AI563" i="132"/>
  <c r="AI565" i="132"/>
  <c r="AI532" i="132"/>
  <c r="AI133" i="132"/>
  <c r="AK141" i="132"/>
  <c r="AK148" i="132"/>
  <c r="AK153" i="132"/>
  <c r="AK157" i="132"/>
  <c r="AK161" i="132"/>
  <c r="AK163" i="132"/>
  <c r="AK165" i="132"/>
  <c r="AK23" i="132"/>
  <c r="AH23" i="132" s="1"/>
  <c r="AI131" i="132"/>
  <c r="AI136" i="132"/>
  <c r="AK143" i="132"/>
  <c r="AK145" i="132"/>
  <c r="AK151" i="132"/>
  <c r="AK159" i="132"/>
  <c r="AI14" i="132"/>
  <c r="AI39" i="132"/>
  <c r="AK130" i="132"/>
  <c r="AK132" i="132"/>
  <c r="AK135" i="132"/>
  <c r="AK138" i="132"/>
  <c r="AI142" i="132"/>
  <c r="AI144" i="132"/>
  <c r="AI147" i="132"/>
  <c r="AI149" i="132"/>
  <c r="AI152" i="132"/>
  <c r="AI158" i="132"/>
  <c r="AI160" i="132"/>
  <c r="AI162" i="132"/>
  <c r="AI164" i="132"/>
  <c r="AK172" i="132"/>
  <c r="AL172" i="132" s="1"/>
  <c r="AK174" i="132"/>
  <c r="AK320" i="132"/>
  <c r="AK561" i="132"/>
  <c r="AK407" i="132"/>
  <c r="AK409" i="132"/>
  <c r="AK416" i="132"/>
  <c r="AK418" i="132"/>
  <c r="AK420" i="132"/>
  <c r="AK422" i="132"/>
  <c r="AK425" i="132"/>
  <c r="AI584" i="132"/>
  <c r="AI605" i="132"/>
  <c r="AI613" i="132"/>
  <c r="AI640" i="132"/>
  <c r="AI85" i="132"/>
  <c r="AI87" i="132"/>
  <c r="AI89" i="132"/>
  <c r="AI91" i="132"/>
  <c r="AI93" i="132"/>
  <c r="AI62" i="132"/>
  <c r="AI64" i="132"/>
  <c r="AK66" i="132"/>
  <c r="AK69" i="132"/>
  <c r="AK71" i="132"/>
  <c r="AK74" i="132"/>
  <c r="AK76" i="132"/>
  <c r="AK78" i="132"/>
  <c r="AI304" i="132"/>
  <c r="AI306" i="132"/>
  <c r="AI308" i="132"/>
  <c r="AI314" i="132"/>
  <c r="AI316" i="132"/>
  <c r="AK319" i="132"/>
  <c r="AL319" i="132" s="1"/>
  <c r="AI328" i="132"/>
  <c r="AI333" i="132"/>
  <c r="AI340" i="132"/>
  <c r="AI342" i="132"/>
  <c r="AK508" i="132"/>
  <c r="AK510" i="132"/>
  <c r="AK512" i="132"/>
  <c r="AK514" i="132"/>
  <c r="AK517" i="132"/>
  <c r="AK519" i="132"/>
  <c r="AK521" i="132"/>
  <c r="AK556" i="132"/>
  <c r="AK558" i="132"/>
  <c r="AI406" i="132"/>
  <c r="AI415" i="132"/>
  <c r="AI417" i="132"/>
  <c r="AI419" i="132"/>
  <c r="AI421" i="132"/>
  <c r="AK83" i="132"/>
  <c r="AK84" i="132"/>
  <c r="AK86" i="132"/>
  <c r="AK88" i="132"/>
  <c r="AK90" i="132"/>
  <c r="AK92" i="132"/>
  <c r="AK94" i="132"/>
  <c r="AK63" i="132"/>
  <c r="AK280" i="132"/>
  <c r="AK282" i="132"/>
  <c r="AK283" i="132"/>
  <c r="AK305" i="132"/>
  <c r="AK307" i="132"/>
  <c r="AK349" i="132"/>
  <c r="AK351" i="132"/>
  <c r="AK353" i="132"/>
  <c r="AK355" i="132"/>
  <c r="AK357" i="132"/>
  <c r="AK362" i="132"/>
  <c r="AK364" i="132"/>
  <c r="AK270" i="132"/>
  <c r="AI273" i="132"/>
  <c r="AI275" i="132"/>
  <c r="AI277" i="132"/>
  <c r="AI286" i="132"/>
  <c r="AI394" i="132"/>
  <c r="AI396" i="132"/>
  <c r="AI398" i="132"/>
  <c r="AI400" i="132"/>
  <c r="AI402" i="132"/>
  <c r="AI404" i="132"/>
  <c r="AI505" i="132"/>
  <c r="AK563" i="132"/>
  <c r="AK565" i="132"/>
  <c r="AK524" i="132"/>
  <c r="AK526" i="132"/>
  <c r="AK528" i="132"/>
  <c r="AK532" i="132"/>
  <c r="AK534" i="132"/>
  <c r="AK536" i="132"/>
  <c r="AK538" i="132"/>
  <c r="AK542" i="132"/>
  <c r="AK544" i="132"/>
  <c r="AK546" i="132"/>
  <c r="AK549" i="132"/>
  <c r="AK551" i="132"/>
  <c r="AK553" i="132"/>
  <c r="AK620" i="132"/>
  <c r="AK622" i="132"/>
  <c r="AK624" i="132"/>
  <c r="AK626" i="132"/>
  <c r="AK627" i="132"/>
  <c r="AK629" i="132"/>
  <c r="AK631" i="132"/>
  <c r="AK633" i="132"/>
  <c r="AK635" i="132"/>
  <c r="AK651" i="132"/>
  <c r="AK655" i="132"/>
  <c r="AK657" i="132"/>
  <c r="AK659" i="132"/>
  <c r="AK661" i="132"/>
  <c r="AK663" i="132"/>
  <c r="AK665" i="132"/>
  <c r="AK316" i="132"/>
  <c r="AK322" i="132"/>
  <c r="AK328" i="132"/>
  <c r="AK330" i="132"/>
  <c r="AK333" i="132"/>
  <c r="AK340" i="132"/>
  <c r="AK342" i="132"/>
  <c r="AK346" i="132"/>
  <c r="AI508" i="132"/>
  <c r="AI510" i="132"/>
  <c r="AI514" i="132"/>
  <c r="AI517" i="132"/>
  <c r="AI521" i="132"/>
  <c r="AK228" i="132"/>
  <c r="AK232" i="132"/>
  <c r="AK234" i="132"/>
  <c r="AK235" i="132"/>
  <c r="AK238" i="132"/>
  <c r="AK241" i="132"/>
  <c r="AK243" i="132"/>
  <c r="AI245" i="132"/>
  <c r="AI247" i="132"/>
  <c r="AI298" i="132"/>
  <c r="AI300" i="132"/>
  <c r="AI302" i="132"/>
  <c r="AI371" i="132"/>
  <c r="AI375" i="132"/>
  <c r="AI380" i="132"/>
  <c r="M132" i="132"/>
  <c r="AI132" i="132"/>
  <c r="K15" i="132"/>
  <c r="AI15" i="132"/>
  <c r="L17" i="132"/>
  <c r="AI17" i="132"/>
  <c r="K19" i="132"/>
  <c r="AI19" i="132"/>
  <c r="AH24" i="132"/>
  <c r="AL24" i="132"/>
  <c r="AG24" i="132"/>
  <c r="AI29" i="132"/>
  <c r="AI31" i="132"/>
  <c r="AI35" i="132"/>
  <c r="AI38" i="132"/>
  <c r="K40" i="132"/>
  <c r="AI40" i="132"/>
  <c r="K53" i="132"/>
  <c r="AI53" i="132"/>
  <c r="AA168" i="132"/>
  <c r="AI168" i="132"/>
  <c r="I205" i="132"/>
  <c r="AM205" i="132" s="1"/>
  <c r="AI206" i="132"/>
  <c r="AI509" i="132"/>
  <c r="AI516" i="132"/>
  <c r="AI518" i="132"/>
  <c r="AI520" i="132"/>
  <c r="AI555" i="132"/>
  <c r="K557" i="132"/>
  <c r="AI557" i="132"/>
  <c r="K299" i="132"/>
  <c r="AI299" i="132"/>
  <c r="K301" i="132"/>
  <c r="AI301" i="132"/>
  <c r="I358" i="132"/>
  <c r="AM358" i="132" s="1"/>
  <c r="AI359" i="132"/>
  <c r="AK374" i="132"/>
  <c r="AH374" i="132" s="1"/>
  <c r="M379" i="132"/>
  <c r="AI379" i="132"/>
  <c r="M381" i="132"/>
  <c r="AI381" i="132"/>
  <c r="AI523" i="132"/>
  <c r="K525" i="132"/>
  <c r="AI525" i="132"/>
  <c r="K527" i="132"/>
  <c r="AI527" i="132"/>
  <c r="AH527" i="132" s="1"/>
  <c r="K529" i="132"/>
  <c r="AI529" i="132"/>
  <c r="K535" i="132"/>
  <c r="AI535" i="132"/>
  <c r="K537" i="132"/>
  <c r="AI537" i="132"/>
  <c r="K543" i="132"/>
  <c r="AI543" i="132"/>
  <c r="K545" i="132"/>
  <c r="AI545" i="132"/>
  <c r="K547" i="132"/>
  <c r="AI547" i="132"/>
  <c r="K550" i="132"/>
  <c r="AI550" i="132"/>
  <c r="K552" i="132"/>
  <c r="AI552" i="132"/>
  <c r="AI619" i="132"/>
  <c r="K621" i="132"/>
  <c r="AI621" i="132"/>
  <c r="K623" i="132"/>
  <c r="AI623" i="132"/>
  <c r="K625" i="132"/>
  <c r="AI625" i="132"/>
  <c r="K628" i="132"/>
  <c r="AI628" i="132"/>
  <c r="K630" i="132"/>
  <c r="AI630" i="132"/>
  <c r="AL630" i="132" s="1"/>
  <c r="K632" i="132"/>
  <c r="AI632" i="132"/>
  <c r="K634" i="132"/>
  <c r="AI634" i="132"/>
  <c r="K636" i="132"/>
  <c r="AI636" i="132"/>
  <c r="M652" i="132"/>
  <c r="AI652" i="132"/>
  <c r="M654" i="132"/>
  <c r="AI654" i="132"/>
  <c r="M656" i="132"/>
  <c r="AI656" i="132"/>
  <c r="M658" i="132"/>
  <c r="AI658" i="132"/>
  <c r="M660" i="132"/>
  <c r="AI660" i="132"/>
  <c r="M662" i="132"/>
  <c r="AI662" i="132"/>
  <c r="M664" i="132"/>
  <c r="AI664" i="132"/>
  <c r="M666" i="132"/>
  <c r="AI666" i="132"/>
  <c r="AK15" i="132"/>
  <c r="AK17" i="132"/>
  <c r="AK19" i="132"/>
  <c r="AI21" i="132"/>
  <c r="L25" i="132"/>
  <c r="AI25" i="132"/>
  <c r="AK27" i="132"/>
  <c r="AK29" i="132"/>
  <c r="AK31" i="132"/>
  <c r="AK35" i="132"/>
  <c r="AK38" i="132"/>
  <c r="AK40" i="132"/>
  <c r="AK45" i="132"/>
  <c r="AK47" i="132"/>
  <c r="AK49" i="132"/>
  <c r="AK53" i="132"/>
  <c r="AK60" i="132"/>
  <c r="K98" i="132"/>
  <c r="AI98" i="132"/>
  <c r="AK101" i="132"/>
  <c r="AK104" i="132"/>
  <c r="AK107" i="132"/>
  <c r="AK111" i="132"/>
  <c r="AK113" i="132"/>
  <c r="AK115" i="132"/>
  <c r="AK118" i="132"/>
  <c r="AK122" i="132"/>
  <c r="AK124" i="132"/>
  <c r="AK128" i="132"/>
  <c r="AA130" i="132"/>
  <c r="AI130" i="132"/>
  <c r="AI173" i="132"/>
  <c r="AK201" i="132"/>
  <c r="AK203" i="132"/>
  <c r="AK206" i="132"/>
  <c r="AK208" i="132"/>
  <c r="AI311" i="132"/>
  <c r="AK321" i="132"/>
  <c r="AK585" i="132"/>
  <c r="AK587" i="132"/>
  <c r="AK589" i="132"/>
  <c r="AK591" i="132"/>
  <c r="AK593" i="132"/>
  <c r="AK595" i="132"/>
  <c r="AK597" i="132"/>
  <c r="AK599" i="132"/>
  <c r="AK601" i="132"/>
  <c r="AK603" i="132"/>
  <c r="AK606" i="132"/>
  <c r="AK608" i="132"/>
  <c r="AK610" i="132"/>
  <c r="AK614" i="132"/>
  <c r="AK616" i="132"/>
  <c r="AK639" i="132"/>
  <c r="AK641" i="132"/>
  <c r="AK643" i="132"/>
  <c r="AK645" i="132"/>
  <c r="AK647" i="132"/>
  <c r="AK649" i="132"/>
  <c r="AI67" i="132"/>
  <c r="AI70" i="132"/>
  <c r="AI73" i="132"/>
  <c r="AI75" i="132"/>
  <c r="K77" i="132"/>
  <c r="AI77" i="132"/>
  <c r="K79" i="132"/>
  <c r="AI79" i="132"/>
  <c r="AK211" i="132"/>
  <c r="AK213" i="132"/>
  <c r="AK216" i="132"/>
  <c r="AK218" i="132"/>
  <c r="AK220" i="132"/>
  <c r="AK223" i="132"/>
  <c r="AK225" i="132"/>
  <c r="AK227" i="132"/>
  <c r="I229" i="132"/>
  <c r="AM229" i="132" s="1"/>
  <c r="AI230" i="132"/>
  <c r="K233" i="132"/>
  <c r="AI233" i="132"/>
  <c r="AI240" i="132"/>
  <c r="K242" i="132"/>
  <c r="AI242" i="132"/>
  <c r="AK297" i="132"/>
  <c r="AK299" i="132"/>
  <c r="AK301" i="132"/>
  <c r="AK359" i="132"/>
  <c r="AK376" i="132"/>
  <c r="AK379" i="132"/>
  <c r="AK381" i="132"/>
  <c r="AK383" i="132"/>
  <c r="AK386" i="132"/>
  <c r="AK388" i="132"/>
  <c r="AK390" i="132"/>
  <c r="AK256" i="132"/>
  <c r="AK258" i="132"/>
  <c r="AK260" i="132"/>
  <c r="AK262" i="132"/>
  <c r="AK265" i="132"/>
  <c r="AK267" i="132"/>
  <c r="AK291" i="132"/>
  <c r="AK293" i="132"/>
  <c r="AK250" i="132"/>
  <c r="AG13" i="132"/>
  <c r="AL13" i="132"/>
  <c r="AK25" i="132"/>
  <c r="AI101" i="132"/>
  <c r="K104" i="132"/>
  <c r="AI104" i="132"/>
  <c r="M107" i="132"/>
  <c r="AI107" i="132"/>
  <c r="M111" i="132"/>
  <c r="AI111" i="132"/>
  <c r="M113" i="132"/>
  <c r="AI113" i="132"/>
  <c r="M115" i="132"/>
  <c r="AI115" i="132"/>
  <c r="AI118" i="132"/>
  <c r="M122" i="132"/>
  <c r="AI122" i="132"/>
  <c r="M124" i="132"/>
  <c r="AI124" i="132"/>
  <c r="AI128" i="132"/>
  <c r="AK131" i="132"/>
  <c r="AK133" i="132"/>
  <c r="AK136" i="132"/>
  <c r="AI141" i="132"/>
  <c r="AI143" i="132"/>
  <c r="AI145" i="132"/>
  <c r="K148" i="132"/>
  <c r="AI148" i="132"/>
  <c r="AI151" i="132"/>
  <c r="K153" i="132"/>
  <c r="AI153" i="132"/>
  <c r="AI157" i="132"/>
  <c r="AI159" i="132"/>
  <c r="AI161" i="132"/>
  <c r="AI163" i="132"/>
  <c r="L165" i="132"/>
  <c r="L155" i="132" s="1"/>
  <c r="AI165" i="132"/>
  <c r="AK173" i="132"/>
  <c r="AK560" i="132"/>
  <c r="AK406" i="132"/>
  <c r="AK408" i="132"/>
  <c r="AK413" i="132"/>
  <c r="AK415" i="132"/>
  <c r="AK417" i="132"/>
  <c r="AK419" i="132"/>
  <c r="AK421" i="132"/>
  <c r="AK424" i="132"/>
  <c r="AK426" i="132"/>
  <c r="M585" i="132"/>
  <c r="AI585" i="132"/>
  <c r="K587" i="132"/>
  <c r="AI587" i="132"/>
  <c r="M589" i="132"/>
  <c r="AI589" i="132"/>
  <c r="M591" i="132"/>
  <c r="AI591" i="132"/>
  <c r="M593" i="132"/>
  <c r="AI593" i="132"/>
  <c r="M595" i="132"/>
  <c r="AI595" i="132"/>
  <c r="M597" i="132"/>
  <c r="AI597" i="132"/>
  <c r="M599" i="132"/>
  <c r="AI599" i="132"/>
  <c r="M601" i="132"/>
  <c r="AI601" i="132"/>
  <c r="M603" i="132"/>
  <c r="AI603" i="132"/>
  <c r="K606" i="132"/>
  <c r="AI606" i="132"/>
  <c r="K608" i="132"/>
  <c r="AI608" i="132"/>
  <c r="K610" i="132"/>
  <c r="AI610" i="132"/>
  <c r="M614" i="132"/>
  <c r="AI614" i="132"/>
  <c r="M616" i="132"/>
  <c r="AI616" i="132"/>
  <c r="AI639" i="132"/>
  <c r="K641" i="132"/>
  <c r="AI641" i="132"/>
  <c r="K643" i="132"/>
  <c r="AI643" i="132"/>
  <c r="L645" i="132"/>
  <c r="AI645" i="132"/>
  <c r="L647" i="132"/>
  <c r="AI647" i="132"/>
  <c r="L649" i="132"/>
  <c r="AI649" i="132"/>
  <c r="AI83" i="132"/>
  <c r="AI84" i="132"/>
  <c r="AI86" i="132"/>
  <c r="AI88" i="132"/>
  <c r="AI90" i="132"/>
  <c r="AI92" i="132"/>
  <c r="AI94" i="132"/>
  <c r="AI63" i="132"/>
  <c r="AK65" i="132"/>
  <c r="AK67" i="132"/>
  <c r="AK70" i="132"/>
  <c r="AK73" i="132"/>
  <c r="AK75" i="132"/>
  <c r="AK77" i="132"/>
  <c r="AK79" i="132"/>
  <c r="K211" i="132"/>
  <c r="AI211" i="132"/>
  <c r="K213" i="132"/>
  <c r="AI213" i="132"/>
  <c r="AI216" i="132"/>
  <c r="M218" i="132"/>
  <c r="AI218" i="132"/>
  <c r="M220" i="132"/>
  <c r="AI220" i="132"/>
  <c r="M223" i="132"/>
  <c r="AI223" i="132"/>
  <c r="M225" i="132"/>
  <c r="AI225" i="132"/>
  <c r="M280" i="132"/>
  <c r="AI280" i="132"/>
  <c r="M282" i="132"/>
  <c r="AI282" i="132"/>
  <c r="M283" i="132"/>
  <c r="AI283" i="132"/>
  <c r="K305" i="132"/>
  <c r="AI305" i="132"/>
  <c r="K307" i="132"/>
  <c r="AI307" i="132"/>
  <c r="AI349" i="132"/>
  <c r="AI351" i="132"/>
  <c r="AI353" i="132"/>
  <c r="AI355" i="132"/>
  <c r="AI357" i="132"/>
  <c r="AI362" i="132"/>
  <c r="AI364" i="132"/>
  <c r="AI367" i="132"/>
  <c r="AK370" i="132"/>
  <c r="AI270" i="132"/>
  <c r="L330" i="132"/>
  <c r="AI330" i="132"/>
  <c r="AL337" i="132"/>
  <c r="L346" i="132"/>
  <c r="AI346" i="132"/>
  <c r="K560" i="132"/>
  <c r="AI560" i="132"/>
  <c r="K408" i="132"/>
  <c r="AI408" i="132"/>
  <c r="I412" i="132"/>
  <c r="AM412" i="132" s="1"/>
  <c r="AI413" i="132"/>
  <c r="K426" i="132"/>
  <c r="AI426" i="132"/>
  <c r="AA65" i="132"/>
  <c r="AI65" i="132"/>
  <c r="I288" i="132"/>
  <c r="AM288" i="132" s="1"/>
  <c r="AI289" i="132"/>
  <c r="K494" i="132"/>
  <c r="AI494" i="132"/>
  <c r="K496" i="132"/>
  <c r="AI496" i="132"/>
  <c r="K498" i="132"/>
  <c r="AI498" i="132"/>
  <c r="K501" i="132"/>
  <c r="AI501" i="132"/>
  <c r="K503" i="132"/>
  <c r="AI503" i="132"/>
  <c r="L20" i="132"/>
  <c r="AI20" i="132"/>
  <c r="K30" i="132"/>
  <c r="AI30" i="132"/>
  <c r="K33" i="132"/>
  <c r="AI33" i="132"/>
  <c r="L37" i="132"/>
  <c r="AI37" i="132"/>
  <c r="K200" i="132"/>
  <c r="AI200" i="132"/>
  <c r="K202" i="132"/>
  <c r="AI202" i="132"/>
  <c r="K512" i="132"/>
  <c r="AI512" i="132"/>
  <c r="K519" i="132"/>
  <c r="AI519" i="132"/>
  <c r="M556" i="132"/>
  <c r="AI556" i="132"/>
  <c r="M558" i="132"/>
  <c r="AI558" i="132"/>
  <c r="AI368" i="132"/>
  <c r="K377" i="132"/>
  <c r="AI377" i="132"/>
  <c r="K382" i="132"/>
  <c r="AI382" i="132"/>
  <c r="AI259" i="132"/>
  <c r="AI261" i="132"/>
  <c r="AI264" i="132"/>
  <c r="K266" i="132"/>
  <c r="AI266" i="132"/>
  <c r="K268" i="132"/>
  <c r="AI268" i="132"/>
  <c r="K292" i="132"/>
  <c r="AI292" i="132"/>
  <c r="K294" i="132"/>
  <c r="AI294" i="132"/>
  <c r="K254" i="132"/>
  <c r="AI254" i="132"/>
  <c r="K251" i="132"/>
  <c r="AI251" i="132"/>
  <c r="J285" i="132"/>
  <c r="AK286" i="132"/>
  <c r="K524" i="132"/>
  <c r="AI524" i="132"/>
  <c r="K526" i="132"/>
  <c r="AI526" i="132"/>
  <c r="K528" i="132"/>
  <c r="AI528" i="132"/>
  <c r="K534" i="132"/>
  <c r="AI534" i="132"/>
  <c r="K536" i="132"/>
  <c r="AI536" i="132"/>
  <c r="K538" i="132"/>
  <c r="AI538" i="132"/>
  <c r="K542" i="132"/>
  <c r="AI542" i="132"/>
  <c r="K544" i="132"/>
  <c r="AI544" i="132"/>
  <c r="K546" i="132"/>
  <c r="AI546" i="132"/>
  <c r="K549" i="132"/>
  <c r="AI549" i="132"/>
  <c r="K551" i="132"/>
  <c r="AI551" i="132"/>
  <c r="K553" i="132"/>
  <c r="AI553" i="132"/>
  <c r="K620" i="132"/>
  <c r="AI620" i="132"/>
  <c r="K622" i="132"/>
  <c r="AI622" i="132"/>
  <c r="K624" i="132"/>
  <c r="AI624" i="132"/>
  <c r="K626" i="132"/>
  <c r="AI626" i="132"/>
  <c r="K627" i="132"/>
  <c r="AI627" i="132"/>
  <c r="K629" i="132"/>
  <c r="AI629" i="132"/>
  <c r="K631" i="132"/>
  <c r="AI631" i="132"/>
  <c r="K633" i="132"/>
  <c r="AI633" i="132"/>
  <c r="K635" i="132"/>
  <c r="AI635" i="132"/>
  <c r="M655" i="132"/>
  <c r="AI655" i="132"/>
  <c r="M657" i="132"/>
  <c r="AI657" i="132"/>
  <c r="M659" i="132"/>
  <c r="AI659" i="132"/>
  <c r="M661" i="132"/>
  <c r="AI661" i="132"/>
  <c r="K663" i="132"/>
  <c r="AI663" i="132"/>
  <c r="K665" i="132"/>
  <c r="AI665" i="132"/>
  <c r="K18" i="132"/>
  <c r="AI18" i="132"/>
  <c r="AK14" i="132"/>
  <c r="AK18" i="132"/>
  <c r="AK28" i="132"/>
  <c r="AK37" i="132"/>
  <c r="AK43" i="132"/>
  <c r="AK48" i="132"/>
  <c r="AH48" i="132" s="1"/>
  <c r="AK59" i="132"/>
  <c r="AH59" i="132" s="1"/>
  <c r="AI97" i="132"/>
  <c r="AK103" i="132"/>
  <c r="AK106" i="132"/>
  <c r="AK109" i="132"/>
  <c r="AK112" i="132"/>
  <c r="AK114" i="132"/>
  <c r="AK117" i="132"/>
  <c r="AK120" i="132"/>
  <c r="AK123" i="132"/>
  <c r="AK126" i="132"/>
  <c r="AI174" i="132"/>
  <c r="AK200" i="132"/>
  <c r="AK202" i="132"/>
  <c r="AK204" i="132"/>
  <c r="AK207" i="132"/>
  <c r="AK584" i="132"/>
  <c r="AK586" i="132"/>
  <c r="AK588" i="132"/>
  <c r="AK590" i="132"/>
  <c r="AK592" i="132"/>
  <c r="AK594" i="132"/>
  <c r="AK596" i="132"/>
  <c r="AK598" i="132"/>
  <c r="AK600" i="132"/>
  <c r="AK602" i="132"/>
  <c r="AK605" i="132"/>
  <c r="AK607" i="132"/>
  <c r="AK609" i="132"/>
  <c r="AK613" i="132"/>
  <c r="AK615" i="132"/>
  <c r="AK617" i="132"/>
  <c r="AK640" i="132"/>
  <c r="AK642" i="132"/>
  <c r="AK644" i="132"/>
  <c r="AK646" i="132"/>
  <c r="AK648" i="132"/>
  <c r="AI66" i="132"/>
  <c r="AI69" i="132"/>
  <c r="AI71" i="132"/>
  <c r="K74" i="132"/>
  <c r="AI74" i="132"/>
  <c r="K76" i="132"/>
  <c r="AI76" i="132"/>
  <c r="K78" i="132"/>
  <c r="AI78" i="132"/>
  <c r="AI210" i="132"/>
  <c r="AK212" i="132"/>
  <c r="AK214" i="132"/>
  <c r="AK217" i="132"/>
  <c r="AK219" i="132"/>
  <c r="AK221" i="132"/>
  <c r="AK222" i="132"/>
  <c r="AK224" i="132"/>
  <c r="AK226" i="132"/>
  <c r="AI232" i="132"/>
  <c r="K234" i="132"/>
  <c r="AI234" i="132"/>
  <c r="AI235" i="132"/>
  <c r="M238" i="132"/>
  <c r="M236" i="132" s="1"/>
  <c r="AI238" i="132"/>
  <c r="K241" i="132"/>
  <c r="AI241" i="132"/>
  <c r="K243" i="132"/>
  <c r="AI243" i="132"/>
  <c r="AK298" i="132"/>
  <c r="AK300" i="132"/>
  <c r="AK302" i="132"/>
  <c r="AK371" i="132"/>
  <c r="AK375" i="132"/>
  <c r="AK377" i="132"/>
  <c r="AK380" i="132"/>
  <c r="AK382" i="132"/>
  <c r="AK385" i="132"/>
  <c r="AK387" i="132"/>
  <c r="AK389" i="132"/>
  <c r="AK391" i="132"/>
  <c r="AK257" i="132"/>
  <c r="AK259" i="132"/>
  <c r="AK261" i="132"/>
  <c r="AK264" i="132"/>
  <c r="AK266" i="132"/>
  <c r="AK268" i="132"/>
  <c r="AK292" i="132"/>
  <c r="AK294" i="132"/>
  <c r="AK295" i="132"/>
  <c r="AK254" i="132"/>
  <c r="AK251" i="132"/>
  <c r="AK252" i="132"/>
  <c r="L16" i="132"/>
  <c r="AI16" i="132"/>
  <c r="K28" i="132"/>
  <c r="AI28" i="132"/>
  <c r="AK16" i="132"/>
  <c r="AK20" i="132"/>
  <c r="AK30" i="132"/>
  <c r="AK33" i="132"/>
  <c r="AK39" i="132"/>
  <c r="AK46" i="132"/>
  <c r="AH46" i="132" s="1"/>
  <c r="AK51" i="132"/>
  <c r="AA167" i="132"/>
  <c r="AI167" i="132"/>
  <c r="M103" i="132"/>
  <c r="AI103" i="132"/>
  <c r="M106" i="132"/>
  <c r="AI106" i="132"/>
  <c r="M109" i="132"/>
  <c r="AI109" i="132"/>
  <c r="M112" i="132"/>
  <c r="AI112" i="132"/>
  <c r="M114" i="132"/>
  <c r="AI114" i="132"/>
  <c r="M117" i="132"/>
  <c r="AI117" i="132"/>
  <c r="M120" i="132"/>
  <c r="AI120" i="132"/>
  <c r="M123" i="132"/>
  <c r="AI123" i="132"/>
  <c r="L126" i="132"/>
  <c r="AI126" i="132"/>
  <c r="K154" i="132"/>
  <c r="AI154" i="132"/>
  <c r="Z207" i="132"/>
  <c r="AI207" i="132"/>
  <c r="K586" i="132"/>
  <c r="AI586" i="132"/>
  <c r="M588" i="132"/>
  <c r="AI588" i="132"/>
  <c r="M590" i="132"/>
  <c r="AI590" i="132"/>
  <c r="M592" i="132"/>
  <c r="AI592" i="132"/>
  <c r="M594" i="132"/>
  <c r="AI594" i="132"/>
  <c r="M596" i="132"/>
  <c r="AI596" i="132"/>
  <c r="M598" i="132"/>
  <c r="AI598" i="132"/>
  <c r="M600" i="132"/>
  <c r="AI600" i="132"/>
  <c r="M602" i="132"/>
  <c r="AI602" i="132"/>
  <c r="K607" i="132"/>
  <c r="AI607" i="132"/>
  <c r="K609" i="132"/>
  <c r="AI609" i="132"/>
  <c r="L615" i="132"/>
  <c r="AI615" i="132"/>
  <c r="L617" i="132"/>
  <c r="AI617" i="132"/>
  <c r="K642" i="132"/>
  <c r="AI642" i="132"/>
  <c r="L644" i="132"/>
  <c r="AI644" i="132"/>
  <c r="L646" i="132"/>
  <c r="AI646" i="132"/>
  <c r="L648" i="132"/>
  <c r="AI648" i="132"/>
  <c r="K212" i="132"/>
  <c r="AI212" i="132"/>
  <c r="K214" i="132"/>
  <c r="AI214" i="132"/>
  <c r="M217" i="132"/>
  <c r="AI217" i="132"/>
  <c r="M219" i="132"/>
  <c r="AI219" i="132"/>
  <c r="M221" i="132"/>
  <c r="AI221" i="132"/>
  <c r="M222" i="132"/>
  <c r="AI222" i="132"/>
  <c r="M224" i="132"/>
  <c r="AI224" i="132"/>
  <c r="M281" i="132"/>
  <c r="AI281" i="132"/>
  <c r="M284" i="132"/>
  <c r="AI284" i="132"/>
  <c r="K350" i="132"/>
  <c r="AI350" i="132"/>
  <c r="K352" i="132"/>
  <c r="AI352" i="132"/>
  <c r="K354" i="132"/>
  <c r="AI354" i="132"/>
  <c r="K356" i="132"/>
  <c r="AI356" i="132"/>
  <c r="K369" i="132"/>
  <c r="AI369" i="132"/>
  <c r="M138" i="132"/>
  <c r="AI138" i="132"/>
  <c r="I318" i="132"/>
  <c r="AM318" i="132" s="1"/>
  <c r="AI323" i="132"/>
  <c r="M334" i="132"/>
  <c r="AI334" i="132"/>
  <c r="M345" i="132"/>
  <c r="AI345" i="132"/>
  <c r="L347" i="132"/>
  <c r="AI347" i="132"/>
  <c r="L559" i="132"/>
  <c r="K407" i="132"/>
  <c r="AI407" i="132"/>
  <c r="K409" i="132"/>
  <c r="AI409" i="132"/>
  <c r="K418" i="132"/>
  <c r="AI418" i="132"/>
  <c r="K422" i="132"/>
  <c r="AI422" i="132"/>
  <c r="K425" i="132"/>
  <c r="AI425" i="132"/>
  <c r="AA228" i="132"/>
  <c r="AI228" i="132"/>
  <c r="M401" i="132"/>
  <c r="AI401" i="132"/>
  <c r="I58" i="132"/>
  <c r="AM58" i="132" s="1"/>
  <c r="I263" i="132"/>
  <c r="AM263" i="132" s="1"/>
  <c r="I236" i="132"/>
  <c r="AM236" i="132" s="1"/>
  <c r="J171" i="132"/>
  <c r="I331" i="132"/>
  <c r="AM331" i="132" s="1"/>
  <c r="J360" i="132"/>
  <c r="J363" i="132"/>
  <c r="I171" i="132"/>
  <c r="AM171" i="132" s="1"/>
  <c r="I392" i="132"/>
  <c r="AM392" i="132" s="1"/>
  <c r="AA372" i="132"/>
  <c r="I499" i="132"/>
  <c r="AM499" i="132" s="1"/>
  <c r="I198" i="132"/>
  <c r="AM198" i="132" s="1"/>
  <c r="I12" i="132"/>
  <c r="AM12" i="132" s="1"/>
  <c r="I515" i="132"/>
  <c r="AM515" i="132" s="1"/>
  <c r="J405" i="132"/>
  <c r="I209" i="132"/>
  <c r="AM209" i="132" s="1"/>
  <c r="I231" i="132"/>
  <c r="AM231" i="132" s="1"/>
  <c r="I215" i="132"/>
  <c r="AM215" i="132" s="1"/>
  <c r="J296" i="132"/>
  <c r="J255" i="132"/>
  <c r="J290" i="132"/>
  <c r="J249" i="132"/>
  <c r="I68" i="132"/>
  <c r="AM68" i="132" s="1"/>
  <c r="J34" i="132"/>
  <c r="I239" i="132"/>
  <c r="AM239" i="132" s="1"/>
  <c r="AA230" i="132"/>
  <c r="AA604" i="132"/>
  <c r="J348" i="132"/>
  <c r="J269" i="132"/>
  <c r="J318" i="132"/>
  <c r="J288" i="132"/>
  <c r="AK288" i="132" s="1"/>
  <c r="J331" i="132"/>
  <c r="I26" i="132"/>
  <c r="AM26" i="132" s="1"/>
  <c r="I99" i="132"/>
  <c r="I139" i="132"/>
  <c r="AM139" i="132" s="1"/>
  <c r="I327" i="132"/>
  <c r="AM327" i="132" s="1"/>
  <c r="I405" i="132"/>
  <c r="I414" i="132"/>
  <c r="AM414" i="132" s="1"/>
  <c r="I61" i="132"/>
  <c r="AM61" i="132" s="1"/>
  <c r="J68" i="132"/>
  <c r="J384" i="132"/>
  <c r="J263" i="132"/>
  <c r="AA323" i="132"/>
  <c r="AA318" i="132" s="1"/>
  <c r="J26" i="132"/>
  <c r="I34" i="132"/>
  <c r="AM34" i="132" s="1"/>
  <c r="I129" i="132"/>
  <c r="AM129" i="132" s="1"/>
  <c r="J139" i="132"/>
  <c r="J198" i="132"/>
  <c r="J309" i="132"/>
  <c r="J327" i="132"/>
  <c r="J335" i="132"/>
  <c r="J61" i="132"/>
  <c r="I303" i="132"/>
  <c r="AM303" i="132" s="1"/>
  <c r="I363" i="132"/>
  <c r="AM363" i="132" s="1"/>
  <c r="AA328" i="132"/>
  <c r="AA327" i="132" s="1"/>
  <c r="J303" i="132"/>
  <c r="J58" i="132"/>
  <c r="I96" i="132"/>
  <c r="AM96" i="132" s="1"/>
  <c r="J412" i="132"/>
  <c r="AK412" i="132" s="1"/>
  <c r="J423" i="132"/>
  <c r="J372" i="132"/>
  <c r="I255" i="132"/>
  <c r="AM255" i="132" s="1"/>
  <c r="I290" i="132"/>
  <c r="AM290" i="132" s="1"/>
  <c r="J392" i="132"/>
  <c r="J205" i="132"/>
  <c r="J358" i="132"/>
  <c r="I507" i="132"/>
  <c r="AM507" i="132" s="1"/>
  <c r="I372" i="132"/>
  <c r="AM372" i="132" s="1"/>
  <c r="I384" i="132"/>
  <c r="AM384" i="132" s="1"/>
  <c r="I423" i="132"/>
  <c r="AM423" i="132" s="1"/>
  <c r="I562" i="132"/>
  <c r="AM562" i="132" s="1"/>
  <c r="I530" i="132"/>
  <c r="AM530" i="132" s="1"/>
  <c r="Z516" i="132"/>
  <c r="J414" i="132"/>
  <c r="I309" i="132"/>
  <c r="AM309" i="132" s="1"/>
  <c r="K584" i="132"/>
  <c r="K605" i="132"/>
  <c r="M133" i="132"/>
  <c r="AA173" i="132"/>
  <c r="AA171" i="132" s="1"/>
  <c r="I348" i="132"/>
  <c r="AM348" i="132" s="1"/>
  <c r="I269" i="132"/>
  <c r="K523" i="132"/>
  <c r="I522" i="132"/>
  <c r="AM522" i="132" s="1"/>
  <c r="J618" i="132"/>
  <c r="AA101" i="132"/>
  <c r="AA141" i="132"/>
  <c r="AA406" i="132"/>
  <c r="AA405" i="132" s="1"/>
  <c r="AA613" i="132"/>
  <c r="AA612" i="132" s="1"/>
  <c r="AA216" i="132"/>
  <c r="J231" i="132"/>
  <c r="I285" i="132"/>
  <c r="AM285" i="132" s="1"/>
  <c r="K541" i="132"/>
  <c r="I539" i="132"/>
  <c r="AM539" i="132" s="1"/>
  <c r="K619" i="132"/>
  <c r="J99" i="132"/>
  <c r="K173" i="132"/>
  <c r="AA133" i="132"/>
  <c r="Z508" i="132"/>
  <c r="J638" i="132"/>
  <c r="J522" i="132"/>
  <c r="J129" i="132"/>
  <c r="I335" i="132"/>
  <c r="AM335" i="132" s="1"/>
  <c r="J507" i="132"/>
  <c r="J515" i="132"/>
  <c r="M639" i="132"/>
  <c r="AA286" i="132"/>
  <c r="AA285" i="132" s="1"/>
  <c r="J562" i="132"/>
  <c r="J530" i="132"/>
  <c r="I554" i="132"/>
  <c r="AM554" i="132" s="1"/>
  <c r="G706" i="132"/>
  <c r="G725" i="132" s="1"/>
  <c r="Z555" i="132"/>
  <c r="J96" i="132"/>
  <c r="AA199" i="132"/>
  <c r="AA198" i="132" s="1"/>
  <c r="Z206" i="132"/>
  <c r="AA639" i="132"/>
  <c r="AA62" i="132"/>
  <c r="J229" i="132"/>
  <c r="AK229" i="132" s="1"/>
  <c r="J236" i="132"/>
  <c r="M651" i="132"/>
  <c r="J583" i="132"/>
  <c r="J604" i="132"/>
  <c r="J612" i="132"/>
  <c r="J215" i="132"/>
  <c r="I296" i="132"/>
  <c r="AM296" i="132" s="1"/>
  <c r="AA363" i="132"/>
  <c r="I492" i="132"/>
  <c r="AA563" i="132"/>
  <c r="AA562" i="132" s="1"/>
  <c r="J12" i="132"/>
  <c r="AA270" i="132"/>
  <c r="K424" i="132"/>
  <c r="M406" i="132"/>
  <c r="M405" i="132" s="1"/>
  <c r="K310" i="132"/>
  <c r="M332" i="132"/>
  <c r="I360" i="132"/>
  <c r="AM360" i="132" s="1"/>
  <c r="L328" i="132"/>
  <c r="K264" i="132"/>
  <c r="M270" i="132"/>
  <c r="K297" i="132"/>
  <c r="K240" i="132"/>
  <c r="K375" i="132"/>
  <c r="K230" i="132"/>
  <c r="K229" i="132" s="1"/>
  <c r="K232" i="132"/>
  <c r="L210" i="132"/>
  <c r="M227" i="132"/>
  <c r="K204" i="132"/>
  <c r="K59" i="132"/>
  <c r="AA97" i="132"/>
  <c r="AA96" i="132" s="1"/>
  <c r="M101" i="132"/>
  <c r="M131" i="132"/>
  <c r="L62" i="132"/>
  <c r="AA152" i="132"/>
  <c r="L152" i="132"/>
  <c r="AA118" i="132"/>
  <c r="M118" i="132"/>
  <c r="K35" i="132"/>
  <c r="Z596" i="132"/>
  <c r="Z588" i="132"/>
  <c r="K598" i="132"/>
  <c r="K657" i="132"/>
  <c r="AA217" i="132"/>
  <c r="J559" i="132"/>
  <c r="L332" i="132"/>
  <c r="K558" i="132"/>
  <c r="M649" i="132"/>
  <c r="K590" i="132"/>
  <c r="L333" i="132"/>
  <c r="AA556" i="132"/>
  <c r="K594" i="132"/>
  <c r="K602" i="132"/>
  <c r="J210" i="132"/>
  <c r="K556" i="132"/>
  <c r="Z592" i="132"/>
  <c r="M560" i="132"/>
  <c r="Z136" i="132"/>
  <c r="Z600" i="132"/>
  <c r="L275" i="132"/>
  <c r="AA403" i="132"/>
  <c r="Z274" i="132"/>
  <c r="J653" i="132"/>
  <c r="K238" i="132"/>
  <c r="L213" i="132"/>
  <c r="Z66" i="132"/>
  <c r="AA120" i="132"/>
  <c r="AA147" i="132"/>
  <c r="Z147" i="132"/>
  <c r="K14" i="132"/>
  <c r="L14" i="132"/>
  <c r="L39" i="132"/>
  <c r="Z138" i="132"/>
  <c r="AA59" i="132"/>
  <c r="Z59" i="132"/>
  <c r="Z58" i="132" s="1"/>
  <c r="M206" i="132"/>
  <c r="L206" i="132"/>
  <c r="K38" i="132"/>
  <c r="L38" i="132"/>
  <c r="L21" i="132"/>
  <c r="J579" i="132"/>
  <c r="AK579" i="132" s="1"/>
  <c r="K585" i="132"/>
  <c r="L593" i="132"/>
  <c r="L601" i="132"/>
  <c r="L87" i="132"/>
  <c r="L79" i="132"/>
  <c r="L274" i="132"/>
  <c r="M403" i="132"/>
  <c r="K659" i="132"/>
  <c r="L587" i="132"/>
  <c r="L211" i="132"/>
  <c r="Z275" i="132"/>
  <c r="AA404" i="132"/>
  <c r="L18" i="132"/>
  <c r="Z511" i="132"/>
  <c r="L66" i="132"/>
  <c r="J368" i="132"/>
  <c r="L60" i="132"/>
  <c r="J582" i="132"/>
  <c r="L589" i="132"/>
  <c r="L597" i="132"/>
  <c r="K216" i="132"/>
  <c r="K615" i="132"/>
  <c r="J367" i="132"/>
  <c r="M404" i="132"/>
  <c r="M615" i="132"/>
  <c r="K17" i="132"/>
  <c r="L19" i="132"/>
  <c r="L23" i="132"/>
  <c r="K23" i="132"/>
  <c r="Z569" i="132"/>
  <c r="Z571" i="132"/>
  <c r="Z573" i="132"/>
  <c r="Z575" i="132"/>
  <c r="Z577" i="132"/>
  <c r="M244" i="132"/>
  <c r="L244" i="132"/>
  <c r="M246" i="132"/>
  <c r="L246" i="132"/>
  <c r="L15" i="132"/>
  <c r="K57" i="132"/>
  <c r="K54" i="132" s="1"/>
  <c r="K43" i="132"/>
  <c r="Z45" i="132"/>
  <c r="L46" i="132"/>
  <c r="Z47" i="132"/>
  <c r="L48" i="132"/>
  <c r="Z49" i="132"/>
  <c r="Z51" i="132"/>
  <c r="L59" i="132"/>
  <c r="L97" i="132"/>
  <c r="L167" i="132"/>
  <c r="Z101" i="132"/>
  <c r="Z103" i="132"/>
  <c r="K152" i="132"/>
  <c r="Z154" i="132"/>
  <c r="K158" i="132"/>
  <c r="K162" i="132"/>
  <c r="L172" i="132"/>
  <c r="L199" i="132"/>
  <c r="L202" i="132"/>
  <c r="L203" i="132"/>
  <c r="K208" i="132"/>
  <c r="K320" i="132"/>
  <c r="K322" i="132"/>
  <c r="L329" i="132"/>
  <c r="L334" i="132"/>
  <c r="L345" i="132"/>
  <c r="M347" i="132"/>
  <c r="K509" i="132"/>
  <c r="K513" i="132"/>
  <c r="K516" i="132"/>
  <c r="K520" i="132"/>
  <c r="AA558" i="132"/>
  <c r="AA559" i="132"/>
  <c r="K415" i="132"/>
  <c r="K419" i="132"/>
  <c r="I579" i="132"/>
  <c r="AM579" i="132" s="1"/>
  <c r="I582" i="132"/>
  <c r="AM582" i="132" s="1"/>
  <c r="L584" i="132"/>
  <c r="L586" i="132"/>
  <c r="K588" i="132"/>
  <c r="Z589" i="132"/>
  <c r="L591" i="132"/>
  <c r="K592" i="132"/>
  <c r="Z593" i="132"/>
  <c r="L595" i="132"/>
  <c r="K596" i="132"/>
  <c r="Z597" i="132"/>
  <c r="L599" i="132"/>
  <c r="K600" i="132"/>
  <c r="Z601" i="132"/>
  <c r="L603" i="132"/>
  <c r="Z603" i="132"/>
  <c r="L607" i="132"/>
  <c r="Z607" i="132"/>
  <c r="K85" i="132"/>
  <c r="K89" i="132"/>
  <c r="K91" i="132"/>
  <c r="K93" i="132"/>
  <c r="K64" i="132"/>
  <c r="K73" i="132"/>
  <c r="L77" i="132"/>
  <c r="K220" i="132"/>
  <c r="K235" i="132"/>
  <c r="K298" i="132"/>
  <c r="K300" i="132"/>
  <c r="K302" i="132"/>
  <c r="K280" i="132"/>
  <c r="K281" i="132"/>
  <c r="K282" i="132"/>
  <c r="K284" i="132"/>
  <c r="K283" i="132"/>
  <c r="Z350" i="132"/>
  <c r="Z352" i="132"/>
  <c r="Z354" i="132"/>
  <c r="Z356" i="132"/>
  <c r="K365" i="132"/>
  <c r="M382" i="132"/>
  <c r="K388" i="132"/>
  <c r="K390" i="132"/>
  <c r="K287" i="132"/>
  <c r="K493" i="132"/>
  <c r="K505" i="132"/>
  <c r="K613" i="132"/>
  <c r="M613" i="132"/>
  <c r="L614" i="132"/>
  <c r="L616" i="132"/>
  <c r="K617" i="132"/>
  <c r="M617" i="132"/>
  <c r="L24" i="132"/>
  <c r="Z56" i="132"/>
  <c r="Z54" i="132" s="1"/>
  <c r="L57" i="132"/>
  <c r="L54" i="132" s="1"/>
  <c r="K27" i="132"/>
  <c r="K29" i="132"/>
  <c r="K31" i="132"/>
  <c r="L35" i="132"/>
  <c r="K39" i="132"/>
  <c r="L40" i="132"/>
  <c r="L43" i="132"/>
  <c r="L45" i="132"/>
  <c r="Z46" i="132"/>
  <c r="L47" i="132"/>
  <c r="Z48" i="132"/>
  <c r="L49" i="132"/>
  <c r="L51" i="132"/>
  <c r="K60" i="132"/>
  <c r="K97" i="132"/>
  <c r="L98" i="132"/>
  <c r="K167" i="132"/>
  <c r="L168" i="132"/>
  <c r="Z106" i="132"/>
  <c r="Z107" i="132"/>
  <c r="Z109" i="132"/>
  <c r="Z111" i="132"/>
  <c r="Z112" i="132"/>
  <c r="Z113" i="132"/>
  <c r="Z114" i="132"/>
  <c r="Z115" i="132"/>
  <c r="Z117" i="132"/>
  <c r="Z118" i="132"/>
  <c r="Z120" i="132"/>
  <c r="Z122" i="132"/>
  <c r="Z123" i="132"/>
  <c r="Z124" i="132"/>
  <c r="K130" i="132"/>
  <c r="K131" i="132"/>
  <c r="K132" i="132"/>
  <c r="K133" i="132"/>
  <c r="Z135" i="132"/>
  <c r="L138" i="132"/>
  <c r="Z141" i="132"/>
  <c r="Z142" i="132"/>
  <c r="Z143" i="132"/>
  <c r="Z144" i="132"/>
  <c r="Z145" i="132"/>
  <c r="Z148" i="132"/>
  <c r="Z149" i="132"/>
  <c r="Z152" i="132"/>
  <c r="L154" i="132"/>
  <c r="K160" i="132"/>
  <c r="K164" i="132"/>
  <c r="L173" i="132"/>
  <c r="L174" i="132"/>
  <c r="L200" i="132"/>
  <c r="L201" i="132"/>
  <c r="L204" i="132"/>
  <c r="K206" i="132"/>
  <c r="L207" i="132"/>
  <c r="L208" i="132"/>
  <c r="K314" i="132"/>
  <c r="K316" i="132"/>
  <c r="L319" i="132"/>
  <c r="L320" i="132"/>
  <c r="L321" i="132"/>
  <c r="L322" i="132"/>
  <c r="L323" i="132"/>
  <c r="K328" i="132"/>
  <c r="K330" i="132"/>
  <c r="K332" i="132"/>
  <c r="K333" i="132"/>
  <c r="K340" i="132"/>
  <c r="K342" i="132"/>
  <c r="K346" i="132"/>
  <c r="Z518" i="132"/>
  <c r="M557" i="132"/>
  <c r="K561" i="132"/>
  <c r="Z417" i="132"/>
  <c r="Z421" i="132"/>
  <c r="J569" i="132"/>
  <c r="AK569" i="132" s="1"/>
  <c r="J570" i="132"/>
  <c r="I570" i="132"/>
  <c r="AM570" i="132" s="1"/>
  <c r="J571" i="132"/>
  <c r="AK571" i="132" s="1"/>
  <c r="J572" i="132"/>
  <c r="I572" i="132"/>
  <c r="AM572" i="132" s="1"/>
  <c r="J573" i="132"/>
  <c r="AK573" i="132" s="1"/>
  <c r="J574" i="132"/>
  <c r="I574" i="132"/>
  <c r="AM574" i="132" s="1"/>
  <c r="J575" i="132"/>
  <c r="AK575" i="132" s="1"/>
  <c r="J576" i="132"/>
  <c r="AK576" i="132" s="1"/>
  <c r="I576" i="132"/>
  <c r="AM576" i="132" s="1"/>
  <c r="J577" i="132"/>
  <c r="AK577" i="132" s="1"/>
  <c r="J581" i="132"/>
  <c r="L585" i="132"/>
  <c r="Z586" i="132"/>
  <c r="L588" i="132"/>
  <c r="K589" i="132"/>
  <c r="L590" i="132"/>
  <c r="Z590" i="132"/>
  <c r="K591" i="132"/>
  <c r="Z591" i="132"/>
  <c r="L592" i="132"/>
  <c r="K593" i="132"/>
  <c r="L594" i="132"/>
  <c r="Z594" i="132"/>
  <c r="K595" i="132"/>
  <c r="Z595" i="132"/>
  <c r="L596" i="132"/>
  <c r="K597" i="132"/>
  <c r="L598" i="132"/>
  <c r="Z598" i="132"/>
  <c r="K599" i="132"/>
  <c r="Z599" i="132"/>
  <c r="L600" i="132"/>
  <c r="K601" i="132"/>
  <c r="L602" i="132"/>
  <c r="Z602" i="132"/>
  <c r="K603" i="132"/>
  <c r="L606" i="132"/>
  <c r="Z606" i="132"/>
  <c r="L608" i="132"/>
  <c r="Z608" i="132"/>
  <c r="M645" i="132"/>
  <c r="AA646" i="132"/>
  <c r="Z648" i="132"/>
  <c r="K649" i="132"/>
  <c r="L85" i="132"/>
  <c r="K87" i="132"/>
  <c r="L89" i="132"/>
  <c r="Z89" i="132"/>
  <c r="L91" i="132"/>
  <c r="Z91" i="132"/>
  <c r="L93" i="132"/>
  <c r="K62" i="132"/>
  <c r="L64" i="132"/>
  <c r="K66" i="132"/>
  <c r="K70" i="132"/>
  <c r="L76" i="132"/>
  <c r="L78" i="132"/>
  <c r="L212" i="132"/>
  <c r="L214" i="132"/>
  <c r="L216" i="132"/>
  <c r="K219" i="132"/>
  <c r="AA220" i="132"/>
  <c r="AA221" i="132"/>
  <c r="J244" i="132"/>
  <c r="J245" i="132"/>
  <c r="J246" i="132"/>
  <c r="J247" i="132"/>
  <c r="L280" i="132"/>
  <c r="L281" i="132"/>
  <c r="L282" i="132"/>
  <c r="L284" i="132"/>
  <c r="L283" i="132"/>
  <c r="K304" i="132"/>
  <c r="K306" i="132"/>
  <c r="K308" i="132"/>
  <c r="Z349" i="132"/>
  <c r="Z351" i="132"/>
  <c r="Z353" i="132"/>
  <c r="Z355" i="132"/>
  <c r="Z357" i="132"/>
  <c r="K359" i="132"/>
  <c r="K358" i="132" s="1"/>
  <c r="K362" i="132"/>
  <c r="Z364" i="132"/>
  <c r="Z365" i="132"/>
  <c r="Z371" i="132"/>
  <c r="Z366" i="132" s="1"/>
  <c r="K256" i="132"/>
  <c r="K258" i="132"/>
  <c r="K260" i="132"/>
  <c r="K262" i="132"/>
  <c r="K252" i="132"/>
  <c r="I253" i="132"/>
  <c r="AM253" i="132" s="1"/>
  <c r="K274" i="132"/>
  <c r="K275" i="132"/>
  <c r="K276" i="132"/>
  <c r="L278" i="132"/>
  <c r="L287" i="132"/>
  <c r="K289" i="132"/>
  <c r="K288" i="132" s="1"/>
  <c r="K394" i="132"/>
  <c r="K396" i="132"/>
  <c r="K398" i="132"/>
  <c r="K400" i="132"/>
  <c r="K403" i="132"/>
  <c r="K404" i="132"/>
  <c r="K564" i="132"/>
  <c r="K565" i="132"/>
  <c r="L613" i="132"/>
  <c r="K614" i="132"/>
  <c r="K616" i="132"/>
  <c r="K652" i="132"/>
  <c r="K655" i="132"/>
  <c r="K661" i="132"/>
  <c r="L653" i="132"/>
  <c r="K653" i="132"/>
  <c r="M653" i="132"/>
  <c r="L652" i="132"/>
  <c r="L655" i="132"/>
  <c r="L657" i="132"/>
  <c r="L659" i="132"/>
  <c r="L661" i="132"/>
  <c r="L663" i="132"/>
  <c r="L665" i="132"/>
  <c r="K651" i="132"/>
  <c r="K654" i="132"/>
  <c r="K656" i="132"/>
  <c r="K658" i="132"/>
  <c r="K660" i="132"/>
  <c r="K662" i="132"/>
  <c r="M663" i="132"/>
  <c r="K664" i="132"/>
  <c r="M665" i="132"/>
  <c r="K666" i="132"/>
  <c r="L651" i="132"/>
  <c r="L654" i="132"/>
  <c r="L656" i="132"/>
  <c r="L658" i="132"/>
  <c r="L660" i="132"/>
  <c r="L662" i="132"/>
  <c r="L664" i="132"/>
  <c r="L666" i="132"/>
  <c r="Z644" i="132"/>
  <c r="AA644" i="132"/>
  <c r="AA648" i="132"/>
  <c r="Z649" i="132"/>
  <c r="Z645" i="132"/>
  <c r="M647" i="132"/>
  <c r="K646" i="132"/>
  <c r="K645" i="132"/>
  <c r="Z613" i="132"/>
  <c r="Z616" i="132"/>
  <c r="Z614" i="132"/>
  <c r="Z615" i="132"/>
  <c r="Z617" i="132"/>
  <c r="K533" i="132"/>
  <c r="K532" i="132"/>
  <c r="K563" i="132"/>
  <c r="L563" i="132"/>
  <c r="L564" i="132"/>
  <c r="L565" i="132"/>
  <c r="M563" i="132"/>
  <c r="M564" i="132"/>
  <c r="M565" i="132"/>
  <c r="Z563" i="132"/>
  <c r="Z564" i="132"/>
  <c r="Z565" i="132"/>
  <c r="K495" i="132"/>
  <c r="K497" i="132"/>
  <c r="K500" i="132"/>
  <c r="K502" i="132"/>
  <c r="K504" i="132"/>
  <c r="K506" i="132"/>
  <c r="K386" i="132"/>
  <c r="K385" i="132"/>
  <c r="K387" i="132"/>
  <c r="K389" i="132"/>
  <c r="K391" i="132"/>
  <c r="K257" i="132"/>
  <c r="K259" i="132"/>
  <c r="K261" i="132"/>
  <c r="K273" i="132"/>
  <c r="K277" i="132"/>
  <c r="K286" i="132"/>
  <c r="M287" i="132"/>
  <c r="Z287" i="132"/>
  <c r="K393" i="132"/>
  <c r="K395" i="132"/>
  <c r="K397" i="132"/>
  <c r="K399" i="132"/>
  <c r="K401" i="132"/>
  <c r="K402" i="132"/>
  <c r="K265" i="132"/>
  <c r="K267" i="132"/>
  <c r="K291" i="132"/>
  <c r="K293" i="132"/>
  <c r="K250" i="132"/>
  <c r="L270" i="132"/>
  <c r="Z270" i="132"/>
  <c r="L271" i="132"/>
  <c r="L286" i="132"/>
  <c r="M271" i="132"/>
  <c r="M286" i="132"/>
  <c r="Z286" i="132"/>
  <c r="K367" i="132"/>
  <c r="K368" i="132"/>
  <c r="AA349" i="132"/>
  <c r="L350" i="132"/>
  <c r="AA351" i="132"/>
  <c r="L352" i="132"/>
  <c r="AA353" i="132"/>
  <c r="L354" i="132"/>
  <c r="AA355" i="132"/>
  <c r="L356" i="132"/>
  <c r="AA357" i="132"/>
  <c r="L365" i="132"/>
  <c r="I370" i="132"/>
  <c r="AM370" i="132" s="1"/>
  <c r="AA371" i="132"/>
  <c r="AA366" i="132" s="1"/>
  <c r="K376" i="132"/>
  <c r="M380" i="132"/>
  <c r="K349" i="132"/>
  <c r="M350" i="132"/>
  <c r="K351" i="132"/>
  <c r="M352" i="132"/>
  <c r="K353" i="132"/>
  <c r="M354" i="132"/>
  <c r="K355" i="132"/>
  <c r="M356" i="132"/>
  <c r="K357" i="132"/>
  <c r="K361" i="132"/>
  <c r="N360" i="132" s="1"/>
  <c r="K364" i="132"/>
  <c r="M365" i="132"/>
  <c r="K371" i="132"/>
  <c r="K383" i="132"/>
  <c r="L349" i="132"/>
  <c r="L351" i="132"/>
  <c r="L353" i="132"/>
  <c r="L355" i="132"/>
  <c r="L357" i="132"/>
  <c r="L364" i="132"/>
  <c r="L371" i="132"/>
  <c r="L366" i="132" s="1"/>
  <c r="M383" i="132"/>
  <c r="M349" i="132"/>
  <c r="M351" i="132"/>
  <c r="M353" i="132"/>
  <c r="M355" i="132"/>
  <c r="M357" i="132"/>
  <c r="M364" i="132"/>
  <c r="M371" i="132"/>
  <c r="M366" i="132" s="1"/>
  <c r="M216" i="132"/>
  <c r="K218" i="132"/>
  <c r="AA219" i="132"/>
  <c r="L220" i="132"/>
  <c r="AA245" i="132"/>
  <c r="Z245" i="132"/>
  <c r="L247" i="132"/>
  <c r="K247" i="132"/>
  <c r="M247" i="132"/>
  <c r="Z216" i="132"/>
  <c r="K217" i="132"/>
  <c r="AA218" i="132"/>
  <c r="L219" i="132"/>
  <c r="K221" i="132"/>
  <c r="L218" i="132"/>
  <c r="L245" i="132"/>
  <c r="K245" i="132"/>
  <c r="M245" i="132"/>
  <c r="AA247" i="132"/>
  <c r="Z247" i="132"/>
  <c r="L217" i="132"/>
  <c r="L221" i="132"/>
  <c r="L222" i="132"/>
  <c r="K222" i="132"/>
  <c r="L223" i="132"/>
  <c r="K223" i="132"/>
  <c r="Z222" i="132"/>
  <c r="Z223" i="132"/>
  <c r="Z224" i="132"/>
  <c r="Z225" i="132"/>
  <c r="Z226" i="132"/>
  <c r="Z227" i="132"/>
  <c r="Z228" i="132"/>
  <c r="L230" i="132"/>
  <c r="L229" i="132" s="1"/>
  <c r="Z238" i="132"/>
  <c r="K244" i="132"/>
  <c r="K246" i="132"/>
  <c r="K224" i="132"/>
  <c r="K225" i="132"/>
  <c r="K226" i="132"/>
  <c r="K227" i="132"/>
  <c r="K228" i="132"/>
  <c r="M230" i="132"/>
  <c r="M229" i="132" s="1"/>
  <c r="AA238" i="132"/>
  <c r="AI244" i="132"/>
  <c r="AI246" i="132"/>
  <c r="L224" i="132"/>
  <c r="L225" i="132"/>
  <c r="L226" i="132"/>
  <c r="L227" i="132"/>
  <c r="L228" i="132"/>
  <c r="Z230" i="132"/>
  <c r="L238" i="132"/>
  <c r="AA210" i="132"/>
  <c r="AA209" i="132" s="1"/>
  <c r="Z210" i="132"/>
  <c r="M211" i="132"/>
  <c r="M212" i="132"/>
  <c r="M213" i="132"/>
  <c r="M214" i="132"/>
  <c r="M210" i="132"/>
  <c r="K210" i="132"/>
  <c r="Z211" i="132"/>
  <c r="Z212" i="132"/>
  <c r="Z213" i="132"/>
  <c r="Z214" i="132"/>
  <c r="K75" i="132"/>
  <c r="M76" i="132"/>
  <c r="Z76" i="132"/>
  <c r="M78" i="132"/>
  <c r="Z78" i="132"/>
  <c r="AA76" i="132"/>
  <c r="AA72" i="132" s="1"/>
  <c r="M77" i="132"/>
  <c r="Z77" i="132"/>
  <c r="M79" i="132"/>
  <c r="Z79" i="132"/>
  <c r="K69" i="132"/>
  <c r="K71" i="132"/>
  <c r="M62" i="132"/>
  <c r="Z62" i="132"/>
  <c r="K63" i="132"/>
  <c r="M64" i="132"/>
  <c r="Z64" i="132"/>
  <c r="K65" i="132"/>
  <c r="M66" i="132"/>
  <c r="K67" i="132"/>
  <c r="L63" i="132"/>
  <c r="L65" i="132"/>
  <c r="L67" i="132"/>
  <c r="M63" i="132"/>
  <c r="Z63" i="132"/>
  <c r="M65" i="132"/>
  <c r="Z65" i="132"/>
  <c r="M67" i="132"/>
  <c r="Z67" i="132"/>
  <c r="K81" i="132"/>
  <c r="K83" i="132"/>
  <c r="K84" i="132"/>
  <c r="M85" i="132"/>
  <c r="Z85" i="132"/>
  <c r="K86" i="132"/>
  <c r="M87" i="132"/>
  <c r="Z87" i="132"/>
  <c r="K88" i="132"/>
  <c r="M89" i="132"/>
  <c r="K90" i="132"/>
  <c r="M91" i="132"/>
  <c r="K92" i="132"/>
  <c r="M93" i="132"/>
  <c r="Z93" i="132"/>
  <c r="K94" i="132"/>
  <c r="L81" i="132"/>
  <c r="L83" i="132"/>
  <c r="L84" i="132"/>
  <c r="L86" i="132"/>
  <c r="L88" i="132"/>
  <c r="L90" i="132"/>
  <c r="L92" i="132"/>
  <c r="L94" i="132"/>
  <c r="M81" i="132"/>
  <c r="Z81" i="132"/>
  <c r="M83" i="132"/>
  <c r="Z83" i="132"/>
  <c r="M84" i="132"/>
  <c r="Z84" i="132"/>
  <c r="M86" i="132"/>
  <c r="Z86" i="132"/>
  <c r="M88" i="132"/>
  <c r="Z88" i="132"/>
  <c r="M90" i="132"/>
  <c r="Z90" i="132"/>
  <c r="M92" i="132"/>
  <c r="Z92" i="132"/>
  <c r="M94" i="132"/>
  <c r="Z94" i="132"/>
  <c r="AA55" i="132"/>
  <c r="AA60" i="132"/>
  <c r="K128" i="132"/>
  <c r="L135" i="132"/>
  <c r="K135" i="132"/>
  <c r="M59" i="132"/>
  <c r="L169" i="132"/>
  <c r="K169" i="132"/>
  <c r="M135" i="132"/>
  <c r="L136" i="132"/>
  <c r="K136" i="132"/>
  <c r="AA57" i="132"/>
  <c r="K16" i="132"/>
  <c r="K20" i="132"/>
  <c r="K25" i="132"/>
  <c r="K37" i="132"/>
  <c r="M169" i="132"/>
  <c r="M136" i="132"/>
  <c r="M57" i="132"/>
  <c r="M54" i="132" s="1"/>
  <c r="K45" i="132"/>
  <c r="K46" i="132"/>
  <c r="K47" i="132"/>
  <c r="K48" i="132"/>
  <c r="K49" i="132"/>
  <c r="K51" i="132"/>
  <c r="M60" i="132"/>
  <c r="Z130" i="132"/>
  <c r="Z131" i="132"/>
  <c r="Z132" i="132"/>
  <c r="Z133" i="132"/>
  <c r="K138" i="132"/>
  <c r="L148" i="132"/>
  <c r="L153" i="132"/>
  <c r="Z153" i="132"/>
  <c r="K172" i="132"/>
  <c r="M173" i="132"/>
  <c r="Z173" i="132"/>
  <c r="K174" i="132"/>
  <c r="K199" i="132"/>
  <c r="M200" i="132"/>
  <c r="Z200" i="132"/>
  <c r="K201" i="132"/>
  <c r="M202" i="132"/>
  <c r="Z202" i="132"/>
  <c r="K203" i="132"/>
  <c r="M204" i="132"/>
  <c r="Z204" i="132"/>
  <c r="M207" i="132"/>
  <c r="M208" i="132"/>
  <c r="M97" i="132"/>
  <c r="M98" i="132"/>
  <c r="M167" i="132"/>
  <c r="M168" i="132"/>
  <c r="K101" i="132"/>
  <c r="K103" i="132"/>
  <c r="K106" i="132"/>
  <c r="K107" i="132"/>
  <c r="K109" i="132"/>
  <c r="K111" i="132"/>
  <c r="K112" i="132"/>
  <c r="K113" i="132"/>
  <c r="K114" i="132"/>
  <c r="K115" i="132"/>
  <c r="K117" i="132"/>
  <c r="K118" i="132"/>
  <c r="K120" i="132"/>
  <c r="K122" i="132"/>
  <c r="K123" i="132"/>
  <c r="K124" i="132"/>
  <c r="K126" i="132"/>
  <c r="Z169" i="132"/>
  <c r="L130" i="132"/>
  <c r="L131" i="132"/>
  <c r="L132" i="132"/>
  <c r="L133" i="132"/>
  <c r="K147" i="132"/>
  <c r="M148" i="132"/>
  <c r="K149" i="132"/>
  <c r="K151" i="132"/>
  <c r="K157" i="132"/>
  <c r="K159" i="132"/>
  <c r="K161" i="132"/>
  <c r="K163" i="132"/>
  <c r="K165" i="132"/>
  <c r="Z97" i="132"/>
  <c r="Z98" i="132"/>
  <c r="Z167" i="132"/>
  <c r="Z168" i="132"/>
  <c r="L101" i="132"/>
  <c r="L103" i="132"/>
  <c r="L106" i="132"/>
  <c r="L107" i="132"/>
  <c r="L109" i="132"/>
  <c r="L111" i="132"/>
  <c r="L112" i="132"/>
  <c r="L113" i="132"/>
  <c r="L114" i="132"/>
  <c r="L115" i="132"/>
  <c r="L117" i="132"/>
  <c r="L118" i="132"/>
  <c r="L120" i="132"/>
  <c r="L122" i="132"/>
  <c r="L123" i="132"/>
  <c r="L124" i="132"/>
  <c r="L147" i="132"/>
  <c r="L149" i="132"/>
  <c r="L151" i="132"/>
  <c r="Z151" i="132"/>
  <c r="M172" i="132"/>
  <c r="Z172" i="132"/>
  <c r="M174" i="132"/>
  <c r="Z174" i="132"/>
  <c r="M199" i="132"/>
  <c r="Z199" i="132"/>
  <c r="M201" i="132"/>
  <c r="Z201" i="132"/>
  <c r="M203" i="132"/>
  <c r="Z203" i="132"/>
  <c r="K141" i="132"/>
  <c r="K142" i="132"/>
  <c r="K143" i="132"/>
  <c r="K144" i="132"/>
  <c r="K145" i="132"/>
  <c r="M147" i="132"/>
  <c r="M149" i="132"/>
  <c r="K311" i="132"/>
  <c r="K313" i="132"/>
  <c r="K317" i="132"/>
  <c r="K319" i="132"/>
  <c r="M320" i="132"/>
  <c r="Z320" i="132"/>
  <c r="K321" i="132"/>
  <c r="M322" i="132"/>
  <c r="Z322" i="132"/>
  <c r="K323" i="132"/>
  <c r="M328" i="132"/>
  <c r="Z328" i="132"/>
  <c r="K329" i="132"/>
  <c r="M330" i="132"/>
  <c r="Z330" i="132"/>
  <c r="M333" i="132"/>
  <c r="Z333" i="132"/>
  <c r="Z331" i="132" s="1"/>
  <c r="K334" i="132"/>
  <c r="K337" i="132"/>
  <c r="K339" i="132"/>
  <c r="K341" i="132"/>
  <c r="K343" i="132"/>
  <c r="K345" i="132"/>
  <c r="M346" i="132"/>
  <c r="K347" i="132"/>
  <c r="M319" i="132"/>
  <c r="Z319" i="132"/>
  <c r="M321" i="132"/>
  <c r="Z321" i="132"/>
  <c r="M323" i="132"/>
  <c r="Z323" i="132"/>
  <c r="M329" i="132"/>
  <c r="Z329" i="132"/>
  <c r="K508" i="132"/>
  <c r="Z510" i="132"/>
  <c r="K514" i="132"/>
  <c r="K510" i="132"/>
  <c r="K511" i="132"/>
  <c r="Z514" i="132"/>
  <c r="Z517" i="132"/>
  <c r="K518" i="132"/>
  <c r="Z521" i="132"/>
  <c r="AA555" i="132"/>
  <c r="L556" i="132"/>
  <c r="M559" i="132"/>
  <c r="K559" i="132"/>
  <c r="L560" i="132"/>
  <c r="L555" i="132"/>
  <c r="AA570" i="132"/>
  <c r="Z570" i="132"/>
  <c r="AA572" i="132"/>
  <c r="Z572" i="132"/>
  <c r="AA574" i="132"/>
  <c r="Z574" i="132"/>
  <c r="AA576" i="132"/>
  <c r="Z576" i="132"/>
  <c r="K555" i="132"/>
  <c r="AA557" i="132"/>
  <c r="L558" i="132"/>
  <c r="AA561" i="132"/>
  <c r="K517" i="132"/>
  <c r="K521" i="132"/>
  <c r="M555" i="132"/>
  <c r="L557" i="132"/>
  <c r="AA560" i="132"/>
  <c r="Z406" i="132"/>
  <c r="Z405" i="132" s="1"/>
  <c r="AA569" i="132"/>
  <c r="AA571" i="132"/>
  <c r="AA573" i="132"/>
  <c r="AA575" i="132"/>
  <c r="AA577" i="132"/>
  <c r="J578" i="132"/>
  <c r="AA578" i="132"/>
  <c r="AA582" i="132"/>
  <c r="K406" i="132"/>
  <c r="K413" i="132"/>
  <c r="K412" i="132" s="1"/>
  <c r="K416" i="132"/>
  <c r="K420" i="132"/>
  <c r="I569" i="132"/>
  <c r="I571" i="132"/>
  <c r="I573" i="132"/>
  <c r="I575" i="132"/>
  <c r="I577" i="132"/>
  <c r="AA581" i="132"/>
  <c r="L406" i="132"/>
  <c r="L405" i="132" s="1"/>
  <c r="K417" i="132"/>
  <c r="K421" i="132"/>
  <c r="I578" i="132"/>
  <c r="Z578" i="132"/>
  <c r="AA579" i="132"/>
  <c r="I581" i="132"/>
  <c r="M584" i="132"/>
  <c r="M586" i="132"/>
  <c r="M587" i="132"/>
  <c r="AA588" i="132"/>
  <c r="AA589" i="132"/>
  <c r="AA590" i="132"/>
  <c r="AA591" i="132"/>
  <c r="AA592" i="132"/>
  <c r="AA593" i="132"/>
  <c r="AA594" i="132"/>
  <c r="AA595" i="132"/>
  <c r="AA596" i="132"/>
  <c r="AA597" i="132"/>
  <c r="AA598" i="132"/>
  <c r="AA599" i="132"/>
  <c r="AA600" i="132"/>
  <c r="AA601" i="132"/>
  <c r="AA602" i="132"/>
  <c r="AA603" i="132"/>
  <c r="M606" i="132"/>
  <c r="M607" i="132"/>
  <c r="M608" i="132"/>
  <c r="K639" i="132"/>
  <c r="L639" i="132"/>
  <c r="K640" i="132"/>
  <c r="M640" i="132"/>
  <c r="L640" i="132"/>
  <c r="L641" i="132"/>
  <c r="L642" i="132"/>
  <c r="L643" i="132"/>
  <c r="M644" i="132"/>
  <c r="AA647" i="132"/>
  <c r="M648" i="132"/>
  <c r="M641" i="132"/>
  <c r="M642" i="132"/>
  <c r="M643" i="132"/>
  <c r="Z639" i="132"/>
  <c r="Z640" i="132"/>
  <c r="Z641" i="132"/>
  <c r="Z642" i="132"/>
  <c r="Z643" i="132"/>
  <c r="M646" i="132"/>
  <c r="K647" i="132"/>
  <c r="K644" i="132"/>
  <c r="K648" i="132"/>
  <c r="AH289" i="132" l="1"/>
  <c r="AH352" i="132"/>
  <c r="AH397" i="132"/>
  <c r="E698" i="132"/>
  <c r="E731" i="132" s="1"/>
  <c r="I568" i="132"/>
  <c r="I567" i="132" s="1"/>
  <c r="AH660" i="132"/>
  <c r="AM650" i="132"/>
  <c r="I611" i="132"/>
  <c r="AM611" i="132" s="1"/>
  <c r="AM604" i="132"/>
  <c r="AM405" i="132"/>
  <c r="C698" i="132"/>
  <c r="AM269" i="132"/>
  <c r="AM99" i="132"/>
  <c r="C696" i="132"/>
  <c r="K696" i="132" s="1"/>
  <c r="AH537" i="132"/>
  <c r="AH636" i="132"/>
  <c r="AH621" i="132"/>
  <c r="AH529" i="132"/>
  <c r="AG504" i="132"/>
  <c r="AH504" i="132"/>
  <c r="AL506" i="132"/>
  <c r="AH545" i="132"/>
  <c r="AH664" i="132"/>
  <c r="AH656" i="132"/>
  <c r="AH619" i="132"/>
  <c r="AH278" i="132"/>
  <c r="AH51" i="132"/>
  <c r="AH252" i="132"/>
  <c r="AH203" i="132"/>
  <c r="AL343" i="132"/>
  <c r="AH228" i="132"/>
  <c r="AH399" i="132"/>
  <c r="AH284" i="132"/>
  <c r="AH506" i="132"/>
  <c r="AH308" i="132"/>
  <c r="AH361" i="132"/>
  <c r="AG332" i="132"/>
  <c r="AH201" i="132"/>
  <c r="AH398" i="132"/>
  <c r="AH365" i="132"/>
  <c r="AH306" i="132"/>
  <c r="AL144" i="132"/>
  <c r="AH654" i="132"/>
  <c r="AH625" i="132"/>
  <c r="AG493" i="132"/>
  <c r="AH154" i="132"/>
  <c r="Z166" i="132"/>
  <c r="AG306" i="132"/>
  <c r="AA129" i="132"/>
  <c r="L72" i="132"/>
  <c r="AL164" i="132"/>
  <c r="AH513" i="132"/>
  <c r="AA54" i="132"/>
  <c r="L41" i="132"/>
  <c r="AI581" i="132"/>
  <c r="AM581" i="132"/>
  <c r="AI577" i="132"/>
  <c r="AL577" i="132" s="1"/>
  <c r="AM577" i="132"/>
  <c r="AH547" i="132"/>
  <c r="AI575" i="132"/>
  <c r="AL575" i="132" s="1"/>
  <c r="AM575" i="132"/>
  <c r="AI492" i="132"/>
  <c r="AM492" i="132"/>
  <c r="AH658" i="132"/>
  <c r="AL628" i="132"/>
  <c r="AG274" i="132"/>
  <c r="AG304" i="132"/>
  <c r="AI573" i="132"/>
  <c r="AH573" i="132" s="1"/>
  <c r="AM573" i="132"/>
  <c r="AA166" i="132"/>
  <c r="AI578" i="132"/>
  <c r="AM578" i="132"/>
  <c r="AJ360" i="132"/>
  <c r="AN360" i="132"/>
  <c r="AH350" i="132"/>
  <c r="AI155" i="132"/>
  <c r="AL64" i="132"/>
  <c r="AI571" i="132"/>
  <c r="AH571" i="132" s="1"/>
  <c r="AM571" i="132"/>
  <c r="AI569" i="132"/>
  <c r="AH569" i="132" s="1"/>
  <c r="AM569" i="132"/>
  <c r="AL497" i="132"/>
  <c r="AH287" i="132"/>
  <c r="Z41" i="132"/>
  <c r="AH543" i="132"/>
  <c r="AH304" i="132"/>
  <c r="AK155" i="132"/>
  <c r="AH500" i="132"/>
  <c r="K41" i="132"/>
  <c r="AH393" i="132"/>
  <c r="AH550" i="132"/>
  <c r="AH525" i="132"/>
  <c r="AH495" i="132"/>
  <c r="AH652" i="132"/>
  <c r="AH623" i="132"/>
  <c r="K155" i="132"/>
  <c r="AK41" i="132"/>
  <c r="AH535" i="132"/>
  <c r="AH523" i="132"/>
  <c r="AH403" i="132"/>
  <c r="AH276" i="132"/>
  <c r="K72" i="132"/>
  <c r="AH541" i="132"/>
  <c r="AH274" i="132"/>
  <c r="AI41" i="132"/>
  <c r="AH651" i="132"/>
  <c r="AH634" i="132"/>
  <c r="I170" i="132"/>
  <c r="AM170" i="132" s="1"/>
  <c r="C697" i="132"/>
  <c r="K166" i="132"/>
  <c r="M166" i="132"/>
  <c r="L166" i="132"/>
  <c r="AH167" i="132"/>
  <c r="AI166" i="132"/>
  <c r="J95" i="132"/>
  <c r="E696" i="132"/>
  <c r="I95" i="132"/>
  <c r="AM95" i="132" s="1"/>
  <c r="I11" i="132"/>
  <c r="AM11" i="132" s="1"/>
  <c r="J11" i="132"/>
  <c r="K80" i="132"/>
  <c r="AI80" i="132"/>
  <c r="AI72" i="132"/>
  <c r="M72" i="132"/>
  <c r="AK72" i="132"/>
  <c r="AK80" i="132"/>
  <c r="Z80" i="132"/>
  <c r="Z72" i="132"/>
  <c r="M80" i="132"/>
  <c r="L80" i="132"/>
  <c r="AH564" i="132"/>
  <c r="AG328" i="132"/>
  <c r="AI423" i="132"/>
  <c r="AL199" i="132"/>
  <c r="AH533" i="132"/>
  <c r="AH136" i="132"/>
  <c r="AH494" i="132"/>
  <c r="AG144" i="132"/>
  <c r="AL328" i="132"/>
  <c r="AH502" i="132"/>
  <c r="AH76" i="132"/>
  <c r="AH552" i="132"/>
  <c r="AG505" i="132"/>
  <c r="AL313" i="132"/>
  <c r="AL395" i="132"/>
  <c r="AH354" i="132"/>
  <c r="AL605" i="132"/>
  <c r="AH662" i="132"/>
  <c r="AL632" i="132"/>
  <c r="AH277" i="132"/>
  <c r="AG399" i="132"/>
  <c r="AH371" i="132"/>
  <c r="AH629" i="132"/>
  <c r="AH622" i="132"/>
  <c r="AH549" i="132"/>
  <c r="AH542" i="132"/>
  <c r="AG93" i="132"/>
  <c r="AG397" i="132"/>
  <c r="AG64" i="132"/>
  <c r="AH389" i="132"/>
  <c r="AH661" i="132"/>
  <c r="AG651" i="132"/>
  <c r="AG404" i="132"/>
  <c r="AG275" i="132"/>
  <c r="AH516" i="132"/>
  <c r="AG329" i="132"/>
  <c r="AH628" i="132"/>
  <c r="AL502" i="132"/>
  <c r="AG395" i="132"/>
  <c r="AH347" i="132"/>
  <c r="AL329" i="132"/>
  <c r="AL277" i="132"/>
  <c r="AH395" i="132"/>
  <c r="AG628" i="132"/>
  <c r="AG500" i="132"/>
  <c r="AH323" i="132"/>
  <c r="AG277" i="132"/>
  <c r="AL500" i="132"/>
  <c r="AG502" i="132"/>
  <c r="AG313" i="132"/>
  <c r="AL361" i="132"/>
  <c r="AH63" i="132"/>
  <c r="AH143" i="132"/>
  <c r="AH313" i="132"/>
  <c r="AL147" i="132"/>
  <c r="AL397" i="132"/>
  <c r="AG361" i="132"/>
  <c r="AH300" i="132"/>
  <c r="AH503" i="132"/>
  <c r="AH346" i="132"/>
  <c r="AH60" i="132"/>
  <c r="AH396" i="132"/>
  <c r="AH420" i="132"/>
  <c r="AH332" i="132"/>
  <c r="AL93" i="132"/>
  <c r="AL416" i="132"/>
  <c r="AK578" i="132"/>
  <c r="AH138" i="132"/>
  <c r="AH385" i="132"/>
  <c r="AH280" i="132"/>
  <c r="AL394" i="132"/>
  <c r="AK285" i="132"/>
  <c r="AL274" i="132"/>
  <c r="AL275" i="132"/>
  <c r="AH355" i="132"/>
  <c r="AH67" i="132"/>
  <c r="AH242" i="132"/>
  <c r="AH45" i="132"/>
  <c r="AH394" i="132"/>
  <c r="AH132" i="132"/>
  <c r="AH402" i="132"/>
  <c r="AG273" i="132"/>
  <c r="AL561" i="132"/>
  <c r="AL504" i="132"/>
  <c r="AG308" i="132"/>
  <c r="AH631" i="132"/>
  <c r="AH286" i="132"/>
  <c r="AL322" i="132"/>
  <c r="AH501" i="132"/>
  <c r="AL396" i="132"/>
  <c r="AG400" i="132"/>
  <c r="AL149" i="132"/>
  <c r="AH404" i="132"/>
  <c r="AH275" i="132"/>
  <c r="AG342" i="132"/>
  <c r="AI34" i="132"/>
  <c r="AL399" i="132"/>
  <c r="AH375" i="132"/>
  <c r="AH663" i="132"/>
  <c r="AH349" i="132"/>
  <c r="AH157" i="132"/>
  <c r="AH250" i="132"/>
  <c r="AH260" i="132"/>
  <c r="AH497" i="132"/>
  <c r="AH511" i="132"/>
  <c r="AH518" i="132"/>
  <c r="AL404" i="132"/>
  <c r="AG419" i="132"/>
  <c r="AH151" i="132"/>
  <c r="AH301" i="132"/>
  <c r="AH87" i="132"/>
  <c r="AH555" i="132"/>
  <c r="AH341" i="132"/>
  <c r="AH317" i="132"/>
  <c r="AG506" i="132"/>
  <c r="AL495" i="132"/>
  <c r="AL332" i="132"/>
  <c r="AL306" i="132"/>
  <c r="AH298" i="132"/>
  <c r="AL517" i="132"/>
  <c r="AG314" i="132"/>
  <c r="AH85" i="132"/>
  <c r="AG532" i="132"/>
  <c r="AH520" i="132"/>
  <c r="AH339" i="132"/>
  <c r="AL158" i="132"/>
  <c r="AH666" i="132"/>
  <c r="AH342" i="132"/>
  <c r="AH64" i="132"/>
  <c r="AH551" i="132"/>
  <c r="AH534" i="132"/>
  <c r="AH351" i="132"/>
  <c r="AH282" i="132"/>
  <c r="AH159" i="132"/>
  <c r="AL508" i="132"/>
  <c r="AL563" i="132"/>
  <c r="AH62" i="132"/>
  <c r="AH632" i="132"/>
  <c r="AH234" i="132"/>
  <c r="AH74" i="132"/>
  <c r="AH258" i="132"/>
  <c r="AH35" i="132"/>
  <c r="AL420" i="132"/>
  <c r="AG403" i="132"/>
  <c r="AH329" i="132"/>
  <c r="AL403" i="132"/>
  <c r="AL317" i="132"/>
  <c r="AG605" i="132"/>
  <c r="AG276" i="132"/>
  <c r="AG317" i="132"/>
  <c r="AL276" i="132"/>
  <c r="AH78" i="132"/>
  <c r="AH613" i="132"/>
  <c r="AH208" i="132"/>
  <c r="AL91" i="132"/>
  <c r="AL564" i="132"/>
  <c r="AG89" i="132"/>
  <c r="AL160" i="132"/>
  <c r="AL135" i="132"/>
  <c r="AH496" i="132"/>
  <c r="AG287" i="132"/>
  <c r="AH630" i="132"/>
  <c r="AL287" i="132"/>
  <c r="AH135" i="132"/>
  <c r="L335" i="132"/>
  <c r="AG630" i="132"/>
  <c r="AG341" i="132"/>
  <c r="AG160" i="132"/>
  <c r="AL505" i="132"/>
  <c r="AL341" i="132"/>
  <c r="AL87" i="132"/>
  <c r="AH73" i="132"/>
  <c r="AH376" i="132"/>
  <c r="AG513" i="132"/>
  <c r="AI288" i="132"/>
  <c r="AG495" i="132"/>
  <c r="AG158" i="132"/>
  <c r="AH89" i="132"/>
  <c r="AL493" i="132"/>
  <c r="AG135" i="132"/>
  <c r="AH17" i="132"/>
  <c r="K96" i="132"/>
  <c r="AI285" i="132"/>
  <c r="AG339" i="132"/>
  <c r="AG91" i="132"/>
  <c r="AL651" i="132"/>
  <c r="AH75" i="132"/>
  <c r="AH265" i="132"/>
  <c r="AL383" i="132"/>
  <c r="AH49" i="132"/>
  <c r="AH563" i="132"/>
  <c r="AH83" i="132"/>
  <c r="AG340" i="132"/>
  <c r="AL339" i="132"/>
  <c r="AG394" i="132"/>
  <c r="AH93" i="132"/>
  <c r="AH160" i="132"/>
  <c r="AI358" i="132"/>
  <c r="AH556" i="132"/>
  <c r="AH70" i="132"/>
  <c r="AH493" i="132"/>
  <c r="AL342" i="132"/>
  <c r="AH91" i="132"/>
  <c r="AG278" i="132"/>
  <c r="AH84" i="132"/>
  <c r="AH40" i="132"/>
  <c r="AG533" i="132"/>
  <c r="AL152" i="132"/>
  <c r="AL278" i="132"/>
  <c r="AI198" i="132"/>
  <c r="AH340" i="132"/>
  <c r="AH145" i="132"/>
  <c r="AH47" i="132"/>
  <c r="AL340" i="132"/>
  <c r="AG514" i="132"/>
  <c r="AL584" i="132"/>
  <c r="AL131" i="132"/>
  <c r="AL162" i="132"/>
  <c r="AL142" i="132"/>
  <c r="AL316" i="132"/>
  <c r="AH202" i="132"/>
  <c r="AH165" i="132"/>
  <c r="AK244" i="132"/>
  <c r="AG244" i="132" s="1"/>
  <c r="AH294" i="132"/>
  <c r="AH293" i="132"/>
  <c r="AH390" i="132"/>
  <c r="AL533" i="132"/>
  <c r="AL513" i="132"/>
  <c r="AK638" i="132"/>
  <c r="AH400" i="132"/>
  <c r="AH421" i="132"/>
  <c r="AH291" i="132"/>
  <c r="AH388" i="132"/>
  <c r="AL511" i="132"/>
  <c r="AG521" i="132"/>
  <c r="AH505" i="132"/>
  <c r="AL419" i="132"/>
  <c r="AH262" i="132"/>
  <c r="AH381" i="132"/>
  <c r="AH158" i="132"/>
  <c r="AL62" i="132"/>
  <c r="AG142" i="132"/>
  <c r="AH302" i="132"/>
  <c r="AH174" i="132"/>
  <c r="AH133" i="132"/>
  <c r="AH509" i="132"/>
  <c r="AH144" i="132"/>
  <c r="AL304" i="132"/>
  <c r="AG62" i="132"/>
  <c r="AH387" i="132"/>
  <c r="AG563" i="132"/>
  <c r="AH419" i="132"/>
  <c r="AH267" i="132"/>
  <c r="AH386" i="132"/>
  <c r="AH297" i="132"/>
  <c r="AH31" i="132"/>
  <c r="AG564" i="132"/>
  <c r="AH343" i="132"/>
  <c r="AH142" i="132"/>
  <c r="AK58" i="132"/>
  <c r="AG541" i="132"/>
  <c r="AH264" i="132"/>
  <c r="AH640" i="132"/>
  <c r="AH584" i="132"/>
  <c r="AH27" i="132"/>
  <c r="AL541" i="132"/>
  <c r="AI360" i="132"/>
  <c r="AG497" i="132"/>
  <c r="AG393" i="132"/>
  <c r="AG343" i="132"/>
  <c r="AG136" i="132"/>
  <c r="AG398" i="132"/>
  <c r="AH240" i="132"/>
  <c r="AK367" i="132"/>
  <c r="AH367" i="132" s="1"/>
  <c r="AL393" i="132"/>
  <c r="AL136" i="132"/>
  <c r="AH532" i="132"/>
  <c r="AH92" i="132"/>
  <c r="AL417" i="132"/>
  <c r="AK246" i="132"/>
  <c r="AL246" i="132" s="1"/>
  <c r="AH257" i="132"/>
  <c r="AH37" i="132"/>
  <c r="AL406" i="132"/>
  <c r="AH256" i="132"/>
  <c r="AG511" i="132"/>
  <c r="AL521" i="132"/>
  <c r="AK99" i="132"/>
  <c r="AL89" i="132"/>
  <c r="AL532" i="132"/>
  <c r="AH79" i="132"/>
  <c r="AH94" i="132"/>
  <c r="AH141" i="132"/>
  <c r="AG333" i="132"/>
  <c r="AH307" i="132"/>
  <c r="AG316" i="132"/>
  <c r="AG365" i="132"/>
  <c r="AH20" i="132"/>
  <c r="AH204" i="132"/>
  <c r="AH498" i="132"/>
  <c r="AG402" i="132"/>
  <c r="AG517" i="132"/>
  <c r="AH314" i="132"/>
  <c r="AI231" i="132"/>
  <c r="AL365" i="132"/>
  <c r="AG131" i="132"/>
  <c r="AL402" i="132"/>
  <c r="AH299" i="132"/>
  <c r="AL514" i="132"/>
  <c r="AH328" i="132"/>
  <c r="AH508" i="132"/>
  <c r="AL565" i="132"/>
  <c r="AH200" i="132"/>
  <c r="AK348" i="132"/>
  <c r="AK263" i="132"/>
  <c r="AG640" i="132"/>
  <c r="AH273" i="132"/>
  <c r="AH417" i="132"/>
  <c r="AH29" i="132"/>
  <c r="AH15" i="132"/>
  <c r="AI309" i="132"/>
  <c r="AK303" i="132"/>
  <c r="AL273" i="132"/>
  <c r="AH25" i="132"/>
  <c r="AK360" i="132"/>
  <c r="K405" i="132"/>
  <c r="AK129" i="132"/>
  <c r="AH316" i="132"/>
  <c r="AH77" i="132"/>
  <c r="AH330" i="132"/>
  <c r="AH364" i="132"/>
  <c r="AH305" i="132"/>
  <c r="AH88" i="132"/>
  <c r="AG406" i="132"/>
  <c r="AH510" i="132"/>
  <c r="AH69" i="132"/>
  <c r="AK26" i="132"/>
  <c r="AK414" i="132"/>
  <c r="AL400" i="132"/>
  <c r="AH90" i="132"/>
  <c r="AH362" i="132"/>
  <c r="AH283" i="132"/>
  <c r="AH86" i="132"/>
  <c r="AH66" i="132"/>
  <c r="AH33" i="132"/>
  <c r="AH268" i="132"/>
  <c r="AH131" i="132"/>
  <c r="AH565" i="132"/>
  <c r="AK583" i="132"/>
  <c r="AK231" i="132"/>
  <c r="AK392" i="132"/>
  <c r="AI583" i="132"/>
  <c r="AI26" i="132"/>
  <c r="AH30" i="132"/>
  <c r="AH266" i="132"/>
  <c r="AH148" i="132"/>
  <c r="AG565" i="132"/>
  <c r="AH333" i="132"/>
  <c r="AG133" i="132"/>
  <c r="AH415" i="132"/>
  <c r="AH130" i="132"/>
  <c r="AH161" i="132"/>
  <c r="AH149" i="132"/>
  <c r="AH251" i="132"/>
  <c r="AH71" i="132"/>
  <c r="AH512" i="132"/>
  <c r="AL333" i="132"/>
  <c r="AH270" i="132"/>
  <c r="AK618" i="132"/>
  <c r="AI327" i="132"/>
  <c r="AI12" i="132"/>
  <c r="AH425" i="132"/>
  <c r="AG87" i="132"/>
  <c r="AH254" i="132"/>
  <c r="AK530" i="132"/>
  <c r="AL613" i="132"/>
  <c r="AH16" i="132"/>
  <c r="AH261" i="132"/>
  <c r="AH380" i="132"/>
  <c r="AL510" i="132"/>
  <c r="AH173" i="132"/>
  <c r="AH19" i="132"/>
  <c r="AH514" i="132"/>
  <c r="Z205" i="132"/>
  <c r="K209" i="132"/>
  <c r="AK574" i="132"/>
  <c r="K423" i="132"/>
  <c r="AI209" i="132"/>
  <c r="AK522" i="132"/>
  <c r="AI255" i="132"/>
  <c r="AI303" i="132"/>
  <c r="AK331" i="132"/>
  <c r="AI392" i="132"/>
  <c r="AL308" i="132"/>
  <c r="AL640" i="132"/>
  <c r="AG584" i="132"/>
  <c r="AH259" i="132"/>
  <c r="AG508" i="132"/>
  <c r="AL398" i="132"/>
  <c r="AL314" i="132"/>
  <c r="AL133" i="132"/>
  <c r="AG85" i="132"/>
  <c r="AG149" i="132"/>
  <c r="AG417" i="132"/>
  <c r="AG374" i="132"/>
  <c r="AL23" i="132"/>
  <c r="AI296" i="132"/>
  <c r="AK562" i="132"/>
  <c r="AL85" i="132"/>
  <c r="AH39" i="132"/>
  <c r="AH292" i="132"/>
  <c r="AH18" i="132"/>
  <c r="AG396" i="132"/>
  <c r="AL415" i="132"/>
  <c r="AL374" i="132"/>
  <c r="AL211" i="132"/>
  <c r="AH379" i="132"/>
  <c r="AG23" i="132"/>
  <c r="AH147" i="132"/>
  <c r="K604" i="132"/>
  <c r="AG632" i="132"/>
  <c r="AK215" i="132"/>
  <c r="AA61" i="132"/>
  <c r="AI348" i="132"/>
  <c r="AI215" i="132"/>
  <c r="K522" i="132"/>
  <c r="AG420" i="132"/>
  <c r="AG147" i="132"/>
  <c r="AH14" i="132"/>
  <c r="AG415" i="132"/>
  <c r="AH206" i="132"/>
  <c r="AH521" i="132"/>
  <c r="AK507" i="132"/>
  <c r="AK612" i="132"/>
  <c r="AL320" i="132"/>
  <c r="AL421" i="132"/>
  <c r="AH406" i="132"/>
  <c r="AH359" i="132"/>
  <c r="AK570" i="132"/>
  <c r="AK96" i="132"/>
  <c r="AK61" i="132"/>
  <c r="K618" i="132"/>
  <c r="AI68" i="132"/>
  <c r="AG613" i="132"/>
  <c r="AH243" i="132"/>
  <c r="AG510" i="132"/>
  <c r="AG421" i="132"/>
  <c r="AH38" i="132"/>
  <c r="AH517" i="132"/>
  <c r="K253" i="132"/>
  <c r="K249" i="132" s="1"/>
  <c r="AI253" i="132"/>
  <c r="M574" i="132"/>
  <c r="AI574" i="132"/>
  <c r="AI539" i="132"/>
  <c r="AI372" i="132"/>
  <c r="AI290" i="132"/>
  <c r="AI363" i="132"/>
  <c r="AK171" i="132"/>
  <c r="AL422" i="132"/>
  <c r="AG422" i="132"/>
  <c r="AL409" i="132"/>
  <c r="AG409" i="132"/>
  <c r="AG345" i="132"/>
  <c r="AL345" i="132"/>
  <c r="AG334" i="132"/>
  <c r="AL334" i="132"/>
  <c r="AI271" i="132"/>
  <c r="AL602" i="132"/>
  <c r="AG602" i="132"/>
  <c r="AL594" i="132"/>
  <c r="AG594" i="132"/>
  <c r="AL586" i="132"/>
  <c r="AG586" i="132"/>
  <c r="AL28" i="132"/>
  <c r="AG28" i="132"/>
  <c r="AL241" i="132"/>
  <c r="AG241" i="132"/>
  <c r="AL226" i="132"/>
  <c r="AL69" i="132"/>
  <c r="AG69" i="132"/>
  <c r="AH615" i="132"/>
  <c r="AH596" i="132"/>
  <c r="AH114" i="132"/>
  <c r="AL659" i="132"/>
  <c r="AG659" i="132"/>
  <c r="AL635" i="132"/>
  <c r="AG635" i="132"/>
  <c r="AL627" i="132"/>
  <c r="AG627" i="132"/>
  <c r="AL620" i="132"/>
  <c r="AG620" i="132"/>
  <c r="AL538" i="132"/>
  <c r="AG538" i="132"/>
  <c r="AL528" i="132"/>
  <c r="AG528" i="132"/>
  <c r="AL254" i="132"/>
  <c r="AG254" i="132"/>
  <c r="AL266" i="132"/>
  <c r="AG266" i="132"/>
  <c r="AL371" i="132"/>
  <c r="AL519" i="132"/>
  <c r="AG519" i="132"/>
  <c r="AL204" i="132"/>
  <c r="AL59" i="132"/>
  <c r="AL30" i="132"/>
  <c r="AG30" i="132"/>
  <c r="AI653" i="132"/>
  <c r="AL426" i="132"/>
  <c r="AG426" i="132"/>
  <c r="AL560" i="132"/>
  <c r="AG560" i="132"/>
  <c r="AG330" i="132"/>
  <c r="AL330" i="132"/>
  <c r="AL362" i="132"/>
  <c r="AG362" i="132"/>
  <c r="AL305" i="132"/>
  <c r="AG305" i="132"/>
  <c r="AL218" i="132"/>
  <c r="AG218" i="132"/>
  <c r="AG92" i="132"/>
  <c r="AL92" i="132"/>
  <c r="AL647" i="132"/>
  <c r="AG647" i="132"/>
  <c r="AL639" i="132"/>
  <c r="AG639" i="132"/>
  <c r="AG424" i="132"/>
  <c r="AL424" i="132"/>
  <c r="AH424" i="132"/>
  <c r="AH560" i="132"/>
  <c r="AL153" i="132"/>
  <c r="AG118" i="132"/>
  <c r="AL118" i="132"/>
  <c r="AL233" i="132"/>
  <c r="AG233" i="132"/>
  <c r="AH220" i="132"/>
  <c r="AH643" i="132"/>
  <c r="AH603" i="132"/>
  <c r="AH587" i="132"/>
  <c r="AH122" i="132"/>
  <c r="AG98" i="132"/>
  <c r="AL98" i="132"/>
  <c r="AL547" i="132"/>
  <c r="AG547" i="132"/>
  <c r="AL537" i="132"/>
  <c r="AG537" i="132"/>
  <c r="AL527" i="132"/>
  <c r="AG527" i="132"/>
  <c r="AG265" i="132"/>
  <c r="AL256" i="132"/>
  <c r="AL381" i="132"/>
  <c r="AG381" i="132"/>
  <c r="AG206" i="132"/>
  <c r="AL206" i="132"/>
  <c r="AG47" i="132"/>
  <c r="AL31" i="132"/>
  <c r="AG31" i="132"/>
  <c r="AG19" i="132"/>
  <c r="AL19" i="132"/>
  <c r="I366" i="132"/>
  <c r="AM366" i="132" s="1"/>
  <c r="AI370" i="132"/>
  <c r="AH370" i="132" s="1"/>
  <c r="AI269" i="132"/>
  <c r="AI530" i="132"/>
  <c r="AI507" i="132"/>
  <c r="AI96" i="132"/>
  <c r="AK139" i="132"/>
  <c r="AI414" i="132"/>
  <c r="AI638" i="132"/>
  <c r="AL369" i="132"/>
  <c r="AG369" i="132"/>
  <c r="AL356" i="132"/>
  <c r="AG356" i="132"/>
  <c r="AL281" i="132"/>
  <c r="AG281" i="132"/>
  <c r="AL219" i="132"/>
  <c r="AG219" i="132"/>
  <c r="AG648" i="132"/>
  <c r="AL648" i="132"/>
  <c r="AL609" i="132"/>
  <c r="AG609" i="132"/>
  <c r="AH409" i="132"/>
  <c r="AL120" i="132"/>
  <c r="AG120" i="132"/>
  <c r="AL109" i="132"/>
  <c r="AG109" i="132"/>
  <c r="AL295" i="132"/>
  <c r="AH224" i="132"/>
  <c r="AG78" i="132"/>
  <c r="AL78" i="132"/>
  <c r="AG66" i="132"/>
  <c r="AL66" i="132"/>
  <c r="AH594" i="132"/>
  <c r="AH112" i="132"/>
  <c r="AL389" i="132"/>
  <c r="AL380" i="132"/>
  <c r="AG204" i="132"/>
  <c r="AG59" i="132"/>
  <c r="AL43" i="132"/>
  <c r="AH635" i="132"/>
  <c r="AH620" i="132"/>
  <c r="AH538" i="132"/>
  <c r="AL503" i="132"/>
  <c r="AG503" i="132"/>
  <c r="AL494" i="132"/>
  <c r="AG494" i="132"/>
  <c r="AL286" i="132"/>
  <c r="AG357" i="132"/>
  <c r="AL357" i="132"/>
  <c r="AL225" i="132"/>
  <c r="AG225" i="132"/>
  <c r="AG90" i="132"/>
  <c r="AL90" i="132"/>
  <c r="AL616" i="132"/>
  <c r="AG616" i="132"/>
  <c r="AL606" i="132"/>
  <c r="AG606" i="132"/>
  <c r="AL597" i="132"/>
  <c r="AG597" i="132"/>
  <c r="AL589" i="132"/>
  <c r="AG589" i="132"/>
  <c r="AG115" i="132"/>
  <c r="AL115" i="132"/>
  <c r="AL104" i="132"/>
  <c r="AH218" i="132"/>
  <c r="AL75" i="132"/>
  <c r="AG75" i="132"/>
  <c r="AH641" i="132"/>
  <c r="AH601" i="132"/>
  <c r="AH585" i="132"/>
  <c r="AH118" i="132"/>
  <c r="AG664" i="132"/>
  <c r="AL664" i="132"/>
  <c r="AG656" i="132"/>
  <c r="AL656" i="132"/>
  <c r="AG634" i="132"/>
  <c r="AL634" i="132"/>
  <c r="AL619" i="132"/>
  <c r="AG619" i="132"/>
  <c r="AG293" i="132"/>
  <c r="AG262" i="132"/>
  <c r="AG390" i="132"/>
  <c r="AL301" i="132"/>
  <c r="AG301" i="132"/>
  <c r="AL555" i="132"/>
  <c r="AG555" i="132"/>
  <c r="AL509" i="132"/>
  <c r="AG509" i="132"/>
  <c r="AI205" i="132"/>
  <c r="AH98" i="132"/>
  <c r="AL47" i="132"/>
  <c r="AL29" i="132"/>
  <c r="AG29" i="132"/>
  <c r="AK247" i="132"/>
  <c r="AK368" i="132"/>
  <c r="AH368" i="132" s="1"/>
  <c r="AK559" i="132"/>
  <c r="AK372" i="132"/>
  <c r="AI129" i="132"/>
  <c r="AI405" i="132"/>
  <c r="AI335" i="132"/>
  <c r="AK249" i="132"/>
  <c r="AI171" i="132"/>
  <c r="AI263" i="132"/>
  <c r="AL401" i="132"/>
  <c r="AG401" i="132"/>
  <c r="AL407" i="132"/>
  <c r="AG407" i="132"/>
  <c r="AL600" i="132"/>
  <c r="AG600" i="132"/>
  <c r="AL592" i="132"/>
  <c r="AG592" i="132"/>
  <c r="AH407" i="132"/>
  <c r="AL16" i="132"/>
  <c r="AG16" i="132"/>
  <c r="AG238" i="132"/>
  <c r="AL238" i="132"/>
  <c r="AH222" i="132"/>
  <c r="AH648" i="132"/>
  <c r="AH609" i="132"/>
  <c r="AH592" i="132"/>
  <c r="AH109" i="132"/>
  <c r="AH28" i="132"/>
  <c r="AL665" i="132"/>
  <c r="AG665" i="132"/>
  <c r="AL657" i="132"/>
  <c r="AG657" i="132"/>
  <c r="AL633" i="132"/>
  <c r="AG633" i="132"/>
  <c r="AL626" i="132"/>
  <c r="AG626" i="132"/>
  <c r="AL553" i="132"/>
  <c r="AG553" i="132"/>
  <c r="AL546" i="132"/>
  <c r="AG546" i="132"/>
  <c r="AL536" i="132"/>
  <c r="AG536" i="132"/>
  <c r="AL526" i="132"/>
  <c r="AG526" i="132"/>
  <c r="AG294" i="132"/>
  <c r="AL294" i="132"/>
  <c r="AL264" i="132"/>
  <c r="AG264" i="132"/>
  <c r="AG389" i="132"/>
  <c r="AG380" i="132"/>
  <c r="AG302" i="132"/>
  <c r="AL558" i="132"/>
  <c r="AG558" i="132"/>
  <c r="AL202" i="132"/>
  <c r="AG202" i="132"/>
  <c r="AL51" i="132"/>
  <c r="AG39" i="132"/>
  <c r="AL20" i="132"/>
  <c r="AG20" i="132"/>
  <c r="AH665" i="132"/>
  <c r="AH633" i="132"/>
  <c r="AH553" i="132"/>
  <c r="AH536" i="132"/>
  <c r="AG286" i="132"/>
  <c r="AL413" i="132"/>
  <c r="AG413" i="132"/>
  <c r="AH558" i="132"/>
  <c r="AL270" i="132"/>
  <c r="AG270" i="132"/>
  <c r="AG355" i="132"/>
  <c r="AL355" i="132"/>
  <c r="AL283" i="132"/>
  <c r="AG283" i="132"/>
  <c r="AG216" i="132"/>
  <c r="AL216" i="132"/>
  <c r="AG88" i="132"/>
  <c r="AL88" i="132"/>
  <c r="AL645" i="132"/>
  <c r="AG645" i="132"/>
  <c r="AL165" i="132"/>
  <c r="AG165" i="132"/>
  <c r="AL151" i="132"/>
  <c r="AG151" i="132"/>
  <c r="AL230" i="132"/>
  <c r="AG230" i="132"/>
  <c r="AH216" i="132"/>
  <c r="AL73" i="132"/>
  <c r="AG73" i="132"/>
  <c r="AH639" i="132"/>
  <c r="AH599" i="132"/>
  <c r="AL321" i="132"/>
  <c r="AH115" i="132"/>
  <c r="AL552" i="132"/>
  <c r="AG552" i="132"/>
  <c r="AL545" i="132"/>
  <c r="AG545" i="132"/>
  <c r="AL535" i="132"/>
  <c r="AG535" i="132"/>
  <c r="AL525" i="132"/>
  <c r="AG525" i="132"/>
  <c r="AL293" i="132"/>
  <c r="AL262" i="132"/>
  <c r="AL390" i="132"/>
  <c r="AL379" i="132"/>
  <c r="AG379" i="132"/>
  <c r="AL520" i="132"/>
  <c r="AG520" i="132"/>
  <c r="AL203" i="132"/>
  <c r="AL60" i="132"/>
  <c r="AG45" i="132"/>
  <c r="AG27" i="132"/>
  <c r="AG17" i="132"/>
  <c r="AL17" i="132"/>
  <c r="AK581" i="132"/>
  <c r="M572" i="132"/>
  <c r="AI572" i="132"/>
  <c r="AK653" i="132"/>
  <c r="E706" i="132"/>
  <c r="E725" i="132" s="1"/>
  <c r="AK384" i="132"/>
  <c r="AK318" i="132"/>
  <c r="AK34" i="132"/>
  <c r="AK290" i="132"/>
  <c r="AI58" i="132"/>
  <c r="AH281" i="132"/>
  <c r="AL354" i="132"/>
  <c r="AG354" i="132"/>
  <c r="AG224" i="132"/>
  <c r="AL224" i="132"/>
  <c r="AL217" i="132"/>
  <c r="AG217" i="132"/>
  <c r="AG646" i="132"/>
  <c r="AL646" i="132"/>
  <c r="AL617" i="132"/>
  <c r="AG617" i="132"/>
  <c r="AL607" i="132"/>
  <c r="AG607" i="132"/>
  <c r="AL117" i="132"/>
  <c r="AG117" i="132"/>
  <c r="AL106" i="132"/>
  <c r="AG106" i="132"/>
  <c r="AH221" i="132"/>
  <c r="AG76" i="132"/>
  <c r="AL76" i="132"/>
  <c r="AH646" i="132"/>
  <c r="AH607" i="132"/>
  <c r="AH590" i="132"/>
  <c r="AG174" i="132"/>
  <c r="AL174" i="132"/>
  <c r="AH106" i="132"/>
  <c r="AG261" i="132"/>
  <c r="AL261" i="132"/>
  <c r="AG387" i="132"/>
  <c r="AL377" i="132"/>
  <c r="AL302" i="132"/>
  <c r="AG51" i="132"/>
  <c r="AL39" i="132"/>
  <c r="AL501" i="132"/>
  <c r="AG501" i="132"/>
  <c r="AI412" i="132"/>
  <c r="AH412" i="132" s="1"/>
  <c r="AG353" i="132"/>
  <c r="AL353" i="132"/>
  <c r="AL223" i="132"/>
  <c r="AG223" i="132"/>
  <c r="AL213" i="132"/>
  <c r="AG213" i="132"/>
  <c r="AG86" i="132"/>
  <c r="AL86" i="132"/>
  <c r="AL614" i="132"/>
  <c r="AG614" i="132"/>
  <c r="AL603" i="132"/>
  <c r="AG603" i="132"/>
  <c r="AL595" i="132"/>
  <c r="AG595" i="132"/>
  <c r="AL587" i="132"/>
  <c r="AG587" i="132"/>
  <c r="AG148" i="132"/>
  <c r="AL148" i="132"/>
  <c r="AL128" i="132"/>
  <c r="AG113" i="132"/>
  <c r="AL113" i="132"/>
  <c r="AG101" i="132"/>
  <c r="AL101" i="132"/>
  <c r="AG242" i="132"/>
  <c r="AL242" i="132"/>
  <c r="AH213" i="132"/>
  <c r="AG70" i="132"/>
  <c r="AL70" i="132"/>
  <c r="AH616" i="132"/>
  <c r="AH597" i="132"/>
  <c r="AL311" i="132"/>
  <c r="AG173" i="132"/>
  <c r="AL173" i="132"/>
  <c r="AH113" i="132"/>
  <c r="AG662" i="132"/>
  <c r="AL662" i="132"/>
  <c r="AG654" i="132"/>
  <c r="AL654" i="132"/>
  <c r="AL625" i="132"/>
  <c r="AG625" i="132"/>
  <c r="AL250" i="132"/>
  <c r="AG291" i="132"/>
  <c r="AG260" i="132"/>
  <c r="AG388" i="132"/>
  <c r="AL299" i="132"/>
  <c r="AG299" i="132"/>
  <c r="AL518" i="132"/>
  <c r="AG518" i="132"/>
  <c r="AH345" i="132"/>
  <c r="AG203" i="132"/>
  <c r="AG60" i="132"/>
  <c r="AL45" i="132"/>
  <c r="AL27" i="132"/>
  <c r="AK245" i="132"/>
  <c r="AK572" i="132"/>
  <c r="AK327" i="132"/>
  <c r="AK255" i="132"/>
  <c r="AI618" i="132"/>
  <c r="AL228" i="132"/>
  <c r="AG228" i="132"/>
  <c r="AL418" i="132"/>
  <c r="AG418" i="132"/>
  <c r="AL598" i="132"/>
  <c r="AG598" i="132"/>
  <c r="AL590" i="132"/>
  <c r="AG590" i="132"/>
  <c r="AG235" i="132"/>
  <c r="AL235" i="132"/>
  <c r="AH219" i="132"/>
  <c r="AH644" i="132"/>
  <c r="AH605" i="132"/>
  <c r="AK604" i="132"/>
  <c r="AH588" i="132"/>
  <c r="AH126" i="132"/>
  <c r="AH103" i="132"/>
  <c r="AL663" i="132"/>
  <c r="AG663" i="132"/>
  <c r="AL655" i="132"/>
  <c r="AG655" i="132"/>
  <c r="AG631" i="132"/>
  <c r="AL631" i="132"/>
  <c r="AL624" i="132"/>
  <c r="AG624" i="132"/>
  <c r="AL551" i="132"/>
  <c r="AG551" i="132"/>
  <c r="AL544" i="132"/>
  <c r="AG544" i="132"/>
  <c r="AL534" i="132"/>
  <c r="AG534" i="132"/>
  <c r="AL524" i="132"/>
  <c r="AG524" i="132"/>
  <c r="AG252" i="132"/>
  <c r="AG292" i="132"/>
  <c r="AL292" i="132"/>
  <c r="AG259" i="132"/>
  <c r="AL259" i="132"/>
  <c r="AL387" i="132"/>
  <c r="AL300" i="132"/>
  <c r="AL556" i="132"/>
  <c r="AG556" i="132"/>
  <c r="AL200" i="132"/>
  <c r="AG200" i="132"/>
  <c r="AG48" i="132"/>
  <c r="AL37" i="132"/>
  <c r="AG37" i="132"/>
  <c r="AG14" i="132"/>
  <c r="AH528" i="132"/>
  <c r="AH357" i="132"/>
  <c r="AG408" i="132"/>
  <c r="AL408" i="132"/>
  <c r="AH519" i="132"/>
  <c r="AG351" i="132"/>
  <c r="AL351" i="132"/>
  <c r="AG282" i="132"/>
  <c r="AL282" i="132"/>
  <c r="AG84" i="132"/>
  <c r="AL84" i="132"/>
  <c r="AL643" i="132"/>
  <c r="AG643" i="132"/>
  <c r="AL163" i="132"/>
  <c r="AG124" i="132"/>
  <c r="AL124" i="132"/>
  <c r="AL227" i="132"/>
  <c r="AG211" i="132"/>
  <c r="AH211" i="132"/>
  <c r="AL67" i="132"/>
  <c r="AG67" i="132"/>
  <c r="AH614" i="132"/>
  <c r="AH595" i="132"/>
  <c r="AL130" i="132"/>
  <c r="AG130" i="132"/>
  <c r="AH111" i="132"/>
  <c r="AL550" i="132"/>
  <c r="AG550" i="132"/>
  <c r="AL543" i="132"/>
  <c r="AG543" i="132"/>
  <c r="AL523" i="132"/>
  <c r="AG523" i="132"/>
  <c r="AG250" i="132"/>
  <c r="AL291" i="132"/>
  <c r="AL260" i="132"/>
  <c r="AL388" i="132"/>
  <c r="AG376" i="132"/>
  <c r="AL516" i="132"/>
  <c r="AG516" i="132"/>
  <c r="AG201" i="132"/>
  <c r="AL53" i="132"/>
  <c r="AL40" i="132"/>
  <c r="AG40" i="132"/>
  <c r="AG15" i="132"/>
  <c r="AL15" i="132"/>
  <c r="M576" i="132"/>
  <c r="AI576" i="132"/>
  <c r="AH576" i="132" s="1"/>
  <c r="L582" i="132"/>
  <c r="AI582" i="132"/>
  <c r="J209" i="132"/>
  <c r="AK210" i="132"/>
  <c r="AH210" i="132" s="1"/>
  <c r="AI61" i="132"/>
  <c r="AI139" i="132"/>
  <c r="AI236" i="132"/>
  <c r="AI499" i="132"/>
  <c r="AH369" i="132"/>
  <c r="AG138" i="132"/>
  <c r="AL138" i="132"/>
  <c r="AL352" i="132"/>
  <c r="AG352" i="132"/>
  <c r="AL222" i="132"/>
  <c r="AG222" i="132"/>
  <c r="AL214" i="132"/>
  <c r="AG214" i="132"/>
  <c r="AG644" i="132"/>
  <c r="AL644" i="132"/>
  <c r="AL615" i="132"/>
  <c r="AG615" i="132"/>
  <c r="AH422" i="132"/>
  <c r="AL154" i="132"/>
  <c r="AG154" i="132"/>
  <c r="AL126" i="132"/>
  <c r="AG126" i="132"/>
  <c r="AL114" i="132"/>
  <c r="AG114" i="132"/>
  <c r="AL103" i="132"/>
  <c r="AG103" i="132"/>
  <c r="AG234" i="132"/>
  <c r="AL234" i="132"/>
  <c r="AH217" i="132"/>
  <c r="AG74" i="132"/>
  <c r="AL74" i="132"/>
  <c r="AH642" i="132"/>
  <c r="AH602" i="132"/>
  <c r="AH586" i="132"/>
  <c r="AH123" i="132"/>
  <c r="AL97" i="132"/>
  <c r="AG97" i="132"/>
  <c r="AL18" i="132"/>
  <c r="AG18" i="132"/>
  <c r="AL252" i="132"/>
  <c r="AL257" i="132"/>
  <c r="AL385" i="132"/>
  <c r="AL375" i="132"/>
  <c r="AG300" i="132"/>
  <c r="AH241" i="132"/>
  <c r="AL48" i="132"/>
  <c r="AL14" i="132"/>
  <c r="AH659" i="132"/>
  <c r="AH627" i="132"/>
  <c r="AH526" i="132"/>
  <c r="AL498" i="132"/>
  <c r="AG498" i="132"/>
  <c r="AG349" i="132"/>
  <c r="AL349" i="132"/>
  <c r="AH65" i="132"/>
  <c r="AG83" i="132"/>
  <c r="AL83" i="132"/>
  <c r="AL610" i="132"/>
  <c r="AG610" i="132"/>
  <c r="AL601" i="132"/>
  <c r="AG601" i="132"/>
  <c r="AL593" i="132"/>
  <c r="AG593" i="132"/>
  <c r="AL585" i="132"/>
  <c r="AG585" i="132"/>
  <c r="AH413" i="132"/>
  <c r="AG161" i="132"/>
  <c r="AL161" i="132"/>
  <c r="AL145" i="132"/>
  <c r="AG145" i="132"/>
  <c r="AG111" i="132"/>
  <c r="AL111" i="132"/>
  <c r="AG240" i="132"/>
  <c r="AL240" i="132"/>
  <c r="AH225" i="132"/>
  <c r="AL79" i="132"/>
  <c r="AG79" i="132"/>
  <c r="AH649" i="132"/>
  <c r="AH610" i="132"/>
  <c r="AH593" i="132"/>
  <c r="AH107" i="132"/>
  <c r="AL25" i="132"/>
  <c r="AG25" i="132"/>
  <c r="AG660" i="132"/>
  <c r="AL660" i="132"/>
  <c r="AG652" i="132"/>
  <c r="AL652" i="132"/>
  <c r="AL623" i="132"/>
  <c r="AG623" i="132"/>
  <c r="AL267" i="132"/>
  <c r="AG258" i="132"/>
  <c r="AG386" i="132"/>
  <c r="AL376" i="132"/>
  <c r="AG297" i="132"/>
  <c r="AH233" i="132"/>
  <c r="AL201" i="132"/>
  <c r="M570" i="132"/>
  <c r="AI570" i="132"/>
  <c r="L579" i="132"/>
  <c r="AI579" i="132"/>
  <c r="AH579" i="132" s="1"/>
  <c r="AK582" i="132"/>
  <c r="AK12" i="132"/>
  <c r="AK205" i="132"/>
  <c r="AI612" i="132"/>
  <c r="AI99" i="132"/>
  <c r="AK296" i="132"/>
  <c r="AK68" i="132"/>
  <c r="AH356" i="132"/>
  <c r="AL425" i="132"/>
  <c r="AG425" i="132"/>
  <c r="AI559" i="132"/>
  <c r="AG347" i="132"/>
  <c r="AL347" i="132"/>
  <c r="AG323" i="132"/>
  <c r="AL323" i="132"/>
  <c r="AL596" i="132"/>
  <c r="AG596" i="132"/>
  <c r="AL588" i="132"/>
  <c r="AG588" i="132"/>
  <c r="AL243" i="132"/>
  <c r="AG243" i="132"/>
  <c r="AH214" i="132"/>
  <c r="AH600" i="132"/>
  <c r="AH120" i="132"/>
  <c r="AL661" i="132"/>
  <c r="AG661" i="132"/>
  <c r="AG629" i="132"/>
  <c r="AL629" i="132"/>
  <c r="AL622" i="132"/>
  <c r="AG622" i="132"/>
  <c r="AL549" i="132"/>
  <c r="AG549" i="132"/>
  <c r="AL542" i="132"/>
  <c r="AG542" i="132"/>
  <c r="AL251" i="132"/>
  <c r="AG251" i="132"/>
  <c r="AL268" i="132"/>
  <c r="AG268" i="132"/>
  <c r="AG257" i="132"/>
  <c r="AG385" i="132"/>
  <c r="AG375" i="132"/>
  <c r="AL298" i="132"/>
  <c r="AH238" i="132"/>
  <c r="AL512" i="132"/>
  <c r="AG512" i="132"/>
  <c r="AG46" i="132"/>
  <c r="AG33" i="132"/>
  <c r="AL33" i="132"/>
  <c r="AH657" i="132"/>
  <c r="AH626" i="132"/>
  <c r="AH546" i="132"/>
  <c r="AH524" i="132"/>
  <c r="AH353" i="132"/>
  <c r="AL65" i="132"/>
  <c r="AG65" i="132"/>
  <c r="AL346" i="132"/>
  <c r="AG346" i="132"/>
  <c r="AL307" i="132"/>
  <c r="AG307" i="132"/>
  <c r="AG280" i="132"/>
  <c r="AL280" i="132"/>
  <c r="AL220" i="132"/>
  <c r="AG220" i="132"/>
  <c r="AL63" i="132"/>
  <c r="AG63" i="132"/>
  <c r="AL649" i="132"/>
  <c r="AG649" i="132"/>
  <c r="AL641" i="132"/>
  <c r="AG641" i="132"/>
  <c r="AH408" i="132"/>
  <c r="AG159" i="132"/>
  <c r="AL159" i="132"/>
  <c r="AG143" i="132"/>
  <c r="AL143" i="132"/>
  <c r="AG122" i="132"/>
  <c r="AL122" i="132"/>
  <c r="AH223" i="132"/>
  <c r="AH647" i="132"/>
  <c r="AH608" i="132"/>
  <c r="AH591" i="132"/>
  <c r="AL529" i="132"/>
  <c r="AG529" i="132"/>
  <c r="AG267" i="132"/>
  <c r="AL258" i="132"/>
  <c r="AL386" i="132"/>
  <c r="AL297" i="132"/>
  <c r="AH230" i="132"/>
  <c r="AG208" i="132"/>
  <c r="AG49" i="132"/>
  <c r="AL38" i="132"/>
  <c r="AG38" i="132"/>
  <c r="AL132" i="132"/>
  <c r="AG132" i="132"/>
  <c r="AH575" i="132"/>
  <c r="C706" i="132"/>
  <c r="C725" i="132" s="1"/>
  <c r="AI384" i="132"/>
  <c r="AK236" i="132"/>
  <c r="AI331" i="132"/>
  <c r="AI318" i="132"/>
  <c r="AL350" i="132"/>
  <c r="AG350" i="132"/>
  <c r="AG284" i="132"/>
  <c r="AL284" i="132"/>
  <c r="AG221" i="132"/>
  <c r="AL221" i="132"/>
  <c r="AG212" i="132"/>
  <c r="AL212" i="132"/>
  <c r="AG642" i="132"/>
  <c r="AL642" i="132"/>
  <c r="AI604" i="132"/>
  <c r="AH418" i="132"/>
  <c r="AG207" i="132"/>
  <c r="AL207" i="132"/>
  <c r="AL123" i="132"/>
  <c r="AG123" i="132"/>
  <c r="AL112" i="132"/>
  <c r="AG112" i="132"/>
  <c r="AL167" i="132"/>
  <c r="AG167" i="132"/>
  <c r="AL232" i="132"/>
  <c r="AH212" i="132"/>
  <c r="AL71" i="132"/>
  <c r="AG71" i="132"/>
  <c r="AH617" i="132"/>
  <c r="AH598" i="132"/>
  <c r="AH207" i="132"/>
  <c r="AH117" i="132"/>
  <c r="AL391" i="132"/>
  <c r="AL382" i="132"/>
  <c r="AG371" i="132"/>
  <c r="AG298" i="132"/>
  <c r="AH235" i="132"/>
  <c r="AH97" i="132"/>
  <c r="AL46" i="132"/>
  <c r="AH655" i="132"/>
  <c r="AH624" i="132"/>
  <c r="AH544" i="132"/>
  <c r="AL496" i="132"/>
  <c r="AG496" i="132"/>
  <c r="AL289" i="132"/>
  <c r="AG289" i="132"/>
  <c r="AG364" i="132"/>
  <c r="AL364" i="132"/>
  <c r="AG94" i="132"/>
  <c r="AL94" i="132"/>
  <c r="AL608" i="132"/>
  <c r="AG608" i="132"/>
  <c r="AL599" i="132"/>
  <c r="AG599" i="132"/>
  <c r="AL591" i="132"/>
  <c r="AG591" i="132"/>
  <c r="AH426" i="132"/>
  <c r="AG157" i="132"/>
  <c r="AL157" i="132"/>
  <c r="AL141" i="132"/>
  <c r="AG141" i="132"/>
  <c r="AG107" i="132"/>
  <c r="AL107" i="132"/>
  <c r="AL77" i="132"/>
  <c r="AG77" i="132"/>
  <c r="AH645" i="132"/>
  <c r="AH606" i="132"/>
  <c r="AH589" i="132"/>
  <c r="AH124" i="132"/>
  <c r="AH101" i="132"/>
  <c r="AG21" i="132"/>
  <c r="AL21" i="132"/>
  <c r="AG666" i="132"/>
  <c r="AL666" i="132"/>
  <c r="AG658" i="132"/>
  <c r="AL658" i="132"/>
  <c r="AG636" i="132"/>
  <c r="AL636" i="132"/>
  <c r="AL621" i="132"/>
  <c r="AG621" i="132"/>
  <c r="AH401" i="132"/>
  <c r="AL265" i="132"/>
  <c r="AG256" i="132"/>
  <c r="AG359" i="132"/>
  <c r="AL359" i="132"/>
  <c r="AL557" i="132"/>
  <c r="AH334" i="132"/>
  <c r="AL208" i="132"/>
  <c r="AH168" i="132"/>
  <c r="AL168" i="132"/>
  <c r="AG168" i="132"/>
  <c r="AL49" i="132"/>
  <c r="AG35" i="132"/>
  <c r="AL35" i="132"/>
  <c r="AH21" i="132"/>
  <c r="AI522" i="132"/>
  <c r="AI562" i="132"/>
  <c r="AK358" i="132"/>
  <c r="AK309" i="132"/>
  <c r="AA229" i="132"/>
  <c r="AI229" i="132"/>
  <c r="AK198" i="132"/>
  <c r="AK405" i="132"/>
  <c r="AK515" i="132"/>
  <c r="AK423" i="132"/>
  <c r="AK335" i="132"/>
  <c r="AK269" i="132"/>
  <c r="AI515" i="132"/>
  <c r="AK363" i="132"/>
  <c r="M335" i="132"/>
  <c r="M215" i="132"/>
  <c r="I491" i="132"/>
  <c r="AM491" i="132" s="1"/>
  <c r="L236" i="132"/>
  <c r="AA236" i="132"/>
  <c r="I697" i="132"/>
  <c r="I719" i="132" s="1"/>
  <c r="L331" i="132"/>
  <c r="G731" i="132"/>
  <c r="Z318" i="132"/>
  <c r="M318" i="132"/>
  <c r="M99" i="132"/>
  <c r="L58" i="132"/>
  <c r="I706" i="132"/>
  <c r="I705" i="132"/>
  <c r="G705" i="132"/>
  <c r="I731" i="132"/>
  <c r="E705" i="132"/>
  <c r="E721" i="132" s="1"/>
  <c r="AA392" i="132"/>
  <c r="K263" i="132"/>
  <c r="L129" i="132"/>
  <c r="L171" i="132"/>
  <c r="L327" i="132"/>
  <c r="Z327" i="132"/>
  <c r="K318" i="132"/>
  <c r="K327" i="132"/>
  <c r="L318" i="132"/>
  <c r="K58" i="132"/>
  <c r="K236" i="132"/>
  <c r="C705" i="132"/>
  <c r="AM568" i="132"/>
  <c r="M327" i="132"/>
  <c r="Z236" i="132"/>
  <c r="K303" i="132"/>
  <c r="K205" i="132"/>
  <c r="J366" i="132"/>
  <c r="J248" i="132" s="1"/>
  <c r="AK248" i="132" s="1"/>
  <c r="M331" i="132"/>
  <c r="M58" i="132"/>
  <c r="K331" i="132"/>
  <c r="L285" i="132"/>
  <c r="M392" i="132"/>
  <c r="M372" i="132"/>
  <c r="L139" i="132"/>
  <c r="K562" i="132"/>
  <c r="M363" i="132"/>
  <c r="L269" i="132"/>
  <c r="M285" i="132"/>
  <c r="AA583" i="132"/>
  <c r="L638" i="132"/>
  <c r="AA554" i="132"/>
  <c r="AA491" i="132" s="1"/>
  <c r="Z171" i="132"/>
  <c r="K650" i="132"/>
  <c r="Z363" i="132"/>
  <c r="K492" i="132"/>
  <c r="L583" i="132"/>
  <c r="L96" i="132"/>
  <c r="AA568" i="132"/>
  <c r="Z638" i="132"/>
  <c r="Z637" i="132" s="1"/>
  <c r="M209" i="132"/>
  <c r="Z215" i="132"/>
  <c r="M348" i="132"/>
  <c r="L348" i="132"/>
  <c r="L650" i="132"/>
  <c r="J568" i="132"/>
  <c r="J567" i="132" s="1"/>
  <c r="K612" i="132"/>
  <c r="Z99" i="132"/>
  <c r="L239" i="132"/>
  <c r="K372" i="132"/>
  <c r="I249" i="132"/>
  <c r="K171" i="132"/>
  <c r="AA215" i="132"/>
  <c r="K583" i="132"/>
  <c r="M198" i="132"/>
  <c r="K363" i="132"/>
  <c r="K198" i="132"/>
  <c r="Z129" i="132"/>
  <c r="M604" i="132"/>
  <c r="L554" i="132"/>
  <c r="M139" i="132"/>
  <c r="Z96" i="132"/>
  <c r="K99" i="132"/>
  <c r="M96" i="132"/>
  <c r="L363" i="132"/>
  <c r="K290" i="132"/>
  <c r="K285" i="132"/>
  <c r="M562" i="132"/>
  <c r="K255" i="132"/>
  <c r="K61" i="132"/>
  <c r="L34" i="132"/>
  <c r="M239" i="132"/>
  <c r="M205" i="132"/>
  <c r="Z507" i="132"/>
  <c r="K554" i="132"/>
  <c r="K335" i="132"/>
  <c r="K269" i="132"/>
  <c r="K499" i="132"/>
  <c r="Z562" i="132"/>
  <c r="K530" i="132"/>
  <c r="Z604" i="132"/>
  <c r="K515" i="132"/>
  <c r="Z568" i="132"/>
  <c r="K215" i="132"/>
  <c r="K296" i="132"/>
  <c r="K309" i="132"/>
  <c r="AA638" i="132"/>
  <c r="AA637" i="132" s="1"/>
  <c r="K239" i="132"/>
  <c r="M638" i="132"/>
  <c r="M583" i="132"/>
  <c r="M554" i="132"/>
  <c r="M171" i="132"/>
  <c r="Z61" i="132"/>
  <c r="K638" i="132"/>
  <c r="Z198" i="132"/>
  <c r="M61" i="132"/>
  <c r="K348" i="132"/>
  <c r="K384" i="132"/>
  <c r="L562" i="132"/>
  <c r="L612" i="132"/>
  <c r="L604" i="132"/>
  <c r="L198" i="132"/>
  <c r="L61" i="132"/>
  <c r="AI554" i="132"/>
  <c r="J554" i="132"/>
  <c r="J491" i="132" s="1"/>
  <c r="AI650" i="132"/>
  <c r="Z414" i="132"/>
  <c r="K12" i="132"/>
  <c r="AA58" i="132"/>
  <c r="L209" i="132"/>
  <c r="M269" i="132"/>
  <c r="M650" i="132"/>
  <c r="AA139" i="132"/>
  <c r="L99" i="132"/>
  <c r="K68" i="132"/>
  <c r="Z209" i="132"/>
  <c r="AA348" i="132"/>
  <c r="Z285" i="132"/>
  <c r="K392" i="132"/>
  <c r="Z612" i="132"/>
  <c r="Z611" i="132" s="1"/>
  <c r="Z348" i="132"/>
  <c r="Z139" i="132"/>
  <c r="K129" i="132"/>
  <c r="K26" i="132"/>
  <c r="K231" i="132"/>
  <c r="K414" i="132"/>
  <c r="J239" i="132"/>
  <c r="M129" i="132"/>
  <c r="K139" i="132"/>
  <c r="K507" i="132"/>
  <c r="L215" i="132"/>
  <c r="Z583" i="132"/>
  <c r="M612" i="132"/>
  <c r="L205" i="132"/>
  <c r="K34" i="132"/>
  <c r="J611" i="132"/>
  <c r="J650" i="132"/>
  <c r="AA99" i="132"/>
  <c r="Z515" i="132"/>
  <c r="L12" i="132"/>
  <c r="N358" i="132"/>
  <c r="N611" i="132"/>
  <c r="K576" i="132"/>
  <c r="L574" i="132"/>
  <c r="K574" i="132"/>
  <c r="M579" i="132"/>
  <c r="Z229" i="132"/>
  <c r="M582" i="132"/>
  <c r="K582" i="132"/>
  <c r="K572" i="132"/>
  <c r="L570" i="132"/>
  <c r="K570" i="132"/>
  <c r="L576" i="132"/>
  <c r="L572" i="132"/>
  <c r="K579" i="132"/>
  <c r="K360" i="132"/>
  <c r="Z559" i="132"/>
  <c r="Z554" i="132" s="1"/>
  <c r="AA611" i="132"/>
  <c r="K539" i="132"/>
  <c r="AA271" i="132"/>
  <c r="AA269" i="132" s="1"/>
  <c r="Z271" i="132"/>
  <c r="Z269" i="132" s="1"/>
  <c r="K370" i="132"/>
  <c r="K366" i="132" s="1"/>
  <c r="AA246" i="132"/>
  <c r="Z246" i="132"/>
  <c r="AA244" i="132"/>
  <c r="Z244" i="132"/>
  <c r="L581" i="132"/>
  <c r="K581" i="132"/>
  <c r="M581" i="132"/>
  <c r="K575" i="132"/>
  <c r="M575" i="132"/>
  <c r="L575" i="132"/>
  <c r="K578" i="132"/>
  <c r="M578" i="132"/>
  <c r="L578" i="132"/>
  <c r="K577" i="132"/>
  <c r="M577" i="132"/>
  <c r="L577" i="132"/>
  <c r="K569" i="132"/>
  <c r="M569" i="132"/>
  <c r="L569" i="132"/>
  <c r="K571" i="132"/>
  <c r="M571" i="132"/>
  <c r="L571" i="132"/>
  <c r="K573" i="132"/>
  <c r="M573" i="132"/>
  <c r="L573" i="132"/>
  <c r="AG575" i="132" l="1"/>
  <c r="AL573" i="132"/>
  <c r="AG573" i="132"/>
  <c r="AH581" i="132"/>
  <c r="Z248" i="132"/>
  <c r="AA248" i="132"/>
  <c r="AA567" i="132"/>
  <c r="AA566" i="132" s="1"/>
  <c r="G721" i="132"/>
  <c r="AN358" i="132"/>
  <c r="N248" i="132"/>
  <c r="C721" i="132"/>
  <c r="I248" i="132"/>
  <c r="AI248" i="132" s="1"/>
  <c r="Z567" i="132"/>
  <c r="Z566" i="132" s="1"/>
  <c r="C700" i="132"/>
  <c r="F700" i="132" s="1"/>
  <c r="K698" i="132"/>
  <c r="F698" i="132"/>
  <c r="K248" i="132"/>
  <c r="L248" i="132"/>
  <c r="M248" i="132"/>
  <c r="C719" i="132"/>
  <c r="AM637" i="132"/>
  <c r="AG569" i="132"/>
  <c r="AH577" i="132"/>
  <c r="AG578" i="132"/>
  <c r="AH288" i="132"/>
  <c r="AH244" i="132"/>
  <c r="AA11" i="132"/>
  <c r="AH246" i="132"/>
  <c r="AG296" i="132"/>
  <c r="AG577" i="132"/>
  <c r="AG571" i="132"/>
  <c r="AL571" i="132"/>
  <c r="AH303" i="132"/>
  <c r="AG246" i="132"/>
  <c r="AH578" i="132"/>
  <c r="AA95" i="132"/>
  <c r="AL569" i="132"/>
  <c r="AL578" i="132"/>
  <c r="AG288" i="132"/>
  <c r="AJ611" i="132"/>
  <c r="AN611" i="132"/>
  <c r="AH618" i="132"/>
  <c r="AI249" i="132"/>
  <c r="AG249" i="132" s="1"/>
  <c r="AM249" i="132"/>
  <c r="AG367" i="132"/>
  <c r="AL367" i="132"/>
  <c r="Z95" i="132"/>
  <c r="AL72" i="132"/>
  <c r="AL288" i="132"/>
  <c r="M11" i="132"/>
  <c r="K11" i="132"/>
  <c r="AJ358" i="132"/>
  <c r="D702" i="132"/>
  <c r="AL166" i="132"/>
  <c r="AL41" i="132"/>
  <c r="AI11" i="132"/>
  <c r="AL155" i="132"/>
  <c r="L11" i="132"/>
  <c r="Z11" i="132"/>
  <c r="E702" i="132"/>
  <c r="C702" i="132"/>
  <c r="C703" i="132" s="1"/>
  <c r="AK95" i="132"/>
  <c r="L95" i="132"/>
  <c r="M95" i="132"/>
  <c r="K95" i="132"/>
  <c r="AH99" i="132"/>
  <c r="AI95" i="132"/>
  <c r="F696" i="132"/>
  <c r="N696" i="132" s="1"/>
  <c r="AL80" i="132"/>
  <c r="AK11" i="132"/>
  <c r="AH360" i="132"/>
  <c r="AG360" i="132"/>
  <c r="AH26" i="132"/>
  <c r="AH231" i="132"/>
  <c r="AL231" i="132"/>
  <c r="AH285" i="132"/>
  <c r="AG507" i="132"/>
  <c r="AG285" i="132"/>
  <c r="AH507" i="132"/>
  <c r="AL215" i="132"/>
  <c r="AG231" i="132"/>
  <c r="AH392" i="132"/>
  <c r="AL285" i="132"/>
  <c r="AL360" i="132"/>
  <c r="AL392" i="132"/>
  <c r="AG303" i="132"/>
  <c r="AG414" i="132"/>
  <c r="AH414" i="132"/>
  <c r="AL198" i="132"/>
  <c r="AL303" i="132"/>
  <c r="AH582" i="132"/>
  <c r="AH492" i="132"/>
  <c r="AH96" i="132"/>
  <c r="AH263" i="132"/>
  <c r="AG255" i="132"/>
  <c r="AL414" i="132"/>
  <c r="AL244" i="132"/>
  <c r="AH129" i="132"/>
  <c r="AG618" i="132"/>
  <c r="AH236" i="132"/>
  <c r="AH331" i="132"/>
  <c r="AK611" i="132"/>
  <c r="AG12" i="132"/>
  <c r="AG392" i="132"/>
  <c r="F725" i="132"/>
  <c r="AL309" i="132"/>
  <c r="AH12" i="132"/>
  <c r="AH562" i="132"/>
  <c r="AH574" i="132"/>
  <c r="AG26" i="132"/>
  <c r="AG583" i="132"/>
  <c r="AL583" i="132"/>
  <c r="AG215" i="132"/>
  <c r="AH583" i="132"/>
  <c r="AG348" i="132"/>
  <c r="AG309" i="132"/>
  <c r="AG198" i="132"/>
  <c r="AG327" i="132"/>
  <c r="AH530" i="132"/>
  <c r="AL26" i="132"/>
  <c r="AK209" i="132"/>
  <c r="K725" i="132"/>
  <c r="AH61" i="132"/>
  <c r="AH570" i="132"/>
  <c r="AH522" i="132"/>
  <c r="AG612" i="132"/>
  <c r="AG61" i="132"/>
  <c r="AG205" i="132"/>
  <c r="AH612" i="132"/>
  <c r="AG581" i="132"/>
  <c r="AL581" i="132"/>
  <c r="AH653" i="132"/>
  <c r="K706" i="132"/>
  <c r="AG492" i="132"/>
  <c r="AL348" i="132"/>
  <c r="AL368" i="132"/>
  <c r="AL492" i="132"/>
  <c r="AH215" i="132"/>
  <c r="AG368" i="132"/>
  <c r="F706" i="132"/>
  <c r="AG412" i="132"/>
  <c r="AH34" i="132"/>
  <c r="AH348" i="132"/>
  <c r="AH205" i="132"/>
  <c r="AL210" i="132"/>
  <c r="AG515" i="132"/>
  <c r="AL515" i="132"/>
  <c r="AG34" i="132"/>
  <c r="AH198" i="132"/>
  <c r="AG562" i="132"/>
  <c r="AL562" i="132"/>
  <c r="AL604" i="132"/>
  <c r="AG604" i="132"/>
  <c r="AH604" i="132"/>
  <c r="AH572" i="132"/>
  <c r="AH318" i="132"/>
  <c r="AH247" i="132"/>
  <c r="AL247" i="132"/>
  <c r="AG247" i="132"/>
  <c r="AG96" i="132"/>
  <c r="AL96" i="132"/>
  <c r="AG290" i="132"/>
  <c r="AL290" i="132"/>
  <c r="AL574" i="132"/>
  <c r="AG574" i="132"/>
  <c r="AH358" i="132"/>
  <c r="AK568" i="132"/>
  <c r="AL423" i="132"/>
  <c r="AG68" i="132"/>
  <c r="AL384" i="132"/>
  <c r="AG384" i="132"/>
  <c r="AL499" i="132"/>
  <c r="AG499" i="132"/>
  <c r="AH499" i="132"/>
  <c r="AH327" i="132"/>
  <c r="AH372" i="132"/>
  <c r="AL255" i="132"/>
  <c r="AG372" i="132"/>
  <c r="AL372" i="132"/>
  <c r="AL559" i="132"/>
  <c r="AG559" i="132"/>
  <c r="AI567" i="132"/>
  <c r="AI568" i="132"/>
  <c r="AH68" i="132"/>
  <c r="AG236" i="132"/>
  <c r="AL236" i="132"/>
  <c r="AL582" i="132"/>
  <c r="AG582" i="132"/>
  <c r="AH245" i="132"/>
  <c r="AL245" i="132"/>
  <c r="AG245" i="132"/>
  <c r="AL327" i="132"/>
  <c r="AL335" i="132"/>
  <c r="AH559" i="132"/>
  <c r="AG253" i="132"/>
  <c r="AL253" i="132"/>
  <c r="AH253" i="132"/>
  <c r="AL139" i="132"/>
  <c r="AG139" i="132"/>
  <c r="AG58" i="132"/>
  <c r="AL58" i="132"/>
  <c r="AL405" i="132"/>
  <c r="AK239" i="132"/>
  <c r="AL229" i="132"/>
  <c r="AG522" i="132"/>
  <c r="AL522" i="132"/>
  <c r="AG331" i="132"/>
  <c r="AL331" i="132"/>
  <c r="AH296" i="132"/>
  <c r="AL579" i="132"/>
  <c r="AG579" i="132"/>
  <c r="AL61" i="132"/>
  <c r="AH384" i="132"/>
  <c r="AH139" i="132"/>
  <c r="AL507" i="132"/>
  <c r="AL539" i="132"/>
  <c r="AG539" i="132"/>
  <c r="AH539" i="132"/>
  <c r="AL99" i="132"/>
  <c r="AG99" i="132"/>
  <c r="AL576" i="132"/>
  <c r="AG576" i="132"/>
  <c r="AL296" i="132"/>
  <c r="AL12" i="132"/>
  <c r="AL530" i="132"/>
  <c r="AG530" i="132"/>
  <c r="AL653" i="132"/>
  <c r="AG653" i="132"/>
  <c r="AG271" i="132"/>
  <c r="AL271" i="132"/>
  <c r="AH271" i="132"/>
  <c r="AL318" i="132"/>
  <c r="AG318" i="132"/>
  <c r="J637" i="132"/>
  <c r="E707" i="132" s="1"/>
  <c r="AK650" i="132"/>
  <c r="AL650" i="132" s="1"/>
  <c r="AH335" i="132"/>
  <c r="AH309" i="132"/>
  <c r="AL68" i="132"/>
  <c r="AL612" i="132"/>
  <c r="AL570" i="132"/>
  <c r="AG570" i="132"/>
  <c r="AL618" i="132"/>
  <c r="AL412" i="132"/>
  <c r="AH290" i="132"/>
  <c r="AL34" i="132"/>
  <c r="AG263" i="132"/>
  <c r="AL263" i="132"/>
  <c r="AL129" i="132"/>
  <c r="AG129" i="132"/>
  <c r="AL205" i="132"/>
  <c r="AG638" i="132"/>
  <c r="AL638" i="132"/>
  <c r="AL269" i="132"/>
  <c r="AG370" i="132"/>
  <c r="AL370" i="132"/>
  <c r="AG210" i="132"/>
  <c r="AH171" i="132"/>
  <c r="AH638" i="132"/>
  <c r="AI611" i="132"/>
  <c r="AH255" i="132"/>
  <c r="AL572" i="132"/>
  <c r="AG572" i="132"/>
  <c r="AL171" i="132"/>
  <c r="AG171" i="132"/>
  <c r="AH58" i="132"/>
  <c r="AI366" i="132"/>
  <c r="AL363" i="132"/>
  <c r="AH269" i="132"/>
  <c r="AG269" i="132"/>
  <c r="AG229" i="132"/>
  <c r="AH229" i="132"/>
  <c r="AG335" i="132"/>
  <c r="AH363" i="132"/>
  <c r="AG363" i="132"/>
  <c r="AI170" i="132"/>
  <c r="AI239" i="132"/>
  <c r="AG405" i="132"/>
  <c r="AH405" i="132"/>
  <c r="AK554" i="132"/>
  <c r="AK366" i="132"/>
  <c r="AH515" i="132"/>
  <c r="AG358" i="132"/>
  <c r="E733" i="132"/>
  <c r="E734" i="132" s="1"/>
  <c r="I733" i="132"/>
  <c r="I734" i="132" s="1"/>
  <c r="M731" i="132"/>
  <c r="C707" i="132"/>
  <c r="C708" i="132" s="1"/>
  <c r="I701" i="132"/>
  <c r="I721" i="132"/>
  <c r="I723" i="132" s="1"/>
  <c r="C715" i="132"/>
  <c r="C717" i="132" s="1"/>
  <c r="G715" i="132"/>
  <c r="I715" i="132"/>
  <c r="I718" i="132" s="1"/>
  <c r="C701" i="132"/>
  <c r="Z239" i="132"/>
  <c r="Z170" i="132" s="1"/>
  <c r="C731" i="132"/>
  <c r="K705" i="132"/>
  <c r="M705" i="132"/>
  <c r="J706" i="132"/>
  <c r="J725" i="132" s="1"/>
  <c r="I725" i="132"/>
  <c r="M725" i="132" s="1"/>
  <c r="M696" i="132"/>
  <c r="E715" i="132"/>
  <c r="M706" i="132"/>
  <c r="M698" i="132"/>
  <c r="E697" i="132"/>
  <c r="E719" i="132" s="1"/>
  <c r="J731" i="132"/>
  <c r="G697" i="132"/>
  <c r="G724" i="132"/>
  <c r="G726" i="132" s="1"/>
  <c r="J715" i="132"/>
  <c r="J705" i="132"/>
  <c r="J721" i="132" s="1"/>
  <c r="F705" i="132"/>
  <c r="AA239" i="132"/>
  <c r="AA170" i="132" s="1"/>
  <c r="K568" i="132"/>
  <c r="K567" i="132" s="1"/>
  <c r="L568" i="132"/>
  <c r="L567" i="132" s="1"/>
  <c r="M568" i="132"/>
  <c r="M567" i="132" s="1"/>
  <c r="AK567" i="132"/>
  <c r="J170" i="132"/>
  <c r="G11" i="132"/>
  <c r="H11" i="132"/>
  <c r="N491" i="132"/>
  <c r="N637" i="132"/>
  <c r="AN637" i="132" s="1"/>
  <c r="N170" i="132"/>
  <c r="AI491" i="132"/>
  <c r="M491" i="132"/>
  <c r="K611" i="132"/>
  <c r="L611" i="132"/>
  <c r="L491" i="132"/>
  <c r="M611" i="132"/>
  <c r="M170" i="132"/>
  <c r="Z491" i="132"/>
  <c r="M637" i="132"/>
  <c r="K637" i="132"/>
  <c r="K491" i="132"/>
  <c r="K170" i="132"/>
  <c r="L637" i="132"/>
  <c r="L170" i="132"/>
  <c r="U11" i="132"/>
  <c r="V11" i="132"/>
  <c r="AM248" i="132" l="1"/>
  <c r="K566" i="132"/>
  <c r="M566" i="132"/>
  <c r="L566" i="132"/>
  <c r="N566" i="132"/>
  <c r="I690" i="132"/>
  <c r="M690" i="132" s="1"/>
  <c r="C722" i="132"/>
  <c r="C723" i="132" s="1"/>
  <c r="I566" i="132"/>
  <c r="C704" i="132"/>
  <c r="C728" i="132"/>
  <c r="C709" i="132"/>
  <c r="AL358" i="132"/>
  <c r="C724" i="132"/>
  <c r="AJ248" i="132"/>
  <c r="AN248" i="132"/>
  <c r="AL249" i="132"/>
  <c r="AJ170" i="132"/>
  <c r="AN170" i="132"/>
  <c r="AJ567" i="132"/>
  <c r="AN567" i="132"/>
  <c r="AH249" i="132"/>
  <c r="AJ491" i="132"/>
  <c r="AN491" i="132"/>
  <c r="AH567" i="132"/>
  <c r="AM567" i="132"/>
  <c r="F702" i="132"/>
  <c r="AH611" i="132"/>
  <c r="AH95" i="132"/>
  <c r="AL95" i="132"/>
  <c r="AL11" i="132"/>
  <c r="AG11" i="132"/>
  <c r="N725" i="132"/>
  <c r="AH209" i="132"/>
  <c r="AH11" i="132"/>
  <c r="AG209" i="132"/>
  <c r="AG95" i="132"/>
  <c r="AL209" i="132"/>
  <c r="AH239" i="132"/>
  <c r="AG611" i="132"/>
  <c r="AG568" i="132"/>
  <c r="AH568" i="132"/>
  <c r="AK637" i="132"/>
  <c r="AL568" i="132"/>
  <c r="AI637" i="132"/>
  <c r="AL554" i="132"/>
  <c r="D707" i="132"/>
  <c r="D709" i="132" s="1"/>
  <c r="L709" i="132" s="1"/>
  <c r="AJ637" i="132"/>
  <c r="AL366" i="132"/>
  <c r="AG239" i="132"/>
  <c r="AL239" i="132"/>
  <c r="AL611" i="132"/>
  <c r="AH650" i="132"/>
  <c r="AG650" i="132"/>
  <c r="G732" i="132"/>
  <c r="C733" i="132"/>
  <c r="C734" i="132" s="1"/>
  <c r="I10" i="132"/>
  <c r="AM10" i="132" s="1"/>
  <c r="AH366" i="132"/>
  <c r="AG366" i="132"/>
  <c r="AK491" i="132"/>
  <c r="AH554" i="132"/>
  <c r="AG554" i="132"/>
  <c r="AK170" i="132"/>
  <c r="G719" i="132"/>
  <c r="K719" i="132" s="1"/>
  <c r="M734" i="132"/>
  <c r="M733" i="132"/>
  <c r="G716" i="132"/>
  <c r="G717" i="132" s="1"/>
  <c r="N10" i="132"/>
  <c r="AN10" i="132" s="1"/>
  <c r="K721" i="132"/>
  <c r="F721" i="132"/>
  <c r="N721" i="132" s="1"/>
  <c r="K715" i="132"/>
  <c r="F715" i="132"/>
  <c r="N715" i="132" s="1"/>
  <c r="F720" i="132"/>
  <c r="E723" i="132"/>
  <c r="M723" i="132" s="1"/>
  <c r="M719" i="132"/>
  <c r="E718" i="132"/>
  <c r="M718" i="132" s="1"/>
  <c r="M715" i="132"/>
  <c r="K731" i="132"/>
  <c r="F731" i="132"/>
  <c r="N731" i="132" s="1"/>
  <c r="F719" i="132"/>
  <c r="M721" i="132"/>
  <c r="J10" i="132"/>
  <c r="E728" i="132"/>
  <c r="E730" i="132" s="1"/>
  <c r="E709" i="132"/>
  <c r="J566" i="132"/>
  <c r="AK566" i="132" s="1"/>
  <c r="M10" i="132"/>
  <c r="K10" i="132"/>
  <c r="L10" i="132"/>
  <c r="E724" i="132"/>
  <c r="E704" i="132"/>
  <c r="I724" i="132"/>
  <c r="I727" i="132" s="1"/>
  <c r="I704" i="132"/>
  <c r="J703" i="132"/>
  <c r="D724" i="132"/>
  <c r="D704" i="132"/>
  <c r="E701" i="132"/>
  <c r="N706" i="132"/>
  <c r="K702" i="132"/>
  <c r="M702" i="132"/>
  <c r="M697" i="132"/>
  <c r="F697" i="132"/>
  <c r="L702" i="132"/>
  <c r="N698" i="132"/>
  <c r="N705" i="132"/>
  <c r="J697" i="132"/>
  <c r="J719" i="132" s="1"/>
  <c r="J723" i="132" s="1"/>
  <c r="K697" i="132"/>
  <c r="G707" i="132"/>
  <c r="G708" i="132" s="1"/>
  <c r="I707" i="132"/>
  <c r="J702" i="132"/>
  <c r="J724" i="132" s="1"/>
  <c r="J727" i="132" s="1"/>
  <c r="W10" i="132"/>
  <c r="Z10" i="132"/>
  <c r="Y10" i="132"/>
  <c r="AA10" i="132"/>
  <c r="X10" i="132"/>
  <c r="X686" i="132" s="1"/>
  <c r="X688" i="132" s="1"/>
  <c r="AO10" i="132" l="1"/>
  <c r="W686" i="132"/>
  <c r="W688" i="132" s="1"/>
  <c r="C729" i="132"/>
  <c r="C730" i="132" s="1"/>
  <c r="K690" i="132"/>
  <c r="L690" i="132"/>
  <c r="C726" i="132"/>
  <c r="C727" i="132" s="1"/>
  <c r="F722" i="132"/>
  <c r="W689" i="132"/>
  <c r="G699" i="132" s="1"/>
  <c r="G700" i="132" s="1"/>
  <c r="W690" i="132" s="1"/>
  <c r="G728" i="132"/>
  <c r="I686" i="132"/>
  <c r="F703" i="132"/>
  <c r="N703" i="132" s="1"/>
  <c r="C710" i="132"/>
  <c r="AL248" i="132"/>
  <c r="AG567" i="132"/>
  <c r="AL491" i="132"/>
  <c r="AJ566" i="132"/>
  <c r="AN566" i="132"/>
  <c r="AL170" i="132"/>
  <c r="AL567" i="132"/>
  <c r="AI566" i="132"/>
  <c r="AH566" i="132" s="1"/>
  <c r="AM566" i="132"/>
  <c r="E710" i="132"/>
  <c r="AI10" i="132"/>
  <c r="F707" i="132"/>
  <c r="AG170" i="132"/>
  <c r="L707" i="132"/>
  <c r="D728" i="132"/>
  <c r="F728" i="132" s="1"/>
  <c r="AG491" i="132"/>
  <c r="F733" i="132"/>
  <c r="AH170" i="132"/>
  <c r="AG637" i="132"/>
  <c r="AL637" i="132"/>
  <c r="AH491" i="132"/>
  <c r="N687" i="132"/>
  <c r="AN687" i="132" s="1"/>
  <c r="AJ10" i="132"/>
  <c r="AH637" i="132"/>
  <c r="F734" i="132"/>
  <c r="AG248" i="132"/>
  <c r="G733" i="132"/>
  <c r="AH248" i="132"/>
  <c r="G720" i="132"/>
  <c r="G718" i="132"/>
  <c r="K732" i="132"/>
  <c r="J732" i="132"/>
  <c r="N732" i="132" s="1"/>
  <c r="G727" i="132"/>
  <c r="K724" i="132"/>
  <c r="F724" i="132"/>
  <c r="N724" i="132" s="1"/>
  <c r="J717" i="132"/>
  <c r="J716" i="132"/>
  <c r="N719" i="132"/>
  <c r="F716" i="132"/>
  <c r="K716" i="132"/>
  <c r="F723" i="132"/>
  <c r="N723" i="132" s="1"/>
  <c r="E727" i="132"/>
  <c r="M727" i="132" s="1"/>
  <c r="M724" i="132"/>
  <c r="D727" i="132"/>
  <c r="L724" i="132"/>
  <c r="C718" i="132"/>
  <c r="M686" i="132"/>
  <c r="M688" i="132" s="1"/>
  <c r="M691" i="132" s="1"/>
  <c r="K686" i="132"/>
  <c r="K688" i="132" s="1"/>
  <c r="L686" i="132"/>
  <c r="L688" i="132" s="1"/>
  <c r="M707" i="132"/>
  <c r="I709" i="132"/>
  <c r="I710" i="132" s="1"/>
  <c r="M701" i="132"/>
  <c r="G709" i="132"/>
  <c r="K709" i="132" s="1"/>
  <c r="G704" i="132"/>
  <c r="L704" i="132"/>
  <c r="D710" i="132"/>
  <c r="F704" i="132"/>
  <c r="K703" i="132"/>
  <c r="M704" i="132"/>
  <c r="I728" i="132"/>
  <c r="K707" i="132"/>
  <c r="F709" i="132"/>
  <c r="N697" i="132"/>
  <c r="N702" i="132"/>
  <c r="J707" i="132"/>
  <c r="F701" i="132"/>
  <c r="Z686" i="132"/>
  <c r="Z688" i="132" s="1"/>
  <c r="Y686" i="132"/>
  <c r="Y688" i="132" s="1"/>
  <c r="AA686" i="132"/>
  <c r="AA688" i="132" s="1"/>
  <c r="J686" i="132"/>
  <c r="H10" i="132"/>
  <c r="G10" i="132"/>
  <c r="AK10" i="132"/>
  <c r="F729" i="132" l="1"/>
  <c r="F726" i="132"/>
  <c r="AO689" i="132"/>
  <c r="G729" i="132"/>
  <c r="G730" i="132" s="1"/>
  <c r="C735" i="132"/>
  <c r="K727" i="132"/>
  <c r="G722" i="132"/>
  <c r="J722" i="132" s="1"/>
  <c r="N722" i="132" s="1"/>
  <c r="Z690" i="132"/>
  <c r="Y690" i="132"/>
  <c r="AA690" i="132"/>
  <c r="AI689" i="132"/>
  <c r="AL689" i="132" s="1"/>
  <c r="AG566" i="132"/>
  <c r="AL566" i="132"/>
  <c r="I688" i="132"/>
  <c r="AM686" i="132"/>
  <c r="M710" i="132"/>
  <c r="L710" i="132"/>
  <c r="C743" i="132" s="1"/>
  <c r="D711" i="132"/>
  <c r="D730" i="132"/>
  <c r="L730" i="132" s="1"/>
  <c r="L728" i="132"/>
  <c r="N688" i="132"/>
  <c r="AN688" i="132" s="1"/>
  <c r="AJ687" i="132"/>
  <c r="J733" i="132"/>
  <c r="N733" i="132" s="1"/>
  <c r="K733" i="132"/>
  <c r="J688" i="132"/>
  <c r="J691" i="132" s="1"/>
  <c r="AK686" i="132"/>
  <c r="G734" i="132"/>
  <c r="K720" i="132"/>
  <c r="J720" i="132"/>
  <c r="N720" i="132" s="1"/>
  <c r="I735" i="132"/>
  <c r="I730" i="132"/>
  <c r="M730" i="132" s="1"/>
  <c r="J726" i="132"/>
  <c r="N726" i="132" s="1"/>
  <c r="K726" i="132"/>
  <c r="J718" i="132"/>
  <c r="E735" i="132"/>
  <c r="M728" i="132"/>
  <c r="F718" i="132"/>
  <c r="K728" i="132"/>
  <c r="F717" i="132"/>
  <c r="N717" i="132" s="1"/>
  <c r="K717" i="132"/>
  <c r="D735" i="132"/>
  <c r="L727" i="132"/>
  <c r="N716" i="132"/>
  <c r="F727" i="132"/>
  <c r="N727" i="132" s="1"/>
  <c r="J708" i="132"/>
  <c r="K691" i="132"/>
  <c r="L691" i="132"/>
  <c r="J704" i="132"/>
  <c r="N704" i="132" s="1"/>
  <c r="O704" i="132" s="1"/>
  <c r="K704" i="132"/>
  <c r="M709" i="132"/>
  <c r="N707" i="132"/>
  <c r="J728" i="132"/>
  <c r="F710" i="132"/>
  <c r="J709" i="132"/>
  <c r="N709" i="132" s="1"/>
  <c r="K722" i="132" l="1"/>
  <c r="O709" i="132"/>
  <c r="G723" i="132"/>
  <c r="K723" i="132" s="1"/>
  <c r="C744" i="132"/>
  <c r="F730" i="132"/>
  <c r="AM688" i="132"/>
  <c r="AM690" i="132"/>
  <c r="F735" i="132"/>
  <c r="J730" i="132"/>
  <c r="N691" i="132"/>
  <c r="AJ688" i="132"/>
  <c r="AK688" i="132"/>
  <c r="J734" i="132"/>
  <c r="N734" i="132" s="1"/>
  <c r="K734" i="132"/>
  <c r="K730" i="132"/>
  <c r="M735" i="132"/>
  <c r="J729" i="132"/>
  <c r="N729" i="132" s="1"/>
  <c r="K729" i="132"/>
  <c r="N728" i="132"/>
  <c r="N718" i="132"/>
  <c r="K718" i="132"/>
  <c r="L735" i="132"/>
  <c r="Z691" i="132"/>
  <c r="Y691" i="132"/>
  <c r="X691" i="132"/>
  <c r="G735" i="132" l="1"/>
  <c r="K735" i="132" s="1"/>
  <c r="N730" i="132"/>
  <c r="I691" i="132"/>
  <c r="AM691" i="132" s="1"/>
  <c r="AJ691" i="132"/>
  <c r="AN691" i="132"/>
  <c r="AK691" i="132"/>
  <c r="J735" i="132" l="1"/>
  <c r="N735" i="132" s="1"/>
  <c r="A23" i="5" l="1"/>
  <c r="A25" i="5"/>
  <c r="A26" i="5" s="1"/>
  <c r="A27" i="5" s="1"/>
  <c r="A28" i="5" s="1"/>
  <c r="A29" i="5" s="1"/>
  <c r="A31" i="5"/>
  <c r="A33" i="5"/>
  <c r="A34" i="5" s="1"/>
  <c r="A35" i="5" s="1"/>
  <c r="A36" i="5" s="1"/>
  <c r="A37" i="5" s="1"/>
  <c r="A38" i="5" s="1"/>
  <c r="A39" i="5" s="1"/>
  <c r="A40" i="5" s="1"/>
  <c r="A41" i="5" s="1"/>
  <c r="A43" i="5"/>
  <c r="A44" i="5" s="1"/>
  <c r="A46" i="5"/>
  <c r="A47" i="5" s="1"/>
  <c r="A48" i="5" s="1"/>
  <c r="A49" i="5" s="1"/>
  <c r="A51" i="5"/>
  <c r="A53" i="5"/>
  <c r="A55" i="5"/>
  <c r="A56" i="5" s="1"/>
  <c r="A58" i="5"/>
  <c r="A63" i="5"/>
  <c r="A65" i="5"/>
  <c r="A66" i="5" s="1"/>
  <c r="A67" i="5" s="1"/>
  <c r="A68" i="5" s="1"/>
  <c r="A70" i="5"/>
  <c r="A71" i="5" s="1"/>
  <c r="A73" i="5"/>
  <c r="A75" i="5"/>
  <c r="A76" i="5" s="1"/>
  <c r="A77" i="5" s="1"/>
  <c r="A78" i="5" s="1"/>
  <c r="A79" i="5" s="1"/>
  <c r="A81" i="5"/>
  <c r="A83" i="5"/>
  <c r="A85" i="5"/>
  <c r="A89" i="5"/>
  <c r="C16" i="3"/>
  <c r="C17" i="3"/>
  <c r="A28" i="3"/>
  <c r="H28" i="3"/>
  <c r="K28" i="3" s="1"/>
  <c r="I29" i="3"/>
  <c r="J29" i="3"/>
  <c r="L29" i="3"/>
  <c r="M29" i="3"/>
  <c r="N29" i="3"/>
  <c r="O29" i="3"/>
  <c r="A31" i="3"/>
  <c r="A32" i="3" s="1"/>
  <c r="A33" i="3" s="1"/>
  <c r="A34" i="3" s="1"/>
  <c r="A35" i="3" s="1"/>
  <c r="H31" i="3"/>
  <c r="K31" i="3" s="1"/>
  <c r="H32" i="3"/>
  <c r="K32" i="3" s="1"/>
  <c r="F33" i="3"/>
  <c r="H33" i="3" s="1"/>
  <c r="H34" i="3"/>
  <c r="K34" i="3" s="1"/>
  <c r="F35" i="3"/>
  <c r="H35" i="3" s="1"/>
  <c r="K35" i="3" s="1"/>
  <c r="I36" i="3"/>
  <c r="J36" i="3"/>
  <c r="L36" i="3"/>
  <c r="A38" i="3"/>
  <c r="E38" i="3"/>
  <c r="H38" i="3" s="1"/>
  <c r="K38" i="3" s="1"/>
  <c r="I39" i="3"/>
  <c r="J39" i="3"/>
  <c r="L39" i="3"/>
  <c r="A41" i="3"/>
  <c r="D41" i="3"/>
  <c r="F41" i="3"/>
  <c r="J41" i="3" s="1"/>
  <c r="J50" i="3" s="1"/>
  <c r="A42" i="3"/>
  <c r="A43" i="3" s="1"/>
  <c r="A44" i="3" s="1"/>
  <c r="A45" i="3" s="1"/>
  <c r="A46" i="3" s="1"/>
  <c r="A47" i="3" s="1"/>
  <c r="A48" i="3" s="1"/>
  <c r="A49" i="3" s="1"/>
  <c r="D42" i="3"/>
  <c r="H42" i="3" s="1"/>
  <c r="J42" i="3"/>
  <c r="D43" i="3"/>
  <c r="H43" i="3" s="1"/>
  <c r="K43" i="3" s="1"/>
  <c r="F44" i="3"/>
  <c r="H44" i="3" s="1"/>
  <c r="K44" i="3" s="1"/>
  <c r="F45" i="3"/>
  <c r="H45" i="3" s="1"/>
  <c r="K45" i="3" s="1"/>
  <c r="F46" i="3"/>
  <c r="H46" i="3" s="1"/>
  <c r="K46" i="3" s="1"/>
  <c r="F47" i="3"/>
  <c r="H47" i="3" s="1"/>
  <c r="K47" i="3" s="1"/>
  <c r="F48" i="3"/>
  <c r="H48" i="3" s="1"/>
  <c r="K48" i="3" s="1"/>
  <c r="F49" i="3"/>
  <c r="H49" i="3" s="1"/>
  <c r="K49" i="3" s="1"/>
  <c r="I50" i="3"/>
  <c r="L50" i="3"/>
  <c r="O50" i="3"/>
  <c r="A52" i="3"/>
  <c r="A53" i="3" s="1"/>
  <c r="H52" i="3"/>
  <c r="K52" i="3" s="1"/>
  <c r="F53" i="3"/>
  <c r="H53" i="3" s="1"/>
  <c r="K53" i="3" s="1"/>
  <c r="I54" i="3"/>
  <c r="J54" i="3"/>
  <c r="L54" i="3"/>
  <c r="M54" i="3"/>
  <c r="O54" i="3"/>
  <c r="A56" i="3"/>
  <c r="A57" i="3" s="1"/>
  <c r="A58" i="3" s="1"/>
  <c r="A60" i="3" s="1"/>
  <c r="H56" i="3"/>
  <c r="K56" i="3" s="1"/>
  <c r="F57" i="3"/>
  <c r="H57" i="3" s="1"/>
  <c r="I57" i="3" s="1"/>
  <c r="F58" i="3"/>
  <c r="H58" i="3" s="1"/>
  <c r="H59" i="3"/>
  <c r="K59" i="3" s="1"/>
  <c r="M59" i="3" s="1"/>
  <c r="N59" i="3" s="1"/>
  <c r="H60" i="3"/>
  <c r="K60" i="3" s="1"/>
  <c r="J61" i="3"/>
  <c r="L61" i="3"/>
  <c r="A63" i="3"/>
  <c r="H63" i="3"/>
  <c r="K63" i="3" s="1"/>
  <c r="I64" i="3"/>
  <c r="J64" i="3"/>
  <c r="L64" i="3"/>
  <c r="M64" i="3"/>
  <c r="N64" i="3"/>
  <c r="O64" i="3"/>
  <c r="A66" i="3"/>
  <c r="D66" i="3"/>
  <c r="F66" i="3"/>
  <c r="I67" i="3"/>
  <c r="J67" i="3"/>
  <c r="L67" i="3"/>
  <c r="M67" i="3"/>
  <c r="N67" i="3"/>
  <c r="O67" i="3"/>
  <c r="A69" i="3"/>
  <c r="A70" i="3" s="1"/>
  <c r="H69" i="3"/>
  <c r="I69" i="3" s="1"/>
  <c r="F70" i="3"/>
  <c r="H70" i="3" s="1"/>
  <c r="J71" i="3"/>
  <c r="L71" i="3"/>
  <c r="M71" i="3"/>
  <c r="N71" i="3"/>
  <c r="O71" i="3"/>
  <c r="A73" i="3"/>
  <c r="H73" i="3"/>
  <c r="K73" i="3" s="1"/>
  <c r="I74" i="3"/>
  <c r="J74" i="3"/>
  <c r="L74" i="3"/>
  <c r="M74" i="3"/>
  <c r="N74" i="3"/>
  <c r="O74" i="3"/>
  <c r="A81" i="3"/>
  <c r="H81" i="3"/>
  <c r="K81" i="3" s="1"/>
  <c r="I82" i="3"/>
  <c r="J82" i="3"/>
  <c r="L82" i="3"/>
  <c r="M82" i="3"/>
  <c r="N82" i="3"/>
  <c r="O82" i="3"/>
  <c r="A84" i="3"/>
  <c r="A85" i="3" s="1"/>
  <c r="A86" i="3" s="1"/>
  <c r="A87" i="3" s="1"/>
  <c r="H84" i="3"/>
  <c r="K84" i="3" s="1"/>
  <c r="M84" i="3" s="1"/>
  <c r="H85" i="3"/>
  <c r="K85" i="3" s="1"/>
  <c r="H86" i="3"/>
  <c r="K86" i="3" s="1"/>
  <c r="M86" i="3" s="1"/>
  <c r="H87" i="3"/>
  <c r="K87" i="3" s="1"/>
  <c r="I88" i="3"/>
  <c r="J88" i="3"/>
  <c r="L88" i="3"/>
  <c r="A90" i="3"/>
  <c r="A91" i="3" s="1"/>
  <c r="E90" i="3"/>
  <c r="H90" i="3" s="1"/>
  <c r="E91" i="3"/>
  <c r="H91" i="3" s="1"/>
  <c r="K91" i="3" s="1"/>
  <c r="I92" i="3"/>
  <c r="J92" i="3"/>
  <c r="L92" i="3"/>
  <c r="A94" i="3"/>
  <c r="H94" i="3"/>
  <c r="H95" i="3" s="1"/>
  <c r="I95" i="3"/>
  <c r="J95" i="3"/>
  <c r="L95" i="3"/>
  <c r="M95" i="3"/>
  <c r="N95" i="3"/>
  <c r="O95" i="3"/>
  <c r="A97" i="3"/>
  <c r="A98" i="3" s="1"/>
  <c r="A99" i="3" s="1"/>
  <c r="A100" i="3" s="1"/>
  <c r="A101" i="3" s="1"/>
  <c r="H97" i="3"/>
  <c r="K97" i="3" s="1"/>
  <c r="H98" i="3"/>
  <c r="K98" i="3" s="1"/>
  <c r="M98" i="3" s="1"/>
  <c r="F99" i="3"/>
  <c r="H99" i="3" s="1"/>
  <c r="E100" i="3"/>
  <c r="F100" i="3"/>
  <c r="H100" i="3" s="1"/>
  <c r="K100" i="3" s="1"/>
  <c r="F101" i="3"/>
  <c r="H101" i="3" s="1"/>
  <c r="K101" i="3" s="1"/>
  <c r="I102" i="3"/>
  <c r="J102" i="3"/>
  <c r="L102" i="3"/>
  <c r="A104" i="3"/>
  <c r="H104" i="3"/>
  <c r="K104" i="3" s="1"/>
  <c r="I105" i="3"/>
  <c r="J105" i="3"/>
  <c r="L105" i="3"/>
  <c r="N105" i="3"/>
  <c r="O105" i="3"/>
  <c r="A107" i="3"/>
  <c r="H107" i="3"/>
  <c r="K107" i="3" s="1"/>
  <c r="I108" i="3"/>
  <c r="J108" i="3"/>
  <c r="L108" i="3"/>
  <c r="M108" i="3"/>
  <c r="N108" i="3"/>
  <c r="O108" i="3"/>
  <c r="A110" i="3"/>
  <c r="I111" i="3"/>
  <c r="J111" i="3"/>
  <c r="L111" i="3"/>
  <c r="A117" i="3"/>
  <c r="H117" i="3"/>
  <c r="K117" i="3" s="1"/>
  <c r="I118" i="3"/>
  <c r="J118" i="3"/>
  <c r="L118" i="3"/>
  <c r="M118" i="3"/>
  <c r="N118" i="3"/>
  <c r="O118" i="3"/>
  <c r="A122" i="3"/>
  <c r="M122" i="3"/>
  <c r="P122" i="3" s="1"/>
  <c r="P123" i="3" s="1"/>
  <c r="P16" i="3" s="1"/>
  <c r="H123" i="3"/>
  <c r="I123" i="3"/>
  <c r="J123" i="3"/>
  <c r="K123" i="3"/>
  <c r="K16" i="3" s="1"/>
  <c r="N123" i="3"/>
  <c r="N16" i="3" s="1"/>
  <c r="O123" i="3"/>
  <c r="O16" i="3" s="1"/>
  <c r="C9" i="20"/>
  <c r="D9" i="20"/>
  <c r="E9" i="20"/>
  <c r="F9" i="20"/>
  <c r="G9" i="20"/>
  <c r="H9" i="20"/>
  <c r="I9" i="20"/>
  <c r="J9" i="20"/>
  <c r="K9" i="20"/>
  <c r="C13" i="20"/>
  <c r="D13" i="20"/>
  <c r="E13" i="20"/>
  <c r="F13" i="20"/>
  <c r="G13" i="20"/>
  <c r="H13" i="20"/>
  <c r="I13" i="20"/>
  <c r="J13" i="20"/>
  <c r="K13" i="20"/>
  <c r="C17" i="20"/>
  <c r="D17" i="20"/>
  <c r="E17" i="20"/>
  <c r="F17" i="20"/>
  <c r="G17" i="20"/>
  <c r="H17" i="20"/>
  <c r="I17" i="20"/>
  <c r="J17" i="20"/>
  <c r="K17" i="20"/>
  <c r="G19" i="20"/>
  <c r="H19" i="20"/>
  <c r="I19" i="20"/>
  <c r="J19" i="20"/>
  <c r="J22" i="20" s="1"/>
  <c r="G20" i="20"/>
  <c r="H20" i="20"/>
  <c r="I20" i="20"/>
  <c r="J20" i="20"/>
  <c r="G21" i="20"/>
  <c r="H21" i="20"/>
  <c r="I21" i="20"/>
  <c r="J21" i="20"/>
  <c r="C22" i="20"/>
  <c r="D22" i="20"/>
  <c r="E22" i="20"/>
  <c r="F22" i="20"/>
  <c r="G22" i="20"/>
  <c r="H22" i="20"/>
  <c r="I22" i="20"/>
  <c r="K22" i="20"/>
  <c r="C24" i="20"/>
  <c r="D24" i="20"/>
  <c r="E24" i="20"/>
  <c r="C25" i="20"/>
  <c r="D25" i="20"/>
  <c r="E25" i="20"/>
  <c r="E23" i="20" l="1"/>
  <c r="H41" i="3"/>
  <c r="H50" i="3" s="1"/>
  <c r="K94" i="3"/>
  <c r="P94" i="3" s="1"/>
  <c r="P95" i="3" s="1"/>
  <c r="F23" i="20"/>
  <c r="K42" i="3"/>
  <c r="J75" i="3"/>
  <c r="J23" i="20"/>
  <c r="I23" i="20"/>
  <c r="M123" i="3"/>
  <c r="M16" i="3" s="1"/>
  <c r="G23" i="20"/>
  <c r="D23" i="20"/>
  <c r="I112" i="3"/>
  <c r="H66" i="3"/>
  <c r="L75" i="3"/>
  <c r="K23" i="20"/>
  <c r="C23" i="20"/>
  <c r="C26" i="20" s="1"/>
  <c r="H23" i="20"/>
  <c r="I70" i="3"/>
  <c r="K70" i="3" s="1"/>
  <c r="P70" i="3" s="1"/>
  <c r="H71" i="3"/>
  <c r="N34" i="3"/>
  <c r="O34" i="3"/>
  <c r="M32" i="3"/>
  <c r="N32" i="3"/>
  <c r="M31" i="3"/>
  <c r="N31" i="3"/>
  <c r="J112" i="3"/>
  <c r="H105" i="3"/>
  <c r="N98" i="3"/>
  <c r="H88" i="3"/>
  <c r="N86" i="3"/>
  <c r="N84" i="3"/>
  <c r="H54" i="3"/>
  <c r="H39" i="3"/>
  <c r="P107" i="3"/>
  <c r="P108" i="3" s="1"/>
  <c r="K108" i="3"/>
  <c r="K105" i="3"/>
  <c r="M104" i="3"/>
  <c r="M105" i="3" s="1"/>
  <c r="K99" i="3"/>
  <c r="H102" i="3"/>
  <c r="M91" i="3"/>
  <c r="O91" i="3"/>
  <c r="N91" i="3"/>
  <c r="P91" i="3"/>
  <c r="H92" i="3"/>
  <c r="K90" i="3"/>
  <c r="N87" i="3"/>
  <c r="M87" i="3"/>
  <c r="O87" i="3"/>
  <c r="N85" i="3"/>
  <c r="M85" i="3"/>
  <c r="O85" i="3"/>
  <c r="K69" i="3"/>
  <c r="K66" i="3"/>
  <c r="H67" i="3"/>
  <c r="K58" i="3"/>
  <c r="H61" i="3"/>
  <c r="N56" i="3"/>
  <c r="M56" i="3"/>
  <c r="O56" i="3"/>
  <c r="N53" i="3"/>
  <c r="P53" i="3" s="1"/>
  <c r="M49" i="3"/>
  <c r="P49" i="3" s="1"/>
  <c r="M47" i="3"/>
  <c r="P47" i="3" s="1"/>
  <c r="M45" i="3"/>
  <c r="P45" i="3" s="1"/>
  <c r="N43" i="3"/>
  <c r="P43" i="3" s="1"/>
  <c r="N42" i="3"/>
  <c r="P42" i="3" s="1"/>
  <c r="N38" i="3"/>
  <c r="N39" i="3" s="1"/>
  <c r="K39" i="3"/>
  <c r="M38" i="3"/>
  <c r="M39" i="3" s="1"/>
  <c r="O38" i="3"/>
  <c r="O39" i="3" s="1"/>
  <c r="O35" i="3"/>
  <c r="N35" i="3"/>
  <c r="P35" i="3" s="1"/>
  <c r="P28" i="3"/>
  <c r="P29" i="3" s="1"/>
  <c r="K29" i="3"/>
  <c r="P117" i="3"/>
  <c r="P118" i="3" s="1"/>
  <c r="K118" i="3"/>
  <c r="K21" i="3" s="1"/>
  <c r="N101" i="3"/>
  <c r="M101" i="3"/>
  <c r="O101" i="3"/>
  <c r="N100" i="3"/>
  <c r="M100" i="3"/>
  <c r="O100" i="3"/>
  <c r="N97" i="3"/>
  <c r="K102" i="3"/>
  <c r="M97" i="3"/>
  <c r="O97" i="3"/>
  <c r="P81" i="3"/>
  <c r="P82" i="3" s="1"/>
  <c r="K82" i="3"/>
  <c r="P73" i="3"/>
  <c r="P74" i="3" s="1"/>
  <c r="K74" i="3"/>
  <c r="P63" i="3"/>
  <c r="P64" i="3" s="1"/>
  <c r="K64" i="3"/>
  <c r="N60" i="3"/>
  <c r="M60" i="3"/>
  <c r="O60" i="3"/>
  <c r="I61" i="3"/>
  <c r="K57" i="3"/>
  <c r="K54" i="3"/>
  <c r="N52" i="3"/>
  <c r="N54" i="3" s="1"/>
  <c r="M48" i="3"/>
  <c r="P48" i="3" s="1"/>
  <c r="M46" i="3"/>
  <c r="P46" i="3" s="1"/>
  <c r="M44" i="3"/>
  <c r="M50" i="3" s="1"/>
  <c r="H36" i="3"/>
  <c r="K33" i="3"/>
  <c r="H118" i="3"/>
  <c r="H108" i="3"/>
  <c r="O98" i="3"/>
  <c r="P98" i="3" s="1"/>
  <c r="K95" i="3"/>
  <c r="K88" i="3"/>
  <c r="O86" i="3"/>
  <c r="O84" i="3"/>
  <c r="H82" i="3"/>
  <c r="H74" i="3"/>
  <c r="H64" i="3"/>
  <c r="O32" i="3"/>
  <c r="O31" i="3"/>
  <c r="H29" i="3"/>
  <c r="K41" i="3" l="1"/>
  <c r="P86" i="3"/>
  <c r="I71" i="3"/>
  <c r="I75" i="3" s="1"/>
  <c r="K12" i="3" s="1"/>
  <c r="P34" i="3"/>
  <c r="K13" i="3"/>
  <c r="N88" i="3"/>
  <c r="P101" i="3"/>
  <c r="P87" i="3"/>
  <c r="H75" i="3"/>
  <c r="P32" i="3"/>
  <c r="O88" i="3"/>
  <c r="P60" i="3"/>
  <c r="P100" i="3"/>
  <c r="M88" i="3"/>
  <c r="P85" i="3"/>
  <c r="O36" i="3"/>
  <c r="P44" i="3"/>
  <c r="M57" i="3"/>
  <c r="O57" i="3"/>
  <c r="N57" i="3"/>
  <c r="P56" i="3"/>
  <c r="P69" i="3"/>
  <c r="P71" i="3" s="1"/>
  <c r="K71" i="3"/>
  <c r="P84" i="3"/>
  <c r="P88" i="3" s="1"/>
  <c r="P104" i="3"/>
  <c r="P105" i="3" s="1"/>
  <c r="M33" i="3"/>
  <c r="M36" i="3" s="1"/>
  <c r="N33" i="3"/>
  <c r="N36" i="3" s="1"/>
  <c r="K36" i="3"/>
  <c r="P52" i="3"/>
  <c r="P54" i="3" s="1"/>
  <c r="P97" i="3"/>
  <c r="P38" i="3"/>
  <c r="P39" i="3" s="1"/>
  <c r="K61" i="3"/>
  <c r="M58" i="3"/>
  <c r="O58" i="3"/>
  <c r="N58" i="3"/>
  <c r="N61" i="3" s="1"/>
  <c r="P66" i="3"/>
  <c r="P67" i="3" s="1"/>
  <c r="K67" i="3"/>
  <c r="D110" i="3" s="1"/>
  <c r="H110" i="3" s="1"/>
  <c r="M90" i="3"/>
  <c r="M92" i="3" s="1"/>
  <c r="O90" i="3"/>
  <c r="O92" i="3" s="1"/>
  <c r="N90" i="3"/>
  <c r="N92" i="3" s="1"/>
  <c r="K92" i="3"/>
  <c r="M99" i="3"/>
  <c r="O99" i="3"/>
  <c r="O102" i="3" s="1"/>
  <c r="N99" i="3"/>
  <c r="N102" i="3" s="1"/>
  <c r="N41" i="3" l="1"/>
  <c r="N50" i="3" s="1"/>
  <c r="K50" i="3"/>
  <c r="P41" i="3"/>
  <c r="P50" i="3" s="1"/>
  <c r="M61" i="3"/>
  <c r="P33" i="3"/>
  <c r="P36" i="3" s="1"/>
  <c r="K75" i="3"/>
  <c r="K18" i="3" s="1"/>
  <c r="P99" i="3"/>
  <c r="P90" i="3"/>
  <c r="P92" i="3" s="1"/>
  <c r="P58" i="3"/>
  <c r="O61" i="3"/>
  <c r="O75" i="3" s="1"/>
  <c r="O110" i="3" s="1"/>
  <c r="O111" i="3" s="1"/>
  <c r="O112" i="3" s="1"/>
  <c r="O17" i="3" s="1"/>
  <c r="P57" i="3"/>
  <c r="K110" i="3"/>
  <c r="H111" i="3"/>
  <c r="H112" i="3" s="1"/>
  <c r="K11" i="3" s="1"/>
  <c r="M102" i="3"/>
  <c r="P102" i="3"/>
  <c r="N75" i="3"/>
  <c r="N110" i="3" s="1"/>
  <c r="N111" i="3" s="1"/>
  <c r="N112" i="3" s="1"/>
  <c r="N17" i="3" s="1"/>
  <c r="M75" i="3"/>
  <c r="M110" i="3" s="1"/>
  <c r="M111" i="3" s="1"/>
  <c r="P61" i="3" l="1"/>
  <c r="P75" i="3" s="1"/>
  <c r="M112" i="3"/>
  <c r="M17" i="3" s="1"/>
  <c r="C18" i="3"/>
  <c r="C19" i="3"/>
  <c r="K14" i="3"/>
  <c r="P110" i="3"/>
  <c r="P111" i="3" s="1"/>
  <c r="P112" i="3" s="1"/>
  <c r="P17" i="3" s="1"/>
  <c r="K111" i="3"/>
  <c r="K112" i="3" s="1"/>
  <c r="K20" i="3" l="1"/>
  <c r="K19" i="3"/>
  <c r="K15" i="3"/>
  <c r="K17" i="3"/>
  <c r="AO686" i="132" l="1"/>
  <c r="U10" i="132"/>
  <c r="V10" i="132"/>
  <c r="AI686" i="132" l="1"/>
  <c r="AH10" i="132"/>
  <c r="AL10" i="132"/>
  <c r="AT7" i="132" s="1"/>
  <c r="AG10" i="132"/>
  <c r="AI688" i="132" l="1"/>
  <c r="AL688" i="132" s="1"/>
  <c r="AO688" i="132"/>
  <c r="AL686" i="132"/>
  <c r="AH686" i="132"/>
  <c r="AG686" i="132"/>
  <c r="W691" i="132" l="1"/>
  <c r="AO690" i="132"/>
  <c r="AI690" i="132"/>
  <c r="AL690" i="132" s="1"/>
  <c r="AL691" i="132" s="1"/>
  <c r="AA689" i="132"/>
  <c r="AI691" i="132" l="1"/>
  <c r="AO691" i="132"/>
  <c r="J699" i="132"/>
  <c r="N699" i="132" s="1"/>
  <c r="K699" i="132"/>
  <c r="AA691" i="132"/>
  <c r="J700" i="132" l="1"/>
  <c r="N700" i="132" s="1"/>
  <c r="K700" i="132"/>
  <c r="G701" i="132"/>
  <c r="G710" i="132" s="1"/>
  <c r="K710" i="132" l="1"/>
  <c r="H711" i="132"/>
  <c r="K701" i="132"/>
  <c r="J701" i="132"/>
  <c r="N701" i="132" s="1"/>
  <c r="O701" i="132" s="1"/>
  <c r="J710" i="132"/>
  <c r="N710" i="132" s="1"/>
  <c r="O710" i="132" s="1"/>
  <c r="F708" i="132"/>
  <c r="N708" i="132" s="1"/>
  <c r="K708" i="132"/>
  <c r="L711" i="132" l="1"/>
  <c r="C742" i="132"/>
  <c r="C745" i="132" l="1"/>
  <c r="D742" i="132" s="1"/>
  <c r="D745" i="132" l="1"/>
  <c r="D743" i="132"/>
  <c r="D744" i="132"/>
</calcChain>
</file>

<file path=xl/sharedStrings.xml><?xml version="1.0" encoding="utf-8"?>
<sst xmlns="http://schemas.openxmlformats.org/spreadsheetml/2006/main" count="5520" uniqueCount="2115">
  <si>
    <t>ProDoc 2 : Plan de travail et Budget du programme</t>
  </si>
  <si>
    <t>Le tableau ci-dessous définit le plan de mise en œuvre du programme (activités spécifiques à mener pour réaliser chacun de ses Produits, calendrier de mise en œuvre et budget prévu spécifiant les contributions de l’OSC et de l’UNICEF).</t>
  </si>
  <si>
    <t>Niveau de résultat</t>
  </si>
  <si>
    <t>Résultat/activité</t>
  </si>
  <si>
    <t>Total (OSC + UNICEF)</t>
  </si>
  <si>
    <t xml:space="preserve">Contribution de l’OSC </t>
  </si>
  <si>
    <t xml:space="preserve">Contribution de la communaute </t>
  </si>
  <si>
    <t>Contribution de l’UNICEF</t>
  </si>
  <si>
    <t>Total 
Especes</t>
  </si>
  <si>
    <t>Tranche 1</t>
  </si>
  <si>
    <t>Tranche 2</t>
  </si>
  <si>
    <t>Tranche 3</t>
  </si>
  <si>
    <t>Tranche 4</t>
  </si>
  <si>
    <t>Fournitures</t>
  </si>
  <si>
    <t>Sous-total de l'Output 1</t>
  </si>
  <si>
    <t>Sous-total de l'Output 2</t>
  </si>
  <si>
    <t>Sous-total de l'Output 3</t>
  </si>
  <si>
    <t>Sous-total de la Gestion Efficace et Efficiente du Programme</t>
  </si>
  <si>
    <t>Sous-total des dépenses de programme</t>
  </si>
  <si>
    <t>7% Appui au Siege</t>
  </si>
  <si>
    <t>Cout de transfert bancaire</t>
  </si>
  <si>
    <t>Budget total du document de programme</t>
  </si>
  <si>
    <t>* L’UNICEF précise si le financement des années suivantes figure dans le budget du programme uniquement à des fins indicatives et de planification. Les bureaux de l’UNICEF peuvent ajouter des colonnes pour la planification pluriannuelle.</t>
  </si>
  <si>
    <t>[1] Le budget est libellé dans la devise de mise en œuvre. Dans la plupart des cas, il s’agit de la monnaie locale du pays.</t>
  </si>
  <si>
    <t xml:space="preserve">[2] Les coûts calculés dans le cadre de l’établissement du budget des Produits du programme sont les suivants : </t>
  </si>
  <si>
    <r>
      <t>·</t>
    </r>
    <r>
      <rPr>
        <sz val="11"/>
        <color indexed="8"/>
        <rFont val="Arial Narrow"/>
        <family val="2"/>
      </rPr>
      <t>         espèces destinées à des activités telles que des ateliers ou des formations ;</t>
    </r>
  </si>
  <si>
    <r>
      <t>·</t>
    </r>
    <r>
      <rPr>
        <sz val="11"/>
        <color indexed="8"/>
        <rFont val="Arial Narrow"/>
        <family val="2"/>
      </rPr>
      <t>         coût des fournitures apportant une aide directe aux personnes/institutions bénéficiaires, notamment entreposage, transport et assemblage ;</t>
    </r>
  </si>
  <si>
    <r>
      <t>·</t>
    </r>
    <r>
      <rPr>
        <sz val="11"/>
        <color indexed="8"/>
        <rFont val="Arial Narrow"/>
        <family val="2"/>
      </rPr>
      <t>         assistance technique et coût du personnel technique venant directement en aide aux personnes/institutions bénéficiaires (experts en matière de santé, d’éducation, de protection, etc.) ;</t>
    </r>
  </si>
  <si>
    <r>
      <t>·</t>
    </r>
    <r>
      <rPr>
        <sz val="11"/>
        <color indexed="8"/>
        <rFont val="Arial Narrow"/>
        <family val="2"/>
      </rPr>
      <t>         coût des enquêtes et des autres activités de recueil de données en rapport avec les bénéficiaires, les mesures ou les résultats escomptés du programme ;</t>
    </r>
  </si>
  <si>
    <r>
      <t>·</t>
    </r>
    <r>
      <rPr>
        <sz val="11"/>
        <color indexed="8"/>
        <rFont val="Arial Narrow"/>
        <family val="2"/>
      </rPr>
      <t>         activités de communication appuyant directement les résultats escomptés du programme.</t>
    </r>
  </si>
  <si>
    <t>[3] Les coûts de l’assistance/du personnel techniques directement liés à la réalisation des résultats escomptés sont calculés dans le cadre de l’établissement du budget des Produits du programme. Voir la note de bas de page 2 ci-dessus.</t>
  </si>
  <si>
    <t xml:space="preserve">[4] Les coûts des activités de suivi et évaluation et de communication directement liées à la réalisation des résultats escomptés sont calculés dans le cadre de l’établissement du budget des Produits du programme. Voir la note de bas de page 2 ci-dessus. </t>
  </si>
  <si>
    <t xml:space="preserve">[5] Uniquement versé aux organisations dont le siège se situe à l’extérieur du pays de mise en œuvre. </t>
  </si>
  <si>
    <r>
      <t>[6]</t>
    </r>
    <r>
      <rPr>
        <sz val="11"/>
        <color indexed="8"/>
        <rFont val="Arial Narrow"/>
        <family val="2"/>
      </rPr>
      <t xml:space="preserve"> Ce montant est une estimation. La somme versée est fixée au taux standard de 7 % des dépenses réelles (les activités à exclure du calcul sont précisées dans l’annexe H de la Procédure OSC.</t>
    </r>
  </si>
  <si>
    <t>* Astuces :  ** pour supprimer ou ajouter une ligne merce de selectionner toute la ligne (ou plusieurs lignes) --&gt; cliquer droit --&gt; puis "inserer" ou "supprimer"</t>
  </si>
  <si>
    <t xml:space="preserve">                        ** Ne pas oublier d'ajuster la colonne (A) pour harmoniser le code de la ligne (qui doit egalement etre harmonise avec le budget) </t>
  </si>
  <si>
    <t>(Merci de se referrer au fichier "PCA_Tool_Astuces" pour une illustration de celles-ci)</t>
  </si>
  <si>
    <t>UNITED NATIONS CHILDREN'S FUND (UNICEF)  Rep. Dem. Congo</t>
  </si>
  <si>
    <t xml:space="preserve">Programme Coopération Agreement  </t>
  </si>
  <si>
    <r>
      <t>‘‘Projet d'Appui Technique et Logistique à 10 villages de la  Zone de Santé de Ngidinga dans le cadre du Processus Participatif "</t>
    </r>
    <r>
      <rPr>
        <i/>
        <sz val="11"/>
        <color indexed="10"/>
        <rFont val="Arial"/>
        <family val="2"/>
      </rPr>
      <t>Village Assaini</t>
    </r>
    <r>
      <rPr>
        <sz val="11"/>
        <color indexed="10"/>
        <rFont val="Arial"/>
        <family val="2"/>
      </rPr>
      <t>" dans la Province du Bas – Congo’’</t>
    </r>
  </si>
  <si>
    <t>Période</t>
  </si>
  <si>
    <t>20 février au 20 juillet  2015</t>
  </si>
  <si>
    <t>Partenaire d'exécution:</t>
  </si>
  <si>
    <t>ASPD</t>
  </si>
  <si>
    <t xml:space="preserve">RESUME DU BUDGET </t>
  </si>
  <si>
    <t>Lieu du programme (Province, District, Territoire):</t>
  </si>
  <si>
    <t>Bas-Congo, District de la Lukaya, Territoire de  Madimba</t>
  </si>
  <si>
    <t>TOTAL DU PROGRAMME</t>
  </si>
  <si>
    <t>CONTRIBUTION DU PARTENAIRE OU AUTRE</t>
  </si>
  <si>
    <t xml:space="preserve">CONTRIBUTION DE LA COMMUNAUTE </t>
  </si>
  <si>
    <t>TRANCHES DE VERSEMENT</t>
  </si>
  <si>
    <t xml:space="preserve">% Partenaire </t>
  </si>
  <si>
    <r>
      <t>1</t>
    </r>
    <r>
      <rPr>
        <b/>
        <vertAlign val="superscript"/>
        <sz val="11"/>
        <color indexed="9"/>
        <rFont val="Arial"/>
        <family val="2"/>
      </rPr>
      <t>ère</t>
    </r>
    <r>
      <rPr>
        <b/>
        <sz val="11"/>
        <color indexed="9"/>
        <rFont val="Arial"/>
        <family val="2"/>
      </rPr>
      <t xml:space="preserve">
Tranche</t>
    </r>
  </si>
  <si>
    <r>
      <t>2</t>
    </r>
    <r>
      <rPr>
        <b/>
        <vertAlign val="superscript"/>
        <sz val="11"/>
        <color indexed="9"/>
        <rFont val="Arial"/>
        <family val="2"/>
      </rPr>
      <t>ème</t>
    </r>
    <r>
      <rPr>
        <b/>
        <sz val="11"/>
        <color indexed="9"/>
        <rFont val="Arial"/>
        <family val="2"/>
      </rPr>
      <t xml:space="preserve"> Tranche</t>
    </r>
  </si>
  <si>
    <r>
      <t>3</t>
    </r>
    <r>
      <rPr>
        <b/>
        <vertAlign val="superscript"/>
        <sz val="11"/>
        <color indexed="9"/>
        <rFont val="Arial"/>
        <family val="2"/>
      </rPr>
      <t>ème</t>
    </r>
    <r>
      <rPr>
        <b/>
        <sz val="11"/>
        <color indexed="9"/>
        <rFont val="Arial"/>
        <family val="2"/>
      </rPr>
      <t xml:space="preserve"> Tranche (Remboursement)</t>
    </r>
  </si>
  <si>
    <r>
      <t>4</t>
    </r>
    <r>
      <rPr>
        <b/>
        <vertAlign val="superscript"/>
        <sz val="11"/>
        <color indexed="9"/>
        <rFont val="Arial"/>
        <family val="2"/>
      </rPr>
      <t>ème</t>
    </r>
    <r>
      <rPr>
        <b/>
        <sz val="11"/>
        <color indexed="9"/>
        <rFont val="Arial"/>
        <family val="2"/>
      </rPr>
      <t xml:space="preserve"> Tranche (Remboursement)</t>
    </r>
  </si>
  <si>
    <t>Secteur(s) du programme:</t>
  </si>
  <si>
    <t>WaSH</t>
  </si>
  <si>
    <t xml:space="preserve">CONTRIBUTION UNICEF TOTALE </t>
  </si>
  <si>
    <t>Nombre de bénéficiaires direct:</t>
  </si>
  <si>
    <t>COMPOSANTE UNICEF: EN NATURE</t>
  </si>
  <si>
    <t>Nombre de bénéficiaires direct (femmes et enfants):</t>
  </si>
  <si>
    <t xml:space="preserve">COMPOSANTE UNICEF: TRANSFER DE CASH </t>
  </si>
  <si>
    <t>Coût unitaire par bénéficiaire direct:</t>
  </si>
  <si>
    <t>PC</t>
  </si>
  <si>
    <t>Coût par enfants/femmes:</t>
  </si>
  <si>
    <t>DPSC</t>
  </si>
  <si>
    <t>% DPSC  (25% max)</t>
  </si>
  <si>
    <t>Numéro de version du budget:</t>
  </si>
  <si>
    <t>IPC</t>
  </si>
  <si>
    <t>Date de soumission:</t>
  </si>
  <si>
    <t xml:space="preserve">COUTS DE PROGRAMME
</t>
  </si>
  <si>
    <t>TRANCHES  DE VERSEMENT</t>
  </si>
  <si>
    <t xml:space="preserve">* Coûts contribuant clairement à la réalisation des objectifs du partenariat et des résultats attendus (cf onglet 5. Guide Budget) 
</t>
  </si>
  <si>
    <t>Articles</t>
  </si>
  <si>
    <t>Unité</t>
  </si>
  <si>
    <t>Cout unitaire</t>
  </si>
  <si>
    <t>Durée</t>
  </si>
  <si>
    <t>Quantité</t>
  </si>
  <si>
    <t>Pourcentage alloue au projet (%)</t>
  </si>
  <si>
    <t>Budget total</t>
  </si>
  <si>
    <t xml:space="preserve">Contribution du partenaire ou autre </t>
  </si>
  <si>
    <t>Contribution de la communauté</t>
  </si>
  <si>
    <t xml:space="preserve">Contribution UNICEF </t>
  </si>
  <si>
    <r>
      <t>3</t>
    </r>
    <r>
      <rPr>
        <b/>
        <vertAlign val="superscript"/>
        <sz val="11"/>
        <color indexed="9"/>
        <rFont val="Arial"/>
        <family val="2"/>
      </rPr>
      <t>ème</t>
    </r>
    <r>
      <rPr>
        <b/>
        <sz val="11"/>
        <color indexed="9"/>
        <rFont val="Arial"/>
        <family val="2"/>
      </rPr>
      <t xml:space="preserve"> Tranche</t>
    </r>
  </si>
  <si>
    <r>
      <t>4</t>
    </r>
    <r>
      <rPr>
        <b/>
        <vertAlign val="superscript"/>
        <sz val="11"/>
        <color indexed="9"/>
        <rFont val="Arial"/>
        <family val="2"/>
      </rPr>
      <t>ème</t>
    </r>
    <r>
      <rPr>
        <b/>
        <sz val="11"/>
        <color indexed="9"/>
        <rFont val="Arial"/>
        <family val="2"/>
      </rPr>
      <t xml:space="preserve"> Tranche</t>
    </r>
  </si>
  <si>
    <r>
      <t xml:space="preserve">ASSISTANCE TECHNIQUE - SALAIRES ET AVANTAGES DU PERSONNEL EXPATRIÉ   : </t>
    </r>
    <r>
      <rPr>
        <i/>
        <sz val="12"/>
        <color indexed="40"/>
        <rFont val="Arial"/>
        <family val="2"/>
      </rPr>
      <t>Salaires et coûts de soutien de la mise en œuvre du personnel si et seulement s'il soutient directement les bénéficiaires ou les institutions bénéficiaires (peut être calculé au prorata);</t>
    </r>
  </si>
  <si>
    <t>SOUS-TOTAL 1</t>
  </si>
  <si>
    <r>
      <t>ASSISTANCE TECHNIQUE - SALAIRES ET AVANTAGES DU PERSONNEL NATIONAL</t>
    </r>
    <r>
      <rPr>
        <b/>
        <i/>
        <sz val="12"/>
        <color indexed="40"/>
        <rFont val="Arial"/>
        <family val="2"/>
      </rPr>
      <t xml:space="preserve">: </t>
    </r>
    <r>
      <rPr>
        <i/>
        <sz val="12"/>
        <color indexed="40"/>
        <rFont val="Arial"/>
        <family val="2"/>
      </rPr>
      <t>Salaires et coûts de soutien de la mise en œuvre du personnel si et seulement s'il soutient directement les bénéficiaires ou les institutions bénéficiaires (peut être calculé au prorata);</t>
    </r>
  </si>
  <si>
    <t>Chef du  Projet</t>
  </si>
  <si>
    <t>personne</t>
  </si>
  <si>
    <t>Superviseur Principal</t>
  </si>
  <si>
    <r>
      <t>Animateurs communautaires (</t>
    </r>
    <r>
      <rPr>
        <i/>
        <sz val="11"/>
        <rFont val="Arial"/>
        <family val="2"/>
      </rPr>
      <t>soft</t>
    </r>
    <r>
      <rPr>
        <sz val="11"/>
        <rFont val="Arial"/>
        <family val="2"/>
      </rPr>
      <t>)</t>
    </r>
  </si>
  <si>
    <t xml:space="preserve">personne </t>
  </si>
  <si>
    <r>
      <t>Ingénieur Superviseur Technicien (</t>
    </r>
    <r>
      <rPr>
        <i/>
        <sz val="11"/>
        <rFont val="Arial"/>
        <family val="2"/>
      </rPr>
      <t>hard</t>
    </r>
    <r>
      <rPr>
        <sz val="11"/>
        <rFont val="Arial"/>
        <family val="2"/>
      </rPr>
      <t>)</t>
    </r>
  </si>
  <si>
    <r>
      <t>Animateurs communautaires (</t>
    </r>
    <r>
      <rPr>
        <i/>
        <sz val="11"/>
        <rFont val="Arial"/>
        <family val="2"/>
      </rPr>
      <t>hard</t>
    </r>
    <r>
      <rPr>
        <sz val="11"/>
        <rFont val="Arial"/>
        <family val="2"/>
      </rPr>
      <t>)</t>
    </r>
  </si>
  <si>
    <t>SOUS-TOTAL 2</t>
  </si>
  <si>
    <t>VOYAGE</t>
  </si>
  <si>
    <t>Chef de Projet  à Ngidinga avec Driver</t>
  </si>
  <si>
    <t>nuitée</t>
  </si>
  <si>
    <t>SOUS-TOTAL 3</t>
  </si>
  <si>
    <t>MATERIELS &amp; EQUIPEMENT</t>
  </si>
  <si>
    <t xml:space="preserve"> Dalles sanplat avec couvercles</t>
  </si>
  <si>
    <t>pce</t>
  </si>
  <si>
    <t>Sources aménagées</t>
  </si>
  <si>
    <t>Équipement d'exécution et de protection</t>
  </si>
  <si>
    <t>lot</t>
  </si>
  <si>
    <t>Stylo</t>
  </si>
  <si>
    <t>paquet</t>
  </si>
  <si>
    <t>Scotch</t>
  </si>
  <si>
    <t>rlx</t>
  </si>
  <si>
    <t>Papier bristol</t>
  </si>
  <si>
    <t>rame</t>
  </si>
  <si>
    <t>Marqueur</t>
  </si>
  <si>
    <t>Flip Chart</t>
  </si>
  <si>
    <t>Carnet de notes A4</t>
  </si>
  <si>
    <t>SOUS-TOTAL 4</t>
  </si>
  <si>
    <t>TRANSPORT, STOCKAGE &amp; DISTRIBUTION</t>
  </si>
  <si>
    <t>Récupération de moules sanplat dans les Zones de Santé de Mbanza Ngungu et Kwilu Ngongo</t>
  </si>
  <si>
    <t>course</t>
  </si>
  <si>
    <t>Transport des matériaux et matériel de Kisantu vers les villages ciblés</t>
  </si>
  <si>
    <t>SOUS-TOTAL 5</t>
  </si>
  <si>
    <r>
      <t xml:space="preserve">COUT D'EXPLOITATION ET DE MAINTENANCE DES VEHICULES : </t>
    </r>
    <r>
      <rPr>
        <i/>
        <sz val="12"/>
        <color indexed="40"/>
        <rFont val="Arial"/>
        <family val="2"/>
      </rPr>
      <t xml:space="preserve">Les véhicules loués et leur entretien si ils sont </t>
    </r>
    <r>
      <rPr>
        <i/>
        <u/>
        <sz val="12"/>
        <color indexed="40"/>
        <rFont val="Arial"/>
        <family val="2"/>
      </rPr>
      <t>directement utilisés</t>
    </r>
    <r>
      <rPr>
        <i/>
        <sz val="12"/>
        <color indexed="40"/>
        <rFont val="Arial"/>
        <family val="2"/>
      </rPr>
      <t xml:space="preserve"> pour la mise en œuvre des activités par l'Accord;</t>
    </r>
  </si>
  <si>
    <t>Location jeep</t>
  </si>
  <si>
    <t>mois</t>
  </si>
  <si>
    <t>Carburant pour la jeep</t>
  </si>
  <si>
    <t>litre</t>
  </si>
  <si>
    <t>Carburant pour les motos</t>
  </si>
  <si>
    <t xml:space="preserve">location moto </t>
  </si>
  <si>
    <t>litres</t>
  </si>
  <si>
    <t>Entretien moto</t>
  </si>
  <si>
    <t>SOUS-TOTAL 6</t>
  </si>
  <si>
    <t>COMMUNICATIONS</t>
  </si>
  <si>
    <t>SOUS-TOTAL 7</t>
  </si>
  <si>
    <t>SUIVI ET EVALUATION</t>
  </si>
  <si>
    <t>OFFICE RENTAL, MAINTENANCE &amp; UTILITIES</t>
  </si>
  <si>
    <t>Frais de garantie de bonne exécution</t>
  </si>
  <si>
    <t>SOUS-TOTAL 8</t>
  </si>
  <si>
    <t>WORKSHOP, FORMATION</t>
  </si>
  <si>
    <r>
      <t>Briefing du personnel recruté sur le processus participatif ''</t>
    </r>
    <r>
      <rPr>
        <i/>
        <sz val="11"/>
        <rFont val="Arial"/>
        <family val="2"/>
      </rPr>
      <t>Village Assaini</t>
    </r>
    <r>
      <rPr>
        <sz val="11"/>
        <rFont val="Arial"/>
        <family val="2"/>
      </rPr>
      <t>''</t>
    </r>
  </si>
  <si>
    <t>Une fois</t>
  </si>
  <si>
    <r>
      <t>Formation des comités ''</t>
    </r>
    <r>
      <rPr>
        <i/>
        <sz val="11"/>
        <rFont val="Arial"/>
        <family val="2"/>
      </rPr>
      <t>Village Assaini</t>
    </r>
    <r>
      <rPr>
        <sz val="11"/>
        <rFont val="Arial"/>
        <family val="2"/>
      </rPr>
      <t>'' est ce que A</t>
    </r>
    <r>
      <rPr>
        <sz val="11"/>
        <color indexed="12"/>
        <rFont val="Arial"/>
        <family val="2"/>
      </rPr>
      <t>SPD EST FORME SUR LE PROCESSU</t>
    </r>
    <r>
      <rPr>
        <sz val="11"/>
        <rFont val="Arial"/>
        <family val="2"/>
      </rPr>
      <t>S</t>
    </r>
  </si>
  <si>
    <t>SOUS-TOTAL 9</t>
  </si>
  <si>
    <t>AUTRE</t>
  </si>
  <si>
    <t>SOUS-TOTAL 10</t>
  </si>
  <si>
    <t>SOUS-TOTAL COUT DE PROGRAMME</t>
  </si>
  <si>
    <t xml:space="preserve">COUT DE SUPPORT DIRECT AU PROGRAMME </t>
  </si>
  <si>
    <t xml:space="preserve">TRANCHES DE VERSEMENT </t>
  </si>
  <si>
    <t xml:space="preserve">* Cout d'appui lié à la gestion et l'administration du programme, pouvant être identifiée comme provenant directement et sans équivoque de sa mise en œuvre
* Maximum de 25% du montant total transféré par l'UNICEF (cf onglet 5. Guide Budget) </t>
  </si>
  <si>
    <r>
      <t>1</t>
    </r>
    <r>
      <rPr>
        <b/>
        <vertAlign val="superscript"/>
        <sz val="11"/>
        <color indexed="9"/>
        <rFont val="Arial"/>
        <family val="2"/>
      </rPr>
      <t>ère</t>
    </r>
    <r>
      <rPr>
        <b/>
        <sz val="11"/>
        <color indexed="9"/>
        <rFont val="Arial"/>
        <family val="2"/>
      </rPr>
      <t xml:space="preserve"> Tranche</t>
    </r>
  </si>
  <si>
    <r>
      <t xml:space="preserve">ASSISTANCE TECHNIQUE - SALAIRES ET AVANTAGES DU PERSONNEL EXPATRIÉ: </t>
    </r>
    <r>
      <rPr>
        <i/>
        <sz val="12"/>
        <color indexed="40"/>
        <rFont val="Arial"/>
        <family val="2"/>
      </rPr>
      <t>Salaires et coûts de soutien du personnel expatries de support (peut être calculé au prorata - maximum 50%;</t>
    </r>
  </si>
  <si>
    <t>SOUS-TOTAL 11</t>
  </si>
  <si>
    <r>
      <t>ASSISTANCE TECHNIQUE - SALAIRES ET AVANTAGES DU PERSONNEL NATIONAL</t>
    </r>
    <r>
      <rPr>
        <i/>
        <sz val="12"/>
        <color indexed="40"/>
        <rFont val="Arial"/>
        <family val="2"/>
      </rPr>
      <t>: Salaires et coûts de soutien du personnel de support national (peut être calculé au prorata - maximum  50%);</t>
    </r>
  </si>
  <si>
    <t>Coordonnateur ASPD</t>
  </si>
  <si>
    <t>Comptable</t>
  </si>
  <si>
    <t>Caissière</t>
  </si>
  <si>
    <t xml:space="preserve">Logisticien </t>
  </si>
  <si>
    <t>SOUS-TOTAL 12</t>
  </si>
  <si>
    <t xml:space="preserve">VOYAGE POUR LA GESTION ET LE SUIVI DU PROGRAMME </t>
  </si>
  <si>
    <t>OTHER</t>
  </si>
  <si>
    <t>Coordonnateur à Ngidinga</t>
  </si>
  <si>
    <t>Chauffeur à Ngidinga</t>
  </si>
  <si>
    <t>SOUS-TOTAL 13</t>
  </si>
  <si>
    <t xml:space="preserve">COUT D'EXPLOITATION ET DE MAINTENANCE DES VEHICULES </t>
  </si>
  <si>
    <t>ADMINISTRATIVE &amp; FINANCIAL SUPPORT</t>
  </si>
  <si>
    <t>SOUS-TOTAL 14</t>
  </si>
  <si>
    <t>EQUIPEMENT ET FOURNITURES DE BUREAU &amp; COMMUNICATION</t>
  </si>
  <si>
    <t>Communications  téléphoniques  pour la direction du projet</t>
  </si>
  <si>
    <t>pers/mois</t>
  </si>
  <si>
    <t>Communications  téléphoniques Superviseur du Principal</t>
  </si>
  <si>
    <r>
      <t>Communications téléphoniques des Animateurs Communautaires (</t>
    </r>
    <r>
      <rPr>
        <i/>
        <sz val="11"/>
        <rFont val="Arial"/>
        <family val="2"/>
      </rPr>
      <t>soft</t>
    </r>
    <r>
      <rPr>
        <sz val="11"/>
        <rFont val="Arial"/>
        <family val="2"/>
      </rPr>
      <t>)</t>
    </r>
  </si>
  <si>
    <t>Communications téléphoniques Ingénieur Superviseur Technicien</t>
  </si>
  <si>
    <r>
      <t>Communications téléphoniques des Animateurs Communautaires (</t>
    </r>
    <r>
      <rPr>
        <i/>
        <sz val="11"/>
        <rFont val="Arial"/>
        <family val="2"/>
      </rPr>
      <t>hard</t>
    </r>
    <r>
      <rPr>
        <sz val="11"/>
        <rFont val="Arial"/>
        <family val="2"/>
      </rPr>
      <t>)</t>
    </r>
  </si>
  <si>
    <t>SOUS-TOTAL 15</t>
  </si>
  <si>
    <t>LOCATION ET MAINTENANCE DU BUREAU</t>
  </si>
  <si>
    <t>SOUS-TOTAL 16</t>
  </si>
  <si>
    <t>SOUS-TOTAL 17</t>
  </si>
  <si>
    <t>AUDIT ET ASSURANCES</t>
  </si>
  <si>
    <t>Frais bancaire</t>
  </si>
  <si>
    <t>SOUS-TOTAL 18</t>
  </si>
  <si>
    <t xml:space="preserve">SOUS-TOTAL COUT DIRECT DE SUPPORT AU PROGRAMME </t>
  </si>
  <si>
    <t xml:space="preserve">COUTS DE PROGRAMME INDIRECT
</t>
  </si>
  <si>
    <t xml:space="preserve">* L'ajout du taux forfaitaire de 7% est un maximum. </t>
  </si>
  <si>
    <t>SOUS-TOTAL 19 COUT DE PROGRAMME INDIRECT</t>
  </si>
  <si>
    <t>COMPOSANTES EN NATURE (Équipements ou assistance technique fourni par UNICEF)</t>
  </si>
  <si>
    <t>1ère Tranche</t>
  </si>
  <si>
    <t>2ème Tranche</t>
  </si>
  <si>
    <t>3ème Tranche</t>
  </si>
  <si>
    <t>4ème Tranche</t>
  </si>
  <si>
    <t>SOUS-TOTAL 20 COMPOSANTES EN NATURE</t>
  </si>
  <si>
    <t>SUB-TOTAL SUPPLY COMPONENT</t>
  </si>
  <si>
    <t>!!!!!! Merci de bien vouloir vous assurer que les informations du budget narratif correspondent au budget final approuve par UNICEF !!!!!!</t>
  </si>
  <si>
    <t>‘‘Projet d'Appui Technique et Logistique à 10 villages de la  Zone de Santé de Ngidinga dans le cadre du Processus Participatif "Village Assaini" dans la Province du Bas – Congo’’</t>
  </si>
  <si>
    <t>BUDGET NARRATIF</t>
  </si>
  <si>
    <t>Variation autorisée de maximum 20% (voir le guide):</t>
  </si>
  <si>
    <t>- par catégorie de dépense (OUI par défaut)</t>
  </si>
  <si>
    <t>OUI/NON</t>
  </si>
  <si>
    <t xml:space="preserve">- pour chaque ligne budgétaire </t>
  </si>
  <si>
    <t>COUTS DE PROGRAMME</t>
  </si>
  <si>
    <t>Description</t>
  </si>
  <si>
    <t xml:space="preserve">ASSISTANCE TECHNIQUE - SALAIRES ET AVANTAGES DU PERSONNEL EXPATRIÉ    </t>
  </si>
  <si>
    <t>ASSISTANCE TECHNIQUE - SALAIRES ET AVANTAGES DU PERSONNEL NATIONAL</t>
  </si>
  <si>
    <t>Le chef de projet est chargé de la coordination générale du projet, des relations avec le bailleur et la Coordination de ASPD et les partenaires sur le terrain. Il participe régulièrement au réunions de coordinations du programme village et école assainis de la province du Bas - Congo.</t>
  </si>
  <si>
    <t xml:space="preserve">Le Superviseur Principal est responsable des  Animateurs Communautaires, de la Coordination avec les équipes des Zones de Santé et du respect de la qualité du processus </t>
  </si>
  <si>
    <t>Animateurs communautaires (soft)</t>
  </si>
  <si>
    <t>Affecté  dans chacune des Zones de Santé appuyées, l'Animateur communautaire,  exécute les activités de mobilisation et de sensibilisation communautaire en étroite collaboration avec  l'Animateur Communautaire  et le SEA de la Zone de Santé. Il (elle) est  sous la supervision du Superviseur Principal</t>
  </si>
  <si>
    <t>Ingénieur Superviseur Technicien (hard)</t>
  </si>
  <si>
    <t>L'ingénieur superviseur est chargé de faire les diagnostics hydrogéologiques des zones d'interventions, d'analyser le  plans type d'aménagement hyrosanitaire et d'élaborer les devis estimatifs des travaux. Il planifie, supervise et assure le contrôle de qualité de toutes les activités techniques et les travaux.</t>
  </si>
  <si>
    <t>Animateurs communautaires (hard)</t>
  </si>
  <si>
    <t>Mission de Monitoring du Chef de Projet sur le terrain en raison de 3 nuitées par mois (après le premier mois, soit 7 mois) au barème Unicef avec Driver</t>
  </si>
  <si>
    <t>Couts de fabrication des dalles sanplat qui servent de plateformes pour des latrines</t>
  </si>
  <si>
    <t>Couts d'aménagement des sources avec aménagement et protection du site</t>
  </si>
  <si>
    <t>Kit comprenant l'outillage et l'équipement de protection</t>
  </si>
  <si>
    <t>Matériel pour le processus d'accompagnement des communautés dans le processus Pas à Pas</t>
  </si>
  <si>
    <t>Cout de récupération de moules sanplat dans différents villages de Zones de Santé de Mbanza Ngungu et Kwilu Ngongo en vue de leur acheminement dans les villages de la Zone de Santé de Ngidinga</t>
  </si>
  <si>
    <t>Cout de transport par tonnage de matériaux et matériel du dépôt central du projet et centre d'achat (Kisantu) vers les villages de la Zone de Santé de Ngidinga</t>
  </si>
  <si>
    <t>Cout de la location mensuelle de la jeep pour la mise en œuvre et la supervision durant toute la durée du projet</t>
  </si>
  <si>
    <t>Cout pour l'acquisition du carburant pour la jeep prise en location dans le cadre du projet</t>
  </si>
  <si>
    <t>Cout pour l'acquisition du carburant pour les motos prêtées a ASPD pour la mise en œuvres des activités du projet</t>
  </si>
  <si>
    <t>Cout d'entretien mensuel de motos prêtées a ASPD pour la mise en œuvre et le suivi du projet</t>
  </si>
  <si>
    <t>SUIVI ET EVALUATION (enquêtes, revues, consultations, base sur les résultats de l'évaluation)</t>
  </si>
  <si>
    <t>Bonification liée a la qualité des ouvrages réalisées et perçue par le partenaire une année après la réception provisoire du dernier ouvrage dans le cas ou les ouvrages ne comportent ni malfaçon ni dégradation</t>
  </si>
  <si>
    <t xml:space="preserve">WORKSHOP, FORMATION (location de locaux, logement, logistique) </t>
  </si>
  <si>
    <t>Briefing du personnel recruté sur le processus participatif ''Village Assaini''</t>
  </si>
  <si>
    <r>
      <t>Briefing de l'équipe en vue du lancement du projet sur le processus participatif ''</t>
    </r>
    <r>
      <rPr>
        <i/>
        <sz val="11"/>
        <rFont val="Arial"/>
        <family val="2"/>
      </rPr>
      <t>Village Assaini</t>
    </r>
    <r>
      <rPr>
        <sz val="11"/>
        <rFont val="Arial"/>
        <family val="2"/>
      </rPr>
      <t>''</t>
    </r>
  </si>
  <si>
    <t>Formation des comités ''Village Assaini'' est ce que ASPD EST FORME SUR LE PROCESSUS</t>
  </si>
  <si>
    <r>
      <t>Formation des comités VA après élection sur leurs rôles et responsabilités en conformité au programme national ''</t>
    </r>
    <r>
      <rPr>
        <i/>
        <sz val="11"/>
        <rFont val="Arial"/>
        <family val="2"/>
      </rPr>
      <t>Village Assaini</t>
    </r>
    <r>
      <rPr>
        <sz val="11"/>
        <rFont val="Arial"/>
        <family val="2"/>
      </rPr>
      <t>''</t>
    </r>
  </si>
  <si>
    <t>COUT DE SUPPORT DIRECT AU PROGRAMME</t>
  </si>
  <si>
    <t>Le Coordionateur s'occupe de l'analyse stratégique du projet, les signatures de conventions de financement, des signatures de tous les  contrats des staffs du projet, les autorisations sur transfert bancaire et suivi ponctuel du projet sur le terrain.</t>
  </si>
  <si>
    <t>Le comptable exécute les procédures administratives/comptables du projet. Il a la charge de la trésorerie et de administration au niveau de la base où il est affecté , Il a la charge de la gestion des contrats de service des staffs.</t>
  </si>
  <si>
    <t>Le (la) caissier(e) exécute toutes les opérations de transactions financières, tient le livre de caisse, le bon de sorties et d'entrées  afin de documenter  touts les mouvements financière.</t>
  </si>
  <si>
    <t>Le logisticien(ne) est chargé(e) de la gestion logistique de la base, du charroi automobile et autres matériels . Il gère des outils de gestion du carburant, de contrôle des mouvement des automobile.</t>
  </si>
  <si>
    <t>Mission de Monitoring du Coordinateur sur le terrain en raison de 3 nuitées par mois (après le premier mois, soit 7 mois) au barème Unicef avec Driver</t>
  </si>
  <si>
    <t>Frais liés aux communications téléphoniques lors de la mise en œuvre et le suivi du projet</t>
  </si>
  <si>
    <t>Communications téléphoniques des Animateurs Communautaires (soft)</t>
  </si>
  <si>
    <t>Communications téléphoniques des Animateurs Communautaires (hard)</t>
  </si>
  <si>
    <t>Frais retenus par la banque lors de retraits des fonds</t>
  </si>
  <si>
    <t>COUTS DE PROGRAMME INDIRECT</t>
  </si>
  <si>
    <t>COMPOSANTES EN NATURE (Equipements ou assistance technique fourni par UNICEF)</t>
  </si>
  <si>
    <t>Cout d'acquisition de motos et casques prêtés à ASPD</t>
  </si>
  <si>
    <t xml:space="preserve"> </t>
  </si>
  <si>
    <t>1.1.2</t>
  </si>
  <si>
    <t>1.1.3</t>
  </si>
  <si>
    <t>1.1.4</t>
  </si>
  <si>
    <t>1.1.5</t>
  </si>
  <si>
    <t>1.2.1</t>
  </si>
  <si>
    <t>1.2.2</t>
  </si>
  <si>
    <t>1.2.3</t>
  </si>
  <si>
    <t>1.2.4</t>
  </si>
  <si>
    <t>1.2.5</t>
  </si>
  <si>
    <t>Plateforme 2</t>
  </si>
  <si>
    <t>2.1.1</t>
  </si>
  <si>
    <t>2.1.2</t>
  </si>
  <si>
    <t>2.1.3</t>
  </si>
  <si>
    <t>2.2.1</t>
  </si>
  <si>
    <t>2.2.2</t>
  </si>
  <si>
    <t>Plateforme 3</t>
  </si>
  <si>
    <t>3.1.1</t>
  </si>
  <si>
    <t>3.1.2</t>
  </si>
  <si>
    <t>3.1.3</t>
  </si>
  <si>
    <t>3.2.1</t>
  </si>
  <si>
    <t>3.2.2</t>
  </si>
  <si>
    <t>3.2.3</t>
  </si>
  <si>
    <t>3.2.4</t>
  </si>
  <si>
    <t>Plateforme 4</t>
  </si>
  <si>
    <t>4.1.1</t>
  </si>
  <si>
    <t>4.1.2</t>
  </si>
  <si>
    <t>4.1.3</t>
  </si>
  <si>
    <t>4.1.4</t>
  </si>
  <si>
    <t>4.1.5</t>
  </si>
  <si>
    <t>4.1.6</t>
  </si>
  <si>
    <t>4.1.7</t>
  </si>
  <si>
    <t>4.2.1</t>
  </si>
  <si>
    <t>4.2.2</t>
  </si>
  <si>
    <t>4.2.3</t>
  </si>
  <si>
    <t>4.2.4</t>
  </si>
  <si>
    <t>4.2.5</t>
  </si>
  <si>
    <t>4.2.6</t>
  </si>
  <si>
    <t>4.3.1</t>
  </si>
  <si>
    <t>4.4.1</t>
  </si>
  <si>
    <t>4.4.2</t>
  </si>
  <si>
    <t>4.4.3</t>
  </si>
  <si>
    <t>4.4.4</t>
  </si>
  <si>
    <t>4.4.5</t>
  </si>
  <si>
    <t>4.4.6</t>
  </si>
  <si>
    <t>4.4.7</t>
  </si>
  <si>
    <t>4.5.1</t>
  </si>
  <si>
    <t>Plateforme 5</t>
  </si>
  <si>
    <t>GEEP EN</t>
  </si>
  <si>
    <t>GEEP W</t>
  </si>
  <si>
    <t>GEEP C</t>
  </si>
  <si>
    <t>Activité 8.1</t>
  </si>
  <si>
    <t>Activité 8.2</t>
  </si>
  <si>
    <t>GEEP G</t>
  </si>
  <si>
    <t xml:space="preserve"> Total (hors Inkind)</t>
  </si>
  <si>
    <t>INKIND</t>
  </si>
  <si>
    <t>SOUS-TOTAL DES COUTS DU PROGRAMME</t>
  </si>
  <si>
    <t>Dépenses d’appui du siège (7 % de la composante financière)</t>
  </si>
  <si>
    <t>Frais bancaire ( 0.5%)</t>
  </si>
  <si>
    <t>BUDGET  TOTAL GENERAL DU PROJET</t>
  </si>
  <si>
    <t>Soutenir la formation de 320 membres des clubs de la paix (8 élèves / école et 40 écoles) et 80 superviseurs de clubs de paix (2 enseignants / école) sur l'éducation à la paix, la prévention des IST/VIH-SIDA, la prévention du COVID-19, le Genre et la prévention des VBG et AES, pour la sensibilisation d'autres élèves et enfants âgés de 6 à 11 ans et l'animation de clubs de paix</t>
  </si>
  <si>
    <t>Construire /réhabiliter les infrastructures d'assainissement au sein des écoles (latrines, trous à ordures), prenant en compte les besoins spécifiques des femmes et des filles</t>
  </si>
  <si>
    <t>Constituer de façon paritaire (filles/garçons) et assurer la formation des brigades scolaires pour la gestion des activités EHA, gestion de l'hygiène menstruelle (GHM), le Genre et la prévention des VBG et AES et doter les écoles des kits de maintenance</t>
  </si>
  <si>
    <t>Former des élèves sur la gestion de l'hygiène menstruelles et avoir des discussions ciblées avec les filles pour bien prendre en compte leurs perspectives et leurs éventuels besoins spécifiques dans la mise en œuvre des services WASH</t>
  </si>
  <si>
    <t>Supervision technique et coordination du programme dans les ecoles</t>
  </si>
  <si>
    <t xml:space="preserve">Organiser des discussions ciblées avec les adolescentes bénéficiaires pour bien prendre en compte leurs perspectives et leurs éventuels besoins spécifiques dans le contenu et l’approche pédagogique des formations, le choix des métiers et les modalités d’accompagnement pour leur insertion socio-économique   </t>
  </si>
  <si>
    <t>Fournir aux adolescents vulnérables non scolarisés et déscolarisés parmi les communautés ciblées des « compétences de vie » à long terme pour leur réinsertion sociale dans la société (incluent des kits d’insertion socio-économiques)</t>
  </si>
  <si>
    <t>Fournir aux adolescents non scolarisés et déscolarisés des communautés ciblées une formation technique en agriculture/en petit élevage et activités liées à la production / transformation alimentaire ou autres métiers choisis et en gestion d’activités génératrices de revenus pour leur réintégration socio-économique</t>
  </si>
  <si>
    <t>Établir et soutenir le fonctionnement de 40 clubs de la paix, prenant en compte le Genre et la prévention des VBG et AES dans les centres d'apprentissage et agricoles d'adolescents ciblées</t>
  </si>
  <si>
    <t>Organiser chaque mois dans chaque aire de santé la Consultation préscolaire (CPS) en stratégie fixe et avancée (au niveau des centres de santé)</t>
  </si>
  <si>
    <t>Fournir les intrants et matériels pour la prise en charge de la malnutrition aigüe sévère (au niveau des centres de santé)</t>
  </si>
  <si>
    <t xml:space="preserve">Appuyer le fonctionnement et l’utilisation des services de prise en charge de la malnutrition aigüe sévère dans les structures sanitaires (UNTA et UNTI)  </t>
  </si>
  <si>
    <t>Accompagner la réalisation des réunions mensuelles de monitorage pour suivre et évaluer chaque mois les indicateurs clés de la Nutrition à assise communautaire (NAC) au niveau des centres de Santé</t>
  </si>
  <si>
    <t>3.2.5</t>
  </si>
  <si>
    <t>3.2.6</t>
  </si>
  <si>
    <t>Construire / Réhabiliter les infrastructures d'eau potable au sein des formations sanitaires, prenant en compte les besoins spécifiques des femmes et des filles</t>
  </si>
  <si>
    <t>Construire / Réhabiliter les infrastructures d'assainissement au sein des formations sanitaires (latrines, ouvrages de stockage, douches, traitement et élimination des déchets), prenant en compte les besoins spécifiques des femmes et des filles</t>
  </si>
  <si>
    <t>Accompagner et Mettre en place des clubs d'écoute communautaire dans les CAC</t>
  </si>
  <si>
    <t>Appuyer le fonctionnement des cellules d’animation communautaire (CAC)</t>
  </si>
  <si>
    <t>Former les Journalistes Points Focaux (JPF) et Appuyer les Radios communautaires pour la production et diffusion des formats radiophoniques sur les PFE et la communication en appui à la gestion des urgences au niveau communautaire dans les secteurs WASH, EDUCATION et NUTRITION.</t>
  </si>
  <si>
    <t>Organiser  une session de formation des facilitateurs communautaires sur l'approche Washindi</t>
  </si>
  <si>
    <t>Organiser la formation des prestataires au sein des FOSA sur l'approche Washindi</t>
  </si>
  <si>
    <t>Identifier les participants et participantes aux groupes  de discussion et Mettre en place 16 groupes de discussions dont 8 pour les femmes et 8 pour les hommes</t>
  </si>
  <si>
    <t xml:space="preserve">Organiser 48  séances de discussion à travers les groupes des hommes </t>
  </si>
  <si>
    <t>Organiser 32 séances mixtes entre les groupes des femmes et des hommes</t>
  </si>
  <si>
    <t>Suivi, évaluation et Apprentissage de l'approche Washindi</t>
  </si>
  <si>
    <t>Accompagner la réalisation des réunions mensuelles de monitorage pour suivre et évaluer chaque mois les indicateurs clés de la NAC à tous les niveaux des organes communautaires (CODESA, CAC)</t>
  </si>
  <si>
    <t>Améliorer l'accès à l'eau potable dans les communautés (protection des sources d'eau potable, construction/réhabilitation des mini réseaux communautaires d'eau, réalisation des mini réseaux gravitaires d'eau potable), en prenant en compte les besoins spécifiques des femmes et des filles</t>
  </si>
  <si>
    <t>Appuyer les zones de santé à élaborer/mettre à jour des plans de préparation aux urgences basés sur l'analyse des risques</t>
  </si>
  <si>
    <t>GESTION EFFICACE ET EFFICIENTE DU PROGRAMME</t>
  </si>
  <si>
    <t>ICE BUDGET DETAILLE</t>
  </si>
  <si>
    <t xml:space="preserve">No.           </t>
  </si>
  <si>
    <t>Lignes budgétaires</t>
  </si>
  <si>
    <t>Prix Unitaire</t>
  </si>
  <si>
    <t>Nombre d'unités</t>
  </si>
  <si>
    <t>Durée (mois)/
Fréquence</t>
  </si>
  <si>
    <t>% alloue a UNICEF</t>
  </si>
  <si>
    <t xml:space="preserve">% alloue au partenaire </t>
  </si>
  <si>
    <t>Contribution de l'Unicef (en espèce)</t>
  </si>
  <si>
    <t>Total Contribution du partenaire</t>
  </si>
  <si>
    <t>Tranche1</t>
  </si>
  <si>
    <t>Contribution de l'Unicef (en supply)</t>
  </si>
  <si>
    <t>Commentaires</t>
  </si>
  <si>
    <t>COUTS DE MISE EN ŒUVRE DU PROGRAMME</t>
  </si>
  <si>
    <t>Plateforme 1</t>
  </si>
  <si>
    <t>ECOLES</t>
  </si>
  <si>
    <t>1.1.1</t>
  </si>
  <si>
    <t>Lieux de formation ( salle)</t>
  </si>
  <si>
    <t xml:space="preserve"> jour</t>
  </si>
  <si>
    <t>Education</t>
  </si>
  <si>
    <t>World Vision</t>
  </si>
  <si>
    <t xml:space="preserve">Pause Café </t>
  </si>
  <si>
    <t xml:space="preserve">personnes </t>
  </si>
  <si>
    <t>Matériel de formation pour les participants (kits de formation)</t>
  </si>
  <si>
    <t>Materiels de formation: $1  Farde chemise, $1 Bloc notes A3, $0.50 Stylos bleus</t>
  </si>
  <si>
    <t>personnes</t>
  </si>
  <si>
    <t xml:space="preserve"> Frais de formation pour formateurs formés </t>
  </si>
  <si>
    <t>Deux  facilateurs  pour chacune des neuf group x 3 jours (par annee)</t>
  </si>
  <si>
    <t>Frais de transport pour formateurs formés</t>
  </si>
  <si>
    <t xml:space="preserve">Repas pour les facilitateurs </t>
  </si>
  <si>
    <t>frais</t>
  </si>
  <si>
    <t>Frais de reprographie des modules d'éducation à la paix</t>
  </si>
  <si>
    <t>Matériel d'assainissement pour les ecoles cibles</t>
  </si>
  <si>
    <t xml:space="preserve">Achat de stations de lavage des mains mobiles </t>
  </si>
  <si>
    <t>Distribution de materiels  (frais de transport)</t>
  </si>
  <si>
    <t>Des stations de lavage des mains et du savon seront distribués à chaque école en début d'année - la livraison à chaque école est prévue à 10$ x 20 écoles soit 200$</t>
  </si>
  <si>
    <t>40 superviseur (2 par ecoles - 20 ecole) x 2 jour (par an)</t>
  </si>
  <si>
    <t>Matériel pédagogique pour les formateurs formés</t>
  </si>
  <si>
    <t>40 superviseur (2 par ecoles - 20 ecole) x 1 (par an)</t>
  </si>
  <si>
    <t xml:space="preserve">Les 80 superviseurs de clubs  de paix forment 1 club de 8 membres dans leur ecoles. </t>
  </si>
  <si>
    <t>Matériel de formation par école (Flip chart, Blocs notes, Boites de marqueurs, Stylos bleus, Modules….)</t>
  </si>
  <si>
    <t>materiels</t>
  </si>
  <si>
    <t>Achat des materiels suivants: $5 Flip chart, $2.5 Papier duplicateur , $2.5  marqueurs</t>
  </si>
  <si>
    <t>Établir et soutenir le fonctionnement de 40 clubs de la paix dans 40 écoles cibles</t>
  </si>
  <si>
    <t>Achat de kits de loisirs pour chaque école (Vareuses, Ballons football, volley ball,  Materiels locaux pour musique: Tam-tam, Maracasse…)</t>
  </si>
  <si>
    <t>kits</t>
  </si>
  <si>
    <t>Soutenir les activités des 40 clubs de la paix</t>
  </si>
  <si>
    <t xml:space="preserve">Matchs de football amicaux </t>
  </si>
  <si>
    <t>ecoles</t>
  </si>
  <si>
    <t>Nettoyage solidaire des écoles</t>
  </si>
  <si>
    <t>Soutenir les capacités des membres des Comité de parents (COPA)/Comités de gestion (COGES) en matière d'éducation à la paix et de gestion/bonne gouvernance dans 40 écoles ciblées et le Genre et la prévention des VBG et AES</t>
  </si>
  <si>
    <t>Établir/revitaliser les COPA/COGES dans 40 écoles</t>
  </si>
  <si>
    <t>Réunions avec les COPA/COGES</t>
  </si>
  <si>
    <t>reunions</t>
  </si>
  <si>
    <t>Pas de coût</t>
  </si>
  <si>
    <t>Former les membres des COPA/COGES sur l'éducation à la paix, la gestion et la bonne gouvernance</t>
  </si>
  <si>
    <t>Lieux de formation (par lots en raison des règles COVID-19) pendant 2 jours (frais de contribution pour l'utilisation des salles de classe)</t>
  </si>
  <si>
    <t>lieu de formation</t>
  </si>
  <si>
    <t>180 personnes réparties en 9 groupes x 2 jours par groups - salle louée à 50 $ par jour (par an)</t>
  </si>
  <si>
    <t>Pause Café</t>
  </si>
  <si>
    <t>Repas pour participants</t>
  </si>
  <si>
    <t xml:space="preserve">Matériel de formation pour les participants </t>
  </si>
  <si>
    <t xml:space="preserve">Frais de transport des participants </t>
  </si>
  <si>
    <t>Fournir aux COPA/COGES de 40 écoles des modules sur la paix</t>
  </si>
  <si>
    <t xml:space="preserve">Impression des modules d'éducation à la paix </t>
  </si>
  <si>
    <t>Soutenir les activités des COPA/COGES en matière d'éducation à la paix</t>
  </si>
  <si>
    <t>Organiser des réunions mensuelles avec les COPA/COGES sur l'éducation à la paix</t>
  </si>
  <si>
    <t xml:space="preserve">Pas de cout </t>
  </si>
  <si>
    <t xml:space="preserve">Ecole </t>
  </si>
  <si>
    <t xml:space="preserve">Personnes </t>
  </si>
  <si>
    <t>Staff Education dans les Ecoles</t>
  </si>
  <si>
    <t>Staff</t>
  </si>
  <si>
    <t>Fournir un soutien technique aux autorités communautaires, scolaires, éducatives et au comité de parents pour assurer une mise en œuvre de qualité de la composante éducation du projet. Le responsable de l’éducation veillera à l'alignement des activités avec la stratégie globale du projet et les politiques nationales d'éducation. Il / elle effectuera des visites régulières sur le terrain, avec des discussions avec les bénéficiaires, et effectuera des analyses pour identifier les forces et les faiblesses du projet. Le responsable d’éducation fournira des formations, renforcement des capacités et une assistance technique au personnel du projet, aux partenaires et aux autorités gouvernementales en matière de planification, de mise en œuvre et de rapport des activités du projet ; il / elle assurera la capitalisation et l'analyse des leçons apprises, et soutiendra le personnel de terrain pour produire des histoires de succès trimestrielles qui décrivent l'impact du projet.</t>
  </si>
  <si>
    <t xml:space="preserve">Transport des participants </t>
  </si>
  <si>
    <t xml:space="preserve">Pause repas  </t>
  </si>
  <si>
    <t>Piece</t>
  </si>
  <si>
    <t>Renforcer les capacités de 160 leaders communautaires et relais communautaires sur l'éducation à la paix et la mise en place de comités de paix/médiation pour le règlement pacifique des conflits locaux, le Genre et la prévention des VBG et AES</t>
  </si>
  <si>
    <t>Lieu de formation</t>
  </si>
  <si>
    <t>Repas</t>
  </si>
  <si>
    <t>Frais d'impression module des participants pour 80 participants une seul e fois au co$ut unitaire de 5$, chaque année</t>
  </si>
  <si>
    <t>Impression des modules de formation</t>
  </si>
  <si>
    <t>Mettre en place des comités communautaires de gestion des conflits</t>
  </si>
  <si>
    <t>contribution</t>
  </si>
  <si>
    <t>Soutenir les comités dans l'analyse des conflits et les plans de consolidation de la paix pour leurs communautés.</t>
  </si>
  <si>
    <t>Forfait de 100$ par comité comme frais de collation afin de  soutenir les  10 comités dans l'analyse des conflits et les plans de consolidation de la paix pour leurs communautés.</t>
  </si>
  <si>
    <t>Soutenir les comités dans leurs efforts de médiation au sein des communautés.</t>
  </si>
  <si>
    <t xml:space="preserve"> Forfait de 100$ (50$ perdiem et 50$ frais de transport)  par comité  afin de soutenir les 10  comités dans leurs efforts de médiation au sein des communautés.</t>
  </si>
  <si>
    <t>Soutenir les comités dans l'organisation de dialogues communautaires mensuels</t>
  </si>
  <si>
    <t>forfait de 100$ (50$ perdiem et 50$ frais de transport) par comité  pour soutenir les  10 comités dans l'organisation de dialogues communautaires mensuels</t>
  </si>
  <si>
    <t>Personne</t>
  </si>
  <si>
    <t>Nutrition</t>
  </si>
  <si>
    <t>Location salle</t>
  </si>
  <si>
    <t>salle</t>
  </si>
  <si>
    <t>Personnes</t>
  </si>
  <si>
    <t>Kits participants</t>
  </si>
  <si>
    <t>Kit</t>
  </si>
  <si>
    <t>Transport des participants</t>
  </si>
  <si>
    <t>Assurer l'accès à l'eau potable dans les 25 écoles (branchements aux réseaux d'eaux existant, etc), prenant en compte les besoins spécifiques des femmes et des filles</t>
  </si>
  <si>
    <t>une fois</t>
  </si>
  <si>
    <t>Fourniture de  formation</t>
  </si>
  <si>
    <t>Temps budgétisé 100%,Unicef supportera respectivement la totalité du temps budgétisé, soit 100%. 1 superviseur technique Wash assurera dans chqaue zone de santé la supervision des activités WASH dans les FOSA, les ecoles et les villages pour apporte leurs expertises de qualité et durabilité des ouvrages qui seront construits.</t>
  </si>
  <si>
    <t xml:space="preserve">Temps budgétisé 100%,Unicef supportera respectivement la totalité du temps budgétisé, soit 100%.1 ingenieurs civiles sera pris en charge en compte pendant 11 mois pour mettre place les plans de construction des ouvrages hydrauliques et sanitaires de  l' UNICEF dans les FOSA, les ecoles et  les villages .  Ils sera payés pendant 11  mois à raison de 1050$ par mois X 1prsX11= 11 550 USD </t>
  </si>
  <si>
    <t>Temps budgétisé 100%,Unicef supportera respectivement la totalité du temps budgétisé, soit 100%.  Un assistant Chargé de suivi et evaluation sera pris en charge en compte pendant 11 mois pour suivre les indicteurs des toutes les activités du projet  les FOSA, les ecoles et  les villages et renseigné les evolutions par rapport chronogramme et rapporté au MEAL WV .  Ils sera payés pendant 11 mois à raison de 1000$ par moisX1prsX11= 11 000 $ de l'année 1</t>
  </si>
  <si>
    <t xml:space="preserve">Temps budgétisé 100%,Unicef supportera respectivement la totalité du temps budgétisé, soit 100%. 10 promoteurs d'hygienes publique seront engagés pendant 10 premiers  mois avec un total salaire de 66000$ pour les 11 premiers  mois de 2022 . ils seront de : 1. Participer à la réunion de sélection des villages ;
2. Assurer la sensibilisation et la mobilisation de la communauté bénéficiaire du projet ;
3. Vulgariser auprès de la population bénéficiaire les bonnes pratiques d’hygiène et d’assainissement du milieu ;
4. Participer à la résolution pacifique d’éventuels conflits liés à l’exécution du projet ;
5. Tenir un journal d’activités et un time sheet pour renseigner sur ses prestations journalières ;
6. Fournir de façon périodique et selon le format convenu avec le superviseur des éléments de progrès et autres indicateurs de changements apporté par le projet ;
7. Apporter toute forme de soutien moral à l’équipe du projet en vue de sa bonne marche ;
8. Etablir et maintenir des bonnes relations avec les agences locales (les ONGs nationales et internationales), les structures administratives locales et nationales incluant le Ministère de la santé publique et du développement local, les groupes communautaires locaux et les groupes de l’églises locales.
9. Gérer rationnellement les outils et équipements mis à sa disposition ;
10. Effectuer toute autre tâche compatible confiée par la hiérarchie.
11. Conduire la moto dans les routes les plus dégradées et remplir le carnet de bord à chaque utilisation ;
</t>
  </si>
  <si>
    <t>Temps budgétisé 100%,Unicef supportera respectivement la totalité du temps budgétisé, soit 100%. 2 chauffeur seront pris en charge pendant 11 mois à raison de 303$ par moisX2prsX11= 6666$ le total.</t>
  </si>
  <si>
    <t>Temps budgétisé 100%,Unicef supportera respectivement la totalité du temps budgétisé, soit 100%.</t>
  </si>
  <si>
    <t xml:space="preserve">CENTRES DE FORMATION TECHNIQUE </t>
  </si>
  <si>
    <t xml:space="preserve">Fourniture </t>
  </si>
  <si>
    <t>fourniture</t>
  </si>
  <si>
    <t>Frais de fourniture pour les 300  filles et femmes participant pour une journee (par an) - Materiels de formation: $1  Farde chemise, $1 Bloc notes A3, $0.50 Stylos bleus</t>
  </si>
  <si>
    <t>Resstauration+pause café</t>
  </si>
  <si>
    <t>Frais de restauration de 300  personnes $2 pour refraishisment et $5 pour repas (chaque annee).</t>
  </si>
  <si>
    <t xml:space="preserve">Identification de 1200 adolescents vulnérables, scolarisés ou non, qui seront formés aux compétences de vie. </t>
  </si>
  <si>
    <t>Reunions</t>
  </si>
  <si>
    <t>Former les formateurs des communautés cibles à l'approche "Youth Ready".</t>
  </si>
  <si>
    <t>Reunion</t>
  </si>
  <si>
    <t>pause café</t>
  </si>
  <si>
    <t>Fournitures de formation</t>
  </si>
  <si>
    <t>Former les adolescents vulnérables non scolarisés et scolarisés des communautés cibles à l'approche Youth Ready.</t>
  </si>
  <si>
    <t>Kits</t>
  </si>
  <si>
    <t xml:space="preserve">Location salle </t>
  </si>
  <si>
    <t>Salle</t>
  </si>
  <si>
    <t xml:space="preserve">Former les formateurs à l'agriculture/au petit élevage et aux activités de production/transformation alimentaire </t>
  </si>
  <si>
    <t>Formation des formateurs sur le programme routier</t>
  </si>
  <si>
    <t>Pause café</t>
  </si>
  <si>
    <t>2 enseignants identifiés dans chacun des 10 centres techniques et 10 des centres agricoles pour participer à une formation de 3 jours (par an)</t>
  </si>
  <si>
    <t>Transport</t>
  </si>
  <si>
    <t>Impression des modules de formation "Peace Roads"</t>
  </si>
  <si>
    <t xml:space="preserve">Réunions du club de la paix organisées dans les centres techniques et agricoles </t>
  </si>
  <si>
    <t>Pas de cout</t>
  </si>
  <si>
    <t xml:space="preserve">Former des clubs de paix dans chaque centre technique et agricole </t>
  </si>
  <si>
    <t>centres</t>
  </si>
  <si>
    <t>Réunions du club organisées chaque semaine</t>
  </si>
  <si>
    <t>Incitation pour les animateurs de clubs</t>
  </si>
  <si>
    <t>Staff Education dans les Centres de Formation techniques</t>
  </si>
  <si>
    <t xml:space="preserve">Pause café </t>
  </si>
  <si>
    <t>kit</t>
  </si>
  <si>
    <t>FORMATIONS SANITAIRES (FOSA)</t>
  </si>
  <si>
    <t>Aires de santé</t>
  </si>
  <si>
    <t>Litres Essences</t>
  </si>
  <si>
    <t>Reprographie des outils de prise en charge (fiches individuelles de suivi UNTI+UNTA, registres UNTI, registres UNTA, carte de beneficiaires, Fiches de references et contre references,, Table P/T, …)</t>
  </si>
  <si>
    <t>Cas</t>
  </si>
  <si>
    <t xml:space="preserve">Basés sur terrain, ils collaborent avec les bureau central de la Zone de Santé pour appuyer la mise en œuvre des activités du projet et garantissent la qualité, le rapportage des activités et assurent le suivi ; ils auront également sous leur responsabilité la tache liée à la gestion des Produits nutritionnels en cogérant avec le chargé de la gestion de la Zone de santé, </t>
  </si>
  <si>
    <t>Pause repas</t>
  </si>
  <si>
    <t>Appui (Collation) aux reunions de monitorage dans 2 BCZS</t>
  </si>
  <si>
    <t>membres ECZS, IT, DN et MDH</t>
  </si>
  <si>
    <t>Remboursement transport aux réunions de monitorage au niveau de 2 BCZS</t>
  </si>
  <si>
    <t xml:space="preserve">Fournitures (Stylo, carnets, flip chart, maqueurs, papier collant) réunions de monitorage au niveau BCZS </t>
  </si>
  <si>
    <t>BCZS</t>
  </si>
  <si>
    <t>Raccordement en eau courante établissement des soins et mise en place d'un réservoir de 5000 litres</t>
  </si>
  <si>
    <t>pièce</t>
  </si>
  <si>
    <t>Doter les comité d'hygiène des kits PCI</t>
  </si>
  <si>
    <t>COMMUNAUTE</t>
  </si>
  <si>
    <t xml:space="preserve">Location salle dans chaque AS pour l'investiture </t>
  </si>
  <si>
    <t>Achat megaphones pour sensibilisation</t>
  </si>
  <si>
    <t>megaphone</t>
  </si>
  <si>
    <t xml:space="preserve">Pause repas </t>
  </si>
  <si>
    <t>Fournitures (Kit -Stylos et blocs notes)</t>
  </si>
  <si>
    <t>pieces</t>
  </si>
  <si>
    <t>Frais de transport des participants</t>
  </si>
  <si>
    <t>Fournitures (Kit -Stylos ,carnet,Crayon et gomme en boite et taille crayon)</t>
  </si>
  <si>
    <t xml:space="preserve">Frais de transport des participants à la réunion </t>
  </si>
  <si>
    <t xml:space="preserve">Location salle  lors de l'élaboration de plan d'action communautaire </t>
  </si>
  <si>
    <t xml:space="preserve">Carnet de données de dénombrement </t>
  </si>
  <si>
    <t>Appui Frais fonctionnement CAC</t>
  </si>
  <si>
    <t>Frais</t>
  </si>
  <si>
    <t>Bottes pour les membres de CAC</t>
  </si>
  <si>
    <t>Bottes</t>
  </si>
  <si>
    <t>piece</t>
  </si>
  <si>
    <t>Banderole lors des activités</t>
  </si>
  <si>
    <t>Achat Rame de papier pour impression des fiches de rapportage des CAC</t>
  </si>
  <si>
    <t xml:space="preserve">Cartouche pour imprimante </t>
  </si>
  <si>
    <t xml:space="preserve">Staff </t>
  </si>
  <si>
    <t xml:space="preserve">Salaire en faveur des superviseurs de proximités </t>
  </si>
  <si>
    <t xml:space="preserve">359 USD par superviseur pour 11 mois </t>
  </si>
  <si>
    <t>Kit complet</t>
  </si>
  <si>
    <t>Frais de location salle qui peut contenir 20 personnes pour les respects des mésures barrières</t>
  </si>
  <si>
    <t xml:space="preserve"> kit est compose d'un carnet A5, 1 stylo, et Etui bag</t>
  </si>
  <si>
    <t>Appui au fonctionnement des radios communautaires</t>
  </si>
  <si>
    <t>Radio</t>
  </si>
  <si>
    <t>300$/10 mois de diffusion pour 8 Radios</t>
  </si>
  <si>
    <t>Production des spots</t>
  </si>
  <si>
    <t>Spot</t>
  </si>
  <si>
    <t>12 spots X 50 USD</t>
  </si>
  <si>
    <t>Emissions</t>
  </si>
  <si>
    <t>Boite</t>
  </si>
  <si>
    <t>GGP</t>
  </si>
  <si>
    <t xml:space="preserve">Honoraires des enquêteurs </t>
  </si>
  <si>
    <t xml:space="preserve">Transport local sur le terrain des enquêteurs </t>
  </si>
  <si>
    <t>Communication (crédits téléphoniques pour la coordination et unités Internet pour l'envoi des données)</t>
  </si>
  <si>
    <t xml:space="preserve">carte </t>
  </si>
  <si>
    <t xml:space="preserve">Fournitures pédagogiques </t>
  </si>
  <si>
    <t xml:space="preserve">kits </t>
  </si>
  <si>
    <t>Reprographie des outils de formation et de l'enquête</t>
  </si>
  <si>
    <t xml:space="preserve">salle </t>
  </si>
  <si>
    <t xml:space="preserve">Restauration Pause café </t>
  </si>
  <si>
    <t>Pestauration repas midi</t>
  </si>
  <si>
    <t xml:space="preserve">Perdiem des formateurs </t>
  </si>
  <si>
    <t xml:space="preserve">Nuitées </t>
  </si>
  <si>
    <t>Restauration repas midi</t>
  </si>
  <si>
    <t>Bloc notes et etuits par participants, stylos, flip chart, markets, scotch</t>
  </si>
  <si>
    <t xml:space="preserve">Transport des facilitateurs </t>
  </si>
  <si>
    <t>Transport des facilitatrices</t>
  </si>
  <si>
    <t>Frais de facilitation</t>
  </si>
  <si>
    <t>Transport des facilitateurs</t>
  </si>
  <si>
    <t>Transport des facilitateurs/trices</t>
  </si>
  <si>
    <t>Former les personnels des organisations partenaires impliqués dans le projet et les membres des comités intervenant dans la réalisation ou la gestion de l'intervention sur l’atténuation des risques VBG, Gender et PSEA</t>
  </si>
  <si>
    <t xml:space="preserve">Une formation sera organisée chaque année pour l'équipe du consortium dans chacun des deux sites du projet. </t>
  </si>
  <si>
    <t xml:space="preserve">93 participants (36 Caritas, 39 REMED, 18WV) x 1 jour x 5 $ par personne - par an </t>
  </si>
  <si>
    <t xml:space="preserve">Casse croute des participants </t>
  </si>
  <si>
    <t xml:space="preserve">Sonorisation </t>
  </si>
  <si>
    <t xml:space="preserve">Transport des autorités locales </t>
  </si>
  <si>
    <t>20 autorités par aire de santé reçoivent les frais de transport</t>
  </si>
  <si>
    <t>Communication</t>
  </si>
  <si>
    <t>carte</t>
  </si>
  <si>
    <t>Production des t-shirts pour les participants</t>
  </si>
  <si>
    <t xml:space="preserve">Kits pour  les champions  et championnes </t>
  </si>
  <si>
    <t>Pagne, savons, Masoso, pour chaque participant/participante ayant fini le cycle</t>
  </si>
  <si>
    <t xml:space="preserve">Monitoring communautaire </t>
  </si>
  <si>
    <t>transport</t>
  </si>
  <si>
    <t>Le monitoring communautaire est fait par les facilitateurs ( communautés et les prestataires dans le cadre de suivi à domicile, accompagnement spécifiques des participants/participantes)</t>
  </si>
  <si>
    <t xml:space="preserve">Perdiem équipe pour les missions de suivi et évaluation </t>
  </si>
  <si>
    <t xml:space="preserve">Jour </t>
  </si>
  <si>
    <t xml:space="preserve">Perdiem pour la collecte des données pour la production du Learning brief </t>
  </si>
  <si>
    <t xml:space="preserve">jour </t>
  </si>
  <si>
    <t>Staff direct pour la mise en place de l'approche Washindi</t>
  </si>
  <si>
    <t xml:space="preserve">mois </t>
  </si>
  <si>
    <t>Superviseurs terrain (100%)</t>
  </si>
  <si>
    <t>Délegués CAC et membres de CODESA</t>
  </si>
  <si>
    <t>CODESA</t>
  </si>
  <si>
    <t>Accompagner les ménages dans les activités d'assainissement familial en particulier la construction des latrines familiales, la gestion des déchets ménagers, en prenant en compte les besoins spécifiques des femmes et des filles</t>
  </si>
  <si>
    <t>INSTITUTIONS DE GOUVERNANCE</t>
  </si>
  <si>
    <t xml:space="preserve"> kit est compose d'un carnet A5, 1 stylo, et flip shart</t>
  </si>
  <si>
    <t>DSA des experts du Groupe de travail sur la Réponse Rapide GTRR, la DPS et TASK FORCE lors de la formation des formateurs</t>
  </si>
  <si>
    <t>3 staff du projet et 5 experts de la DPS,  PRONANUT, EDUCATION, WASH et TASK FORCE</t>
  </si>
  <si>
    <t>DSA des experts du Groupe de travail sur la Réponse Rapide GTRR, la DPS et TASK FORCE pour supervision des activités de formation réalisées par les ECZ et IT</t>
  </si>
  <si>
    <t>Transport des chargés de suivi zonal et superviseurs de proximités pour suivi des alertes et documentation (monitoring continue)</t>
  </si>
  <si>
    <t>50 USD suplementaire pour le monitoring continue des alertes remontés par les points focaux des villages</t>
  </si>
  <si>
    <t>Location véhicule pour les missions d'ERM et verification pour le GTRR</t>
  </si>
  <si>
    <t>Collation des équipes pour organisation des réunions de monitoring des alertes avec les ECZ,APA et Representant communautaire</t>
  </si>
  <si>
    <t>Connexion pour le Point focal chargé de suivi évaluation au niveau zonal</t>
  </si>
  <si>
    <t>connexion mensuel de 10 USD</t>
  </si>
  <si>
    <t>Appuyer le suivi et supervision de la mise en oeuvre des activites de la nutrition dans les aires de sante</t>
  </si>
  <si>
    <t xml:space="preserve">Communication </t>
  </si>
  <si>
    <t>DSA pour les missions de suivi et évaluation mensuel des équipes du projet</t>
  </si>
  <si>
    <t>GEEP</t>
  </si>
  <si>
    <t>Couts operationnels Education et Nutrition</t>
  </si>
  <si>
    <t>In-country management and support staff costs, pro-rated to their contribution to the programme (representation, planning, coordination, logistics, admin, finance)</t>
  </si>
  <si>
    <t>1 Base Manager (10%)</t>
  </si>
  <si>
    <t>The Base Manager will devote 10% of his time in supporting this project: through provision of leadership oversite and adminstrative support. WV will contribute 15% of his salary while UNICEF will contribute 85%</t>
  </si>
  <si>
    <t>Field Security Officer (20%)</t>
  </si>
  <si>
    <t>The FSO will ensure safety of staff, Assets and programmes through continoues security awareness training and communication. WVI will contribute 15% while UNICEF comntributes 85%</t>
  </si>
  <si>
    <t>Radio Operator (20%)</t>
  </si>
  <si>
    <t>The Radio Operator will manage the Radio room and security communication under the leadership of the Security Officer</t>
  </si>
  <si>
    <t>Cleaner (20%)</t>
  </si>
  <si>
    <t>The Office cleaner will ensure that the staff have a safe and clean environment to work. WVI contributes 15% while UNICEF will contribute 85%</t>
  </si>
  <si>
    <t>Zonal Director (5%)</t>
  </si>
  <si>
    <t>Zonal Director has held responsible for smooth running of operations within the Zone where this project is implemented. 5% of his salary and benefits will be attributed to this project and WVI will contribuet 15% while UNICEF will contribute 85%</t>
  </si>
  <si>
    <t>Operations Manager (5%)</t>
  </si>
  <si>
    <t>The Operations Manager will devote 5% of his time in supporting this project: through provision of leadership oversite and adminstrative support. WV will contribute 15% of his salary while UNICEF will contribute 85%</t>
  </si>
  <si>
    <t>Finance Manager(5%)</t>
  </si>
  <si>
    <t>The Finance Manager will devote 5% of his time ensuring that the internal controls, compluance to the donor and Finance policies and ensure that Financial Reports are produced in a timely manner. WVI will contrinute 15% while UNICEF will contribute 85%</t>
  </si>
  <si>
    <t xml:space="preserve">Nutrition Advisor  (5%) </t>
  </si>
  <si>
    <t>Nutrition Advisor will provide technical support and guidance on mainstreaming of key approaches and tools to improve programme quality. The incumbent will devote 10% of her time in supporting this project. WVI will contribute 15% and 85% for UNICEF</t>
  </si>
  <si>
    <t xml:space="preserve">Education Advisor (10%) </t>
  </si>
  <si>
    <t>Education Advisor will provide technical support and guidance on mainstreaming of key approaches and tools to improve programme quality. The incumbent will devote 10% of her time in supporting this project. WVI will contribute 15% and 85% for UNICEF</t>
  </si>
  <si>
    <t>GAM Program Manager (5%)</t>
  </si>
  <si>
    <t>GAM Manager will devote 5% of his time in support the project for donor compliance, reporting and engagement. WVI will contribute 15% while UNICEF will contribute 85% for this role.</t>
  </si>
  <si>
    <t>P&amp;C Manager (5%)</t>
  </si>
  <si>
    <t>P&amp;C Manager will devote 5% of his time in ensure that project staff are recruited, trained and renumerated and their wellbeing. WVI will contribute 15% while UNICEF comtributes 85%</t>
  </si>
  <si>
    <t>1 Cashier (50%) </t>
  </si>
  <si>
    <t xml:space="preserve">Cashier will devote 50% of her time ensuring that supplier payments are process on time. Participate in monthly financial reporting process. WVI will contribute 15% while UNICEF 85% </t>
  </si>
  <si>
    <t>Admin Coordinator (5%)</t>
  </si>
  <si>
    <t xml:space="preserve">The Admin coordinator wiil devote 5% of her time in ensuring that Project staff are faciliated with transportation, travel and accommodation. WVI will contrubute 15% while UNICEF contrinutes 85% </t>
  </si>
  <si>
    <t>Supply chain coordinotor (10%)</t>
  </si>
  <si>
    <t>Supply Chain coordinator will devote 10% of his time in ensuring that all purchase requests for project inputs and supplies are delivered on time. WVI 15% and UNICEF 85%</t>
  </si>
  <si>
    <t>Operational costs, pro-rated to their contribution to the programme (office space, equipment, office supplies, maintenance)</t>
  </si>
  <si>
    <t>Laptop Computer</t>
  </si>
  <si>
    <t xml:space="preserve">Le projet permettra d'acheter 18 ordinateurs portables pour les 18 employés à temps plein qui en auront besoin pour leur travail. Chaque ordinateur portable sera acheté pour 1 200 $. Les ordinateurs portables ne seront achetés qu'au cours de la première année du projet. </t>
  </si>
  <si>
    <t>Printers</t>
  </si>
  <si>
    <t>2 imprimantes seront achetées au coût de 1 000 $ chacune. Une imprimante sera installée dans le bureau de Goma et dans le bureau de Rwanguba.</t>
  </si>
  <si>
    <t>Location des vehicules</t>
  </si>
  <si>
    <t>jour</t>
  </si>
  <si>
    <t>Purchase of motorcycles de marque Yamaha DT-125</t>
  </si>
  <si>
    <t xml:space="preserve">Le projet prévoit l'achat de 8 motos Yamaha DT-125 - 4 pour chaque site du projet. La somme de 5000 $ comprend la moto, le casque, les lunettes et les gants + assurance et autre documents requise. </t>
  </si>
  <si>
    <t>Maintenance motocycle</t>
  </si>
  <si>
    <t>supporte par WV</t>
  </si>
  <si>
    <t>100 USD pour UNICEF, le reste supporte par WV</t>
  </si>
  <si>
    <t>Carburant Generateur</t>
  </si>
  <si>
    <t>Total monthly carburant tre $5.60 - each linth the project will pay 10% at $160 a linth for 21 linths</t>
  </si>
  <si>
    <t>Total monthly eau is $8000 - each month the project will pay 40% at $200 a month for 21 months</t>
  </si>
  <si>
    <t xml:space="preserve">Hospitality( café-the-sucre-lait) </t>
  </si>
  <si>
    <t xml:space="preserve">200 dollars par mois pendant 21 mois ont été réservés pour la hospitaliter </t>
  </si>
  <si>
    <t xml:space="preserve">COVID-19 kits </t>
  </si>
  <si>
    <t xml:space="preserve">Deux kits PPE COVID-19 d'une valeur de 50 $ chacun seront distribués chaque mois ( 1 pour chaque site) pendant 21 mois. Les kits comprendront des choses comme des masques, du désinfectant et du savon pour le bureau et le personnel du projet. </t>
  </si>
  <si>
    <t xml:space="preserve">Location dépôt </t>
  </si>
  <si>
    <t>Depot</t>
  </si>
  <si>
    <t xml:space="preserve">KIT PPE </t>
  </si>
  <si>
    <t xml:space="preserve">Achat Groupe electrogene </t>
  </si>
  <si>
    <t>Planning, monitoring, evaluation and communication costs, pro-rated to their contribution to the programme (venue, travels, etc.)</t>
  </si>
  <si>
    <t xml:space="preserve"> Annual surveys (including CAP and SMART)</t>
  </si>
  <si>
    <t>survey</t>
  </si>
  <si>
    <t xml:space="preserve">Communication (Unités et Internet) - </t>
  </si>
  <si>
    <t>fee</t>
  </si>
  <si>
    <t>10 USD pour UNICEF, le reste supporte par WV</t>
  </si>
  <si>
    <t xml:space="preserve">Perdiem staff d'appui </t>
  </si>
  <si>
    <t>per diem</t>
  </si>
  <si>
    <t>Per diem Staff Projet pour deplacement -interne</t>
  </si>
  <si>
    <t>Start up &amp; close out workshop</t>
  </si>
  <si>
    <t>workshop</t>
  </si>
  <si>
    <t xml:space="preserve">Un atelier sera organisé au début et à la fin du projet. Tout le personnel du projet se rendra à Goma pour participer à l'atelier de 6 jours (3 au début et 3 à la fin). Les fonds alloués couvriront le transport, l'hôtel pour ceux qui se trouvent à Rwanguba, la salle de conférence, les repas, le perdium, le matériel de l'atelier et les PPE. </t>
  </si>
  <si>
    <t xml:space="preserve">Frais de mission de suivis et évaluation de l'Officier M&amp;E  et Financier Principal (1 mission de 10 jours / Trimestre) </t>
  </si>
  <si>
    <t>Au total 10 missions (chacune : 80 USD) de monitoring des activités sur terrain par M&amp;E et Officier principal financier par trimestre l'an.</t>
  </si>
  <si>
    <t>Couts operationnels WASH</t>
  </si>
  <si>
    <t>Salaires du personnel qui travaille indirectement sur le programme (Directeur Pays, M&amp;E, Logisticien etc) avec % prorata</t>
  </si>
  <si>
    <t xml:space="preserve">Coûts opérationnels liés au fonctionnement </t>
  </si>
  <si>
    <t xml:space="preserve">1 500 USD , Caritas et Unicef supportent respectivement 75% et 25% du temps budgétisé </t>
  </si>
  <si>
    <t>Couts operationnels C4D</t>
  </si>
  <si>
    <t>Moto/</t>
  </si>
  <si>
    <t>Location vehicule</t>
  </si>
  <si>
    <t>vehicule/jr</t>
  </si>
  <si>
    <t>Carburant pour motos</t>
  </si>
  <si>
    <t>Entretiens des motos</t>
  </si>
  <si>
    <t>100 USD d'entretien par moto /Mois</t>
  </si>
  <si>
    <t>Achat papier duplicateur</t>
  </si>
  <si>
    <t>Carton</t>
  </si>
  <si>
    <t>Achat classeurs</t>
  </si>
  <si>
    <t>Pièce</t>
  </si>
  <si>
    <t>Achat enveloppe A4</t>
  </si>
  <si>
    <t>Paquet</t>
  </si>
  <si>
    <t>Achat stylo</t>
  </si>
  <si>
    <t>Boîte</t>
  </si>
  <si>
    <t xml:space="preserve">Paiement connexion </t>
  </si>
  <si>
    <t>Mois</t>
  </si>
  <si>
    <t xml:space="preserve">Paiement mensuel de la connexion </t>
  </si>
  <si>
    <t>Carte d'appel - Credit telephone</t>
  </si>
  <si>
    <t>Carte d'appel - Credit telephone pour le staff clé du projet</t>
  </si>
  <si>
    <t>maison</t>
  </si>
  <si>
    <t>Paiement loyer 11 mois bureau de rutshuru. UNICEF 50% et REMED 50%</t>
  </si>
  <si>
    <t>Paiement loyer 11 mois bureau de Goma. UNICEF 50% et REMED 50%</t>
  </si>
  <si>
    <t>Lubrifiant pour le generateur</t>
  </si>
  <si>
    <t>bidon de 5 litre</t>
  </si>
  <si>
    <t>Couts operationnels Gender</t>
  </si>
  <si>
    <t>Materiels, Outils de commununication et autres fournitures pour la mise en place de l'approche Washindi</t>
  </si>
  <si>
    <t>9.1.1</t>
  </si>
  <si>
    <t>9.1.2</t>
  </si>
  <si>
    <t xml:space="preserve">Kit covid-19(Masques, termofaflash, lave mains </t>
  </si>
  <si>
    <t>9.1.3</t>
  </si>
  <si>
    <t>Dictaphones</t>
  </si>
  <si>
    <t>9.1.4</t>
  </si>
  <si>
    <t>Production des t-shirt pour les facilitateurs et les IT</t>
  </si>
  <si>
    <t>9.1.5</t>
  </si>
  <si>
    <t xml:space="preserve">Production des boites à image </t>
  </si>
  <si>
    <t xml:space="preserve">Personnel indirect pour la mise en place de l'approche Washindi </t>
  </si>
  <si>
    <t>9.2.1</t>
  </si>
  <si>
    <t>Chargé des programmes (25%)</t>
  </si>
  <si>
    <t>Contribution au salaire de staff indirect qui consacrera 25% de son temps au projet</t>
  </si>
  <si>
    <t>9.2.2</t>
  </si>
  <si>
    <t>Comptable projet (25%)</t>
  </si>
  <si>
    <t>9.2.3</t>
  </si>
  <si>
    <t>9.2.4</t>
  </si>
  <si>
    <t>Chargé de suivi et évaluation (25%)</t>
  </si>
  <si>
    <t>9.2.5</t>
  </si>
  <si>
    <t>Point focal recherche et apprentissage (25%)</t>
  </si>
  <si>
    <t xml:space="preserve">Frais administratifs pour la mise en place de l'approche Washindi </t>
  </si>
  <si>
    <t xml:space="preserve">Fournitures de bureau </t>
  </si>
  <si>
    <t xml:space="preserve">Internet </t>
  </si>
  <si>
    <t xml:space="preserve">Carburant et Lubrifiant </t>
  </si>
  <si>
    <t>ESPECE</t>
  </si>
  <si>
    <t>SUPPLY</t>
  </si>
  <si>
    <t>Les frais bancaires pour les activités gérées par Caritas et Remed sont majorés à 1% pour couvrir les doubles transferts (de l'UNICEF vers WordVision, puis de Word Vision vers les autres membres du consortium)</t>
  </si>
  <si>
    <t>Année 1</t>
  </si>
  <si>
    <t>UNICEF Espèce</t>
  </si>
  <si>
    <t>UNICEF Supply</t>
  </si>
  <si>
    <t>Partenaire</t>
  </si>
  <si>
    <t>Total</t>
  </si>
  <si>
    <t>WV - Education</t>
  </si>
  <si>
    <t>WV - Nutrition</t>
  </si>
  <si>
    <t>WV - Gender / GBV / PSEA</t>
  </si>
  <si>
    <t>WV - Appui Siège</t>
  </si>
  <si>
    <t>WV - Frais bancaire</t>
  </si>
  <si>
    <r>
      <rPr>
        <b/>
        <sz val="10"/>
        <rFont val="Calibri"/>
        <family val="2"/>
        <scheme val="minor"/>
      </rPr>
      <t>Word Vision</t>
    </r>
    <r>
      <rPr>
        <sz val="10"/>
        <rFont val="Calibri"/>
        <family val="2"/>
        <scheme val="minor"/>
      </rPr>
      <t xml:space="preserve"> - Total</t>
    </r>
  </si>
  <si>
    <t>Remed - Nutrition</t>
  </si>
  <si>
    <t>Remed  - WASH</t>
  </si>
  <si>
    <t>Remed - C4D</t>
  </si>
  <si>
    <t>Remed - Frais bancaire</t>
  </si>
  <si>
    <r>
      <rPr>
        <b/>
        <sz val="10"/>
        <rFont val="Calibri"/>
        <family val="2"/>
        <scheme val="minor"/>
      </rPr>
      <t>Remed</t>
    </r>
    <r>
      <rPr>
        <sz val="10"/>
        <rFont val="Calibri"/>
        <family val="2"/>
        <scheme val="minor"/>
      </rPr>
      <t xml:space="preserve"> - Total</t>
    </r>
  </si>
  <si>
    <t>TOTAL</t>
  </si>
  <si>
    <t>Education Programme (WV)</t>
  </si>
  <si>
    <t>Education - Frais bancaire</t>
  </si>
  <si>
    <r>
      <rPr>
        <b/>
        <sz val="10"/>
        <rFont val="Calibri"/>
        <family val="2"/>
        <scheme val="minor"/>
      </rPr>
      <t>Education</t>
    </r>
    <r>
      <rPr>
        <sz val="10"/>
        <rFont val="Calibri"/>
        <family val="2"/>
        <scheme val="minor"/>
      </rPr>
      <t xml:space="preserve"> Total</t>
    </r>
  </si>
  <si>
    <t>Nutrition - WV</t>
  </si>
  <si>
    <t>Nutrition - Remed</t>
  </si>
  <si>
    <t>Nutrition - Frais bancaire</t>
  </si>
  <si>
    <r>
      <rPr>
        <b/>
        <sz val="10"/>
        <rFont val="Calibri"/>
        <family val="2"/>
        <scheme val="minor"/>
      </rPr>
      <t>Nutrition</t>
    </r>
    <r>
      <rPr>
        <sz val="10"/>
        <rFont val="Calibri"/>
        <family val="2"/>
        <scheme val="minor"/>
      </rPr>
      <t xml:space="preserve"> - Total</t>
    </r>
  </si>
  <si>
    <t>WASH - Remed</t>
  </si>
  <si>
    <t>WASH - Frais bancaire</t>
  </si>
  <si>
    <r>
      <rPr>
        <b/>
        <sz val="10"/>
        <rFont val="Calibri"/>
        <family val="2"/>
        <scheme val="minor"/>
      </rPr>
      <t>WASH</t>
    </r>
    <r>
      <rPr>
        <sz val="10"/>
        <rFont val="Calibri"/>
        <family val="2"/>
        <scheme val="minor"/>
      </rPr>
      <t xml:space="preserve"> - Total</t>
    </r>
  </si>
  <si>
    <t>C4D (Remed)</t>
  </si>
  <si>
    <t>Education - Appui Siège WV</t>
  </si>
  <si>
    <t>C4D - Frais bancaire</t>
  </si>
  <si>
    <r>
      <rPr>
        <b/>
        <sz val="10"/>
        <rFont val="Calibri"/>
        <family val="2"/>
        <scheme val="minor"/>
      </rPr>
      <t>C4D</t>
    </r>
    <r>
      <rPr>
        <sz val="10"/>
        <rFont val="Calibri"/>
        <family val="2"/>
        <scheme val="minor"/>
      </rPr>
      <t xml:space="preserve"> - Total</t>
    </r>
  </si>
  <si>
    <t>Gender / GBV / PSEA (WV)</t>
  </si>
  <si>
    <r>
      <rPr>
        <b/>
        <sz val="10"/>
        <rFont val="Calibri"/>
        <family val="2"/>
        <scheme val="minor"/>
      </rPr>
      <t>Gender / GBV / PSEA</t>
    </r>
    <r>
      <rPr>
        <sz val="10"/>
        <rFont val="Calibri"/>
        <family val="2"/>
        <scheme val="minor"/>
      </rPr>
      <t xml:space="preserve"> - Total</t>
    </r>
  </si>
  <si>
    <t>Cash UNICEF</t>
  </si>
  <si>
    <t>Supply UNICEF</t>
  </si>
  <si>
    <t>PU</t>
  </si>
  <si>
    <t>PT</t>
  </si>
  <si>
    <t>N°</t>
  </si>
  <si>
    <t>kg</t>
  </si>
  <si>
    <t>UNTI</t>
  </si>
  <si>
    <t>UNTA</t>
  </si>
  <si>
    <t xml:space="preserve">Amoxycilline susp 125mg/5ml, 100 ml, </t>
  </si>
  <si>
    <t>Cart-150</t>
  </si>
  <si>
    <t>carton- 24</t>
  </si>
  <si>
    <t>carton - 24</t>
  </si>
  <si>
    <t>carton -100</t>
  </si>
  <si>
    <t>flacon</t>
  </si>
  <si>
    <t>pièce paquet 50</t>
  </si>
  <si>
    <t>PROJET DE RENFORCEMENT DE LA RESILIENCE DES COMMUNAUTES VULNERABLES ET D’AMELIORATION DE L’ACCES AUX SERVICES SOCIAUX DE BASE ET DE PROMOTION DE LA COHESION SOCIALE DANS LES ZONES DE SANTE DE NYIRAGONGO ET RWANGUBA</t>
  </si>
  <si>
    <t xml:space="preserve">Consortium WORLD VISION DRC (lead), CARITAS DEVELOPPEMENT GOMA, RESEAU DE MEDIAS POUR LE DEVELOPPEMENT </t>
  </si>
  <si>
    <t>Année 1 (juin 2022 - mars 2023)</t>
  </si>
  <si>
    <t>Année 2 (avril - décembre 2023)</t>
  </si>
  <si>
    <t>Année 1 + Année 2</t>
  </si>
  <si>
    <t>Durée (mois)</t>
  </si>
  <si>
    <t>Total Contribution Unicef</t>
  </si>
  <si>
    <t>Tranche 5</t>
  </si>
  <si>
    <t>Tranche 6</t>
  </si>
  <si>
    <t>Total Contribution Unicef (en espèce)</t>
  </si>
  <si>
    <t>Total Contribution de l'Unicef (en supply)</t>
  </si>
  <si>
    <t>Total UNICEF + Partenaire</t>
  </si>
  <si>
    <t>Total Contribution Unicef (en espèce) A1</t>
  </si>
  <si>
    <t>Total Contribution de l'Unicef (en supply) A1</t>
  </si>
  <si>
    <t>Total Contribution Unicef (en espèce) A2</t>
  </si>
  <si>
    <t>Total Contribution de l'Unicef (en supply) A2</t>
  </si>
  <si>
    <t xml:space="preserve">Commentaire UNICEF </t>
  </si>
  <si>
    <t>Réponse Goma</t>
  </si>
  <si>
    <t xml:space="preserve">Soutenir la formation de 360 acteurs de l'éducation (40 directeurs et 320 enseignants) sur l'éducation à la paix, la prévention des IST/VIH-SIDA, la prévention du COVID-19 dans les réseaux communautaires conformément aux règles anti-COVID-19, le Genre et la prévention des Violence Basée sur le Genre (VBG) et Abus et Exploitation Sexuelle (AES) </t>
  </si>
  <si>
    <t>180 participants répartis en 9 groupes (20 personnes par groupe) - chaque groupe participera à un atelier de 3 jours (par an).</t>
  </si>
  <si>
    <t>180 personnes x 3 jours d'ateliers par personne (par an)</t>
  </si>
  <si>
    <t>Repas pour les participants (360 directeurs et enseignants)</t>
  </si>
  <si>
    <t xml:space="preserve">Frais de transport pour 360 participants </t>
  </si>
  <si>
    <t>180 personnes x 3 jours x 5 $ par jour (par an)</t>
  </si>
  <si>
    <t>Confirmer si 360 participant ou 180?</t>
  </si>
  <si>
    <t>180 par année, donc 360 sur les 2 ans</t>
  </si>
  <si>
    <t>Impression de modules d'éducation à la paix pour 180 participants principaux et 2 facilitateurs-formation des formateurs</t>
  </si>
  <si>
    <t xml:space="preserve">pourquoi cette activite alors que dans 1.2.2 il ya a deja l'achat d edispositif durable? </t>
  </si>
  <si>
    <t>Les 2 ne sont pas exclusifs. Les stations mobiles qui sont (disposés à plusieurs endroits stratégiques) complétent les dispositifs durables qui sont des infrastruces fixes (1 seul par école).</t>
  </si>
  <si>
    <t>$5 seaux - $1  robinet - $4  tabourets</t>
  </si>
  <si>
    <t>$5 seau - $1  robinet - $4  tabouret</t>
  </si>
  <si>
    <t xml:space="preserve">Achat de désinfectants ou/ et de savons pour le lavage des mains. </t>
  </si>
  <si>
    <t xml:space="preserve">10 morceaux de savon par mois pendant 10 mois par école - chaque morceau de savon à un coût de $0.50 </t>
  </si>
  <si>
    <t xml:space="preserve">10 morceau de savon par mois pendant 10 mois par école - chaque morceau de savon à un coût de $0.50 </t>
  </si>
  <si>
    <t xml:space="preserve">le cout unitaire des pauses café et repas ont double entre la premiere et la 2 eme actvite . </t>
  </si>
  <si>
    <t>Merci. C'est corrigé.</t>
  </si>
  <si>
    <t>Repas pour 40 participants</t>
  </si>
  <si>
    <t>$3  x  10 = $30 Balons de football,  $3 x 10 =$30 Volleyball  $2.5 x 4 = $10 corde à sauter,, $5 x 6 = $30 Materiels locaux pour la musique</t>
  </si>
  <si>
    <t>Pièces de théâtre sur les questions de paix</t>
  </si>
  <si>
    <t xml:space="preserve">20 ecoles x 3 piece de theatre par annee  pas de cout </t>
  </si>
  <si>
    <t>20 ecoles x 40 maillots footbal - $2.5 chacun pour 20 joueurs par ecole (par an)</t>
  </si>
  <si>
    <t>20 ecoles x 40 maillot footbal - $2.5 chacun pour 20 joueurs par ecole (par an)</t>
  </si>
  <si>
    <t>Kit nettoyage: 3 pelles  ($10 chacune),  8 seaux ($5 chacune) and 3 rateau ($10 chacune) = $100 dans chaque des 20 ecoles (par an)</t>
  </si>
  <si>
    <t>Festivités annuelles des clubs de la paix</t>
  </si>
  <si>
    <t xml:space="preserve">20 ecole x $50 en snack par ans </t>
  </si>
  <si>
    <t xml:space="preserve">frais de contribution eleve et depassant les frais de location de salle de 25$. A reduire </t>
  </si>
  <si>
    <t>Dans la grille des couts harmonisés, la limite pour la location d'une salle de moins de 50 personnes est à 50$</t>
  </si>
  <si>
    <t>180 personnes 2 jours ( par an)</t>
  </si>
  <si>
    <t xml:space="preserve">180 personnes x $5   (par an) </t>
  </si>
  <si>
    <t>1 Education Project Manager (100%)</t>
  </si>
  <si>
    <t>Le chef de projet travaillera en étroite collaboration avec le personnel du projet et les partenaires pour assurer la supervision et la gestion du projet à travers la mise en œuvre d'activités de haute qualité. Il / elle sera responsable de la coordination et la préparation en temps opportun des plans de mise en œuvre et de la supervision de leur mise en œuvre effective. Le PM soutiendra également la préparation et la soumission des rapports techniques et financiers à la demande du bailleur. Il / elle supervisera également les relations avec les partenaires et les autres parties prenantes clés pour s'assurer que les objectifs du projet sont atteints conformément aux lois et réglementations applicables, en veillant à ce que toutes les exigences contractuelles du bailleur soient respectées</t>
  </si>
  <si>
    <t>2 Education Officers (100%)</t>
  </si>
  <si>
    <t>1 Comptable (100%) </t>
  </si>
  <si>
    <t xml:space="preserve">Le comptable sera responsable de la gestion financière du projet et travaillera avec le comptable des subventions. Le comptable examinera également tous les rapports financiers soumis par les partenaires du consortium et apportera son soutien au renforcement des capacités. </t>
  </si>
  <si>
    <t xml:space="preserve">Assurer le branchement des écoles aux réseaux d'eaux existant </t>
  </si>
  <si>
    <t xml:space="preserve">Frais de branchement de 15 écoles de SDE Rutshuru 1 et Nyragongo 1 et 2  aux reseaux d'eau  existants, à raison de  440$ par branchement et 900 $ pour le tank, la plate form et la petites plomberie pour le stocka ge de l'eau de boisson a l'ecoles qui fait le totale de 20 100$. voir devis en annexe. </t>
  </si>
  <si>
    <t xml:space="preserve">Frais de branchement de 10 écoles de SDE Rutshuru 1 et Nyragongo 1 et 2  aux reseaux d'eau  existants, à raison de  440$ par branchement et 900 $ pour le tank, la plate form et la petites plomberie pour le stocka ge de l'eau de boisson a l'ecoles qui fait le total de 13400$ pour les 10 ecoles  </t>
  </si>
  <si>
    <t>Caritas</t>
  </si>
  <si>
    <t>est ce 25 ecoles ou 15?</t>
  </si>
  <si>
    <t>25 écoles : 15 la première année et 10 la deuxième</t>
  </si>
  <si>
    <t>Construction des système de collecte d'eau de pluie dans les écoles accompagnées par le projet</t>
  </si>
  <si>
    <t>Ecole</t>
  </si>
  <si>
    <t>1800$/ecoles x 15 ecoles  pour l'installation des gouttieres et d'un  tanj de 3000 lit  pour le remplissage des tanks de 3000 litre comme plan B en cas de panne sur le reseau d'eau communautaire, Cette eau servira en outre pour le nettoiyage de salles de classe  et les latrines.</t>
  </si>
  <si>
    <t>1800$/ecoles x 10 ecoles  pour l'installation des gouttieres et d'un  tanj de 3000 lit  pour le remplissage des tanks de 3000 litre comme plan B en cas de panne sur le reseau d'eau communautaire, Cette eau servira en utre pour le nettoiyage de salles de classe  et les latrines.</t>
  </si>
  <si>
    <t>Construction des portes de latrine double fosses vidangeables avec fosses alternées dans les écoles</t>
  </si>
  <si>
    <t xml:space="preserve">portes </t>
  </si>
  <si>
    <t>Frais de construction de 163 portes de latrines dans 15 écoles en raison de 1479,08$ par porteX163= 241 090$. Dont 163 portes seront contruiotes en en phase 1,en raison des effectifs filles et garcons donnés par la SDE Rutshuru 1 et SDE Nyiragongo 1 &amp;2 selon les standarts de l'EPSP</t>
  </si>
  <si>
    <t>Frais de construction de 163 portes de latrines dans 10 écoles en raison de 1479,08$ par porteX245= 121 285$. Dont 83 portes seront contruiotes 2 eme année(2023),en raison des effectifs filles et garcons donnés par la SDE Rutshuru 1 et SDE Nyiragongo 1 &amp;2 selon les standarts de EPSP</t>
  </si>
  <si>
    <t>Construire une porte d'anti chambre  dansd le bloc des latrines filles  pour la gestion de l'Hygiene Menstruelle (GHM) dans les etablissements scolaire</t>
  </si>
  <si>
    <t xml:space="preserve">Portes </t>
  </si>
  <si>
    <t>Au sein de 15 blocs des latrines  de chaque ecole, un porte d'antichamnbre de coin de laverie sera construite pour permettre aux filles  leur intimite a l'hygiene menstruelle.</t>
  </si>
  <si>
    <t>Au sein de 10 blocs des latrines  de chaque ecole, un porte d'antichrmnbre de coin de laverie sera construite pour permettreaux filles pour leur intimite a l'hygiene menstruelle.</t>
  </si>
  <si>
    <t>Construction des trous à ordures au sein des écoles</t>
  </si>
  <si>
    <t>Trou</t>
  </si>
  <si>
    <t>Frais de construction de 15 trous à ordure pour 15 écoles en besoin  à raison de 127$ par trouX15 = 1905$ le total pour la premiere phase. Ces trous vont aux eleves de gerer les dechets produits dans les ecoles pour leur santé et l'envirronnement saint.</t>
  </si>
  <si>
    <t xml:space="preserve">Frais de construction de 10 trous à ordure pour 10 écoles en besoin  à raison de 127$ par trouX10 = 1270$ le total. Ces trous à ordires vont faciliter aux  eleves à bien gerer les dechets produits dans les ecoles pour preserver l'environnement saint. </t>
  </si>
  <si>
    <t>Installation des dispositifs durables de lavage des mains dans les écoles accompagnées par le projet</t>
  </si>
  <si>
    <t>Dispositif</t>
  </si>
  <si>
    <t>Frais d'insatallation de 15 dispositfs durables pour les lavages des main à raison d'un dispositif au prix de 568$ pour 15 dispositifs X 15 dispositifs =8 520$</t>
  </si>
  <si>
    <t>Frais d'insatallation de 10 dispositfs durables pour les lavages des main à raison d'un dispositif au prix de 568$ pour un  dispositifs en  5 680  pour les 10 dispositifs en 2023. ces dispositifs vont faciliter les eleves à rentres leurs mains propres, pour la prevention contre les epidemies et les pendemies en milieu scolaires.</t>
  </si>
  <si>
    <t>Location Camion pour transport des mariels et matériaux</t>
  </si>
  <si>
    <t xml:space="preserve">Mois </t>
  </si>
  <si>
    <t xml:space="preserve">Frais location Camion pour les transport des materieaux (Ciments, graviers, sables, tuyaux, accessoirs de plomberie..) et materiels dans les differents chantiers de construction  de construction pendant 6 mois à raison de 1500$ par moisX6= 9000$ le total. </t>
  </si>
  <si>
    <t>Frais location Camion pendant 5 mois pour les transport des materiaux( Ciment, sables, tuyaaux, clous, tolles, graviers, accesoires de plombeberie..) et materiels à raison de 1500$ par moisX5=  7500$ le total. 5m</t>
  </si>
  <si>
    <t>Manutention  chargement et déchargement</t>
  </si>
  <si>
    <t>Frais de paiment manutention pour le chargement et dechargement et transport des materiaux sur les sites des chantiers non accessibles  dans 11 sites pour 90$ par site</t>
  </si>
  <si>
    <t>Frais de paiment manutention de chargement et dechargement des materiaux et materiels de construction  dans 10 sites pour 90$ par site</t>
  </si>
  <si>
    <t>Reproduction des dépliants sur la gestion de la brigade scolaire, BSSE au sein des écoles</t>
  </si>
  <si>
    <t>Fiche</t>
  </si>
  <si>
    <t>Frais de reproduction de 120 depliants( pour 120 brigadien scolaire à raison de 8 par comité par école) pour 15 écoles à raison de 2$ par depliantX120= 240$ , precisons que les formations seront sous le Lead de l'EPSP en coordination avec la Caritas Goma.</t>
  </si>
  <si>
    <t>Frais de reproduction de 200depliants( pour 80 brigadien scolaire à raison de 8 par comité par école) pour 10 écoles à raison de 2$ par depliantX80= 160$ 80 en 2023, precisons que les formations seront sous le Lead de l'EPSP en coordination avec la Caritas Goma.</t>
  </si>
  <si>
    <t xml:space="preserve">Dotation des écoles des kits de maintenance des infrastructures d'eau et d'assainissement </t>
  </si>
  <si>
    <t xml:space="preserve">Dotation de 15 kits d'assainissement et de maintenance des ouvrages pour 162 par kit X 15 écoles  égal 2430 $ le total, 15 ecoles seront dotées en premiere année de projet(2022) </t>
  </si>
  <si>
    <t xml:space="preserve">Dotation de 10 kits d'assainissement et de maintenance des ouvrages pour 162 par kitX10 écoles  égal 1 620 $ le total, 10 ecoles seront dotées  en en année 2 (2023); Ces kits vont servir de l'assainissement des ecoles pour un environnement saint. </t>
  </si>
  <si>
    <t xml:space="preserve">Restauration des brigades scolaires pendant la formation </t>
  </si>
  <si>
    <t>Frais de restauration pour 120 brigadiens de 15 ecoles et 2 inspecteur et 4 agents de SDE à raison de 5$ par personneX206X3= 3,090$ le total dont 3jours pour le BSSE et 1 jours pour la Gestion de l'Hygiene Menstuelle(GHM).</t>
  </si>
  <si>
    <t>Frais de restauration pour80 brigadiens de 10 ecoles et 2 inspecteur et 4 agents de SDE à raison de 5$ par personneX83X3= 1245$ le total dont 3jours pour le BSSE et 1 jours pour la Gestion de l'Hygiene Menstuelle(GHM).</t>
  </si>
  <si>
    <t xml:space="preserve">Restauration des participants à la formation </t>
  </si>
  <si>
    <t>8 eleves, 2 ensegnant et 1 membre de COPA par écoleX 15X3jrs = 165 participants, beneficieront pour chacun une pause café de 2$et plat de repas de 5$ pendant 3jrs de formation qui fait 7$X3X165prs= 2475$</t>
  </si>
  <si>
    <t>8 eleves, 2 ensegnant et 1 membre de COPA par écoleX 10 =  110 participants, beneficieront pour chacun une pause café de 2$et plat de repas de 5$ pendant 3jrs de formation qui fait 7$X3X110prs= 1650$</t>
  </si>
  <si>
    <t>Collation trimenstrielles pour les filles participantes aux focus groupes</t>
  </si>
  <si>
    <t>Fourniture</t>
  </si>
  <si>
    <t>Frais de collation trimenstrielles pour les parcipas aux focus groupes ( 9 eleves, 2 ensegnant et 1 membre de COPA par écoleX 15=  180participants soit 2988 $ pendant 7 trimenstre dont 4 trimenstres en 2022 et 3 trimenstres en 2023</t>
  </si>
  <si>
    <t>Frais de collation trimenstrielles pour les parcipas aux focus groupes ( 9 eleves, 2 ensegnant et 1 membre de COPA par écoleX 10 =  120participants soit 2200 $ pendant 7 trimenstre dont 4 trimenstres en 2022 et 3 trimenstres en 2023</t>
  </si>
  <si>
    <t>Personnes/Mois</t>
  </si>
  <si>
    <t>Frais des fournitures pour 165paricipants à la formation soit 2,5$/participant qui fait le total de 3250$</t>
  </si>
  <si>
    <t>Frais des fournitures pour 110 paricipants à la formation soit 2,5$/participant qui fait le total de 275$</t>
  </si>
  <si>
    <t>Mission de suivi-Supervision et coordination par les equipes de EPST NK1</t>
  </si>
  <si>
    <t>DSA Personne</t>
  </si>
  <si>
    <t>Une mission de 5 jours/Trimestre pour 4 agents de la direction provinciale de l'EPST NK1 (PF EA, PF M&amp;E, PF Comm) y compris le chauffeur dans les sous division de Ruthuru1, Nyiragongo 1 et 2.  Missions pour assurer le suivi, Supervision et coordination des activites du programme. 11 mois de mise en oeuvre du programme</t>
  </si>
  <si>
    <t>Une mission de 5 jours/Trimestre pour 4 agents de la direction provinciale de l'EPST NK1 (PF EA, PF M&amp;E, PF Comm) y compris le chauffeur dans les sous division de Ruthuru1, Nyiragongo 1 et 2.  Missions pour assurer le suivi, Supervision et coordination des activites du programme. 10mois de la mise en oeuvre du programme</t>
  </si>
  <si>
    <t>Mission de suivi-Supervision et coordination par les equipes  des sous divisions educatinelles de Rutshuru1, Nyiragongo 1 et 2</t>
  </si>
  <si>
    <t xml:space="preserve">Une mission de 4 jours/mois  pour 3 agents des sous divsions educationelles, 3 sous divsions educationelles , Mission pour asurer le suivi, supervisio et coordination des activitesdu programme wash. 11 mois de mise en oeuvre du programme </t>
  </si>
  <si>
    <t xml:space="preserve">Une mission de 4 jours/mois  pour 3 agents des sous divsions educationelles, 3 sous divsions educationelles , Mission pour asurer le suivi, supervisio n et coordination des activitesdu programme wash. 10 mois de mise en oeuvre du programme </t>
  </si>
  <si>
    <t>Pourquoi 12 alors que c'est pour 11 mois de mise en oeuvre. Prevoir 10 mois car les supervisions ne se feront pas au demarage du projet</t>
  </si>
  <si>
    <t>Elles démarrent avec le projet la première année surtout pour la mise en place.  Corrigé pour la 2ème année. Merci !</t>
  </si>
  <si>
    <t>Carburant pour le vehicule de l'EPST NK1 lors des missions dans la SDE Rutsuru 1</t>
  </si>
  <si>
    <t>300 litres/trimestre pour le carburant du vehicule  de l'EPST NK1 lors de mission dans le sous division educationelle de Rutshuru1</t>
  </si>
  <si>
    <t>300 litres/trimestre pour le carburant du vehicule  de l'EPST NK1 lors de mission dans le sous division educationelle de Rutshuru1 et Nyiragongo 1 et 2</t>
  </si>
  <si>
    <t>Carburant pour la Moto de la SDE  Rutshuru  1  lors des mission dans les ecoles</t>
  </si>
  <si>
    <t>100  litres/mois pour le carburant de la moto de la SDE Rutshuru 1 lors de mission dans les ecoles</t>
  </si>
  <si>
    <t>100  litres/mois pour le carburant de la moto de la SDE Rutshuru 1 lors de mission dans les ecoles et Nyiragongongo 1 et 2.</t>
  </si>
  <si>
    <t>Coordinateur des interventions Wash</t>
  </si>
  <si>
    <t>Temps budgétisé 100%. Coordinateur de projet qui prendra en charge consolidation des activités Wash, produire les rapports de progrès et final du volet Wash, mettre en place les strategies d'intervention dans la zone, organiser les reunions des staffs, participer aux reunions de partenaires du consortium et de la section Wash Unicef, cotcher les staffs, produires les modules  et sera payé 1 813$ par mois pendant 11  premiers mois de la d du projet qui fait le total de19 943$ pour 11 mois.</t>
  </si>
  <si>
    <t>Temps budgétisé 100%. Coordinateur de projet qui prendra en charge consolidation des activités Wash, produire les rapports de progrès et final du volet Wash, mettre en place les strategies d'intervention dans la zone, organiser les reunions des staffs, participer aux reunions de partenaires du consortium et de la section Wash Unicef, cotcher les staffs, produires les modules  et sera payé 1 813$ par mois pendant 9 mois de la durée du projet qui fait le total de 16 317$.</t>
  </si>
  <si>
    <t>Comptable du projet</t>
  </si>
  <si>
    <t xml:space="preserve">Temps budgétisé 100%,Unicef supportera respectivement la totalité du temps budgétisé, soit 100%.comptable de projet produirera les rapports comptables du projet suivrera les lignes budgetaire selon le plan de travail du programme,   reconsiliera les operations bancaires, payés les fournisseurs et entreprenaires,  payera les salaires des staffs du projet traitera les pieces comptables justificatifs et sera payé 1121$ par mois pendant 11 premiers  mois  du projet qui fait le total de12331 $ pour 11 mois. </t>
  </si>
  <si>
    <t xml:space="preserve">Temps budgétisé 100%,Unicef supportera respectivement la totalité du temps budgétisé, soit 100%.comptable de projet produirera les rapports comptables du projet suivrera les lignes budgetaire selon le plan de travail du programme,   reconsiliera les operations bancaires, payés les fournisseurs et entreprenaires,  payera les salaires des staffs du projet traitera les pieces comptables justificatifs et sera payé 1121$ par mois pendant 9 derniers mois du projet qui fait le total de 10 089 $ pour 9 mois </t>
  </si>
  <si>
    <t>Superviseurs  Techniques (Wash)</t>
  </si>
  <si>
    <t xml:space="preserve">Ingenieur chargé des ouvrages hydrauliques et sanitaires </t>
  </si>
  <si>
    <t>Temps budgétisé 100%,Unicef supportera respectivement la totalité du temps budgétisé, soit 100%.1 ingenieurs civiles sera pris en charge en compte pendant 9 mois pour mettre place les plans de construction des ouvrages hydrauliques et sanitaires de  l' UNICEF dans les FOSA, les ecoles et  les villages pour apporte .  Ils sera payés pendant 9 mois à raison de 1050$ par moisX1prsX9 = 9 450$ l'année 2</t>
  </si>
  <si>
    <t>Assistant Chargé de suivi et evaluation (Meal Manager)</t>
  </si>
  <si>
    <t>Temps budgétisé 100%,Unicef supportera respectivement la totalité du temps budgétisé, soit 100%.  Un assistant Chargé de suivi et evaluation sera pris en charge en compte pendant 9 mois pour suivre les indicteurs des toutes les activités du projet  les FOSA, les ecoles et  les villages et renseigné les evolutions par rapport chronogramme et rapporté au MEAL WV .  Ils sera payés pendant 9 mois à raison de 1050$ par moisX1prsX9=  9 000$ de l'année 2</t>
  </si>
  <si>
    <t>Superviseur de promotion d'hygiene (Wash)</t>
  </si>
  <si>
    <t>Personne.</t>
  </si>
  <si>
    <t xml:space="preserve">Temps budgétisé 100%,Unicef supportera respectivement la totalité du temps budgétisé, soit 100%.3 superviseurs de promotion d'hygiène publiques  seront pris en charge en compte dont un dans les FOSA, 1 dans les ecoles, 1 dans les villages pour apporter leurs expertises aux ouvrages qui seront construits. Chaque superviseur aura un salaire de 800 $ par mois qui fait 3sup PHPX800$X11 mois= 26 400 $ pour 11 premiers  mois . Ils seront chargés de : 1. Fournir les rapports hebdomadaires des activités du programme au chef de projet WASH ;
2. Diffuser les messages clés du programme WASH en milieu rural ;
3. Faciliter la signature du protocole d’accord entre le village ou le centre de santé avec le BCZ ;
4. Accompagner le MCZ (médecin chef de zone) lors de la 1ère visite avant sélection des villages ;
5. Participer à la réunion de sélection des villages ;
6. Accompagner le MCZ lors de la 1ère visite introductive pour les informations générales sur le programme ;
7. Accompagner le MCZ à la visite de signature du protocole d’accord ;
8. Faciliter l’analyse participative de la structure sociopolitique du village, des aspects socioculturels et des conditions EHA (eau, hygiène et assainissement du village ; 
9. Faciliter la transmission des informations générales sur le rôle du comité du village, école et centre de santé assainis ;
10. Faciliter l’analyse participative des aspects socioculturels (genre, équité, croyances) ;
11. Faciliter l’analyse participative des conditions EHA ; 
12. Faciliter la transmission des informations générales sur le rôle du comité ;
13. Réaliser la visite pour faciliter l’élection du comité ;
14. Participer à l’élection du comité ; 
15. Assurer la formation des membres du comité ; 
16. Faciliter la construction de la vision communautaire EHA ; 
17. Participer à l’élaboration du Plan d’Action Communautaire(PAC) ;
18. Suivre la mise en œuvre du PAC ;
19. Organiser la réception provisoire des ouvrages d’eau et/ou d’assainissement ;
20. Faciliter l’élaboration du Plan de maintenance du statut Wash de village et écoles ; 
21. Sensibiliser les communautés sur les conditions d'adhésion au programme Village assaini ;
22. Etablir et maintenir des bonnes relations avec les agences locales (les ONGs nationales et internationales), les structures administratives locales et nationales incluant le Ministère de la santé publique et du développement local, les groupes communautaires locaux et les groupes de l’églises locales.
23. Faire au MCZ un rapport écrit succinct après chacun des 8 Pas du processus de Village Assaini ;
24. Elaborer le rapport mensuel de ses activités à transmettre à la hiérarchie ;
25. Conduire la moto dans les routes les plus dégradées et remplir le carnet de bord à chaque utilisation ;
</t>
  </si>
  <si>
    <t xml:space="preserve">Temps budgétisé 100%,Unicef supportera respectivement la totalité du temps budgétisé, soit 100%.3 superviseurs de promotion d'hygiène publiques  seront prise en charge en compte dont un dans les FOSA, 1 dans les ecoles, 1 dans les villages pour apporter leurs expertises aux ouvrages qui seront construits. Chaque superviseur aura un salaire de 1250 $ par mois qui fait 3sup PHPX800$X9 mois= 21 600$ de  l'année 2023. Ils seront chargés de : 1. Fournir les rapports hebdomadaires des activités du programme au chef de projet WASH ;
2. Diffuser les messages clés du programme WASH en milieu rural ;
3. Faciliter la signature du protocole d’accord entre le village ou le centre de santé avec le BCZ ;
4. Accompagner le MCZ (médecin chef de zone) lors de la 1ère visite avant sélection des villages ;
5. Participer à la réunion de sélection des villages ;
6. Accompagner le MCZ lors de la 1ère visite introductive pour les informations générales sur le programme ;
7. Accompagner le MCZ à la visite de signature du protocole d’accord ;
8. Faciliter l’analyse participative de la structure sociopolitique du village, des aspects socioculturels et des conditions EHA (eau, hygiène et assainissement du village ; 
9. Faciliter la transmission des informations générales sur le rôle du comité du village, école et centre de santé assainis ;
10. Faciliter l’analyse participative des aspects socioculturels (genre, équité, croyances) ;
11. Faciliter l’analyse participative des conditions EHA ; 
12. Faciliter la transmission des informations générales sur le rôle du comité ;
13. Réaliser la visite pour faciliter l’élection du comité ;
14. Participer à l’élection du comité ; 
15. Assurer la formation des membres du comité ; 
16. Faciliter la construction de la vision communautaire EHA ; 
17. Participer à l’élaboration du Plan d’Action Communautaire(PAC) ;
18. Suivre la mise en œuvre du PAC ;
19. Organiser la réception provisoire des ouvrages d’eau et/ou d’assainissement ;
20. Faciliter l’élaboration du Plan de maintenance du statut Wash de village et écoles ; 
21. Sensibiliser les communautés sur les conditions d'adhésion au programme Village assaini ;
22. Etablir et maintenir des bonnes relations avec les agences locales (les ONGs nationales et internationales), les structures administratives locales et nationales incluant le Ministère de la santé publique et du développement local, les groupes communautaires locaux et les groupes de l’églises locales.
23. Faire au MCZ un rapport écrit succinct après chacun des 8 Pas du processus de Village Assaini ;
24. Elaborer le rapport mensuel de ses activités à transmettre à la hiérarchie ;
25. Conduire la moto dans les routes les plus dégradées et remplir le carnet de bord à chaque utilisation ;
</t>
  </si>
  <si>
    <t>Assistant Technique Watsan (Wash)</t>
  </si>
  <si>
    <t xml:space="preserve">Temps budgétisé 100%,Unicef supportera respectivement la totalité du temps budgétisé, soit 100%. 3 techniciens Watsans seront prise en chage pour construire et conduire les traveaux des ouvrages hydro-sanitares. Chaque tecnicien aura un salaire de 650$X3tecniciensX11mois= 21450$, ils sont chargés de :1. Surveiller et évaluer l’exécution des plans designs par rapport aux objectifs proposés au départ avec le rapport mensuel écrit au superviseur technique WASH (Chef hiérarchique) ;
2. Aide le Superviseur des activités technique WASH d’entreprendre les études de faisabilité en ce que concerne les nouvelles activités ; 
3. Exécuter et superviser les travaux de construction selon les spécifications convenues pour chaque site et faire les enregistrements des travaux en cours ;
4. Conseiller le superviseur WASH dans la conception des plans de conception des méthodes à utiliser, la vision du travail et les factures et la gestion des matériels (évidence) ;
5. S’assurer que les activités sont accomplies conforment au budget et dans les délais ;
6. S’assurer que la qualité de la main d’œuvre affectée par les associations/entrepreneurs locaux sous le contrat de la CARITAS est d’une haute qualité ;
7. Identifier les problèmes dans les sites de travail, aussi bien technique que de gestion et initier des solutions en consultation avec le superviseur technique ;
8. S’assurer de la qualité des ouvrages selon les normes ;
9. Rédiger des rapports/collectes des documents de remise/reprise en mentionnant les taches achevées ;
10. Conseiller le superviseur technique sur les coutumes et les habitudes dans le respect de tout ce qui peut aider ou gêner le programme ;
11. Travailler étroitement et conseiller le personnel des Associations partenaires afin d’assurer un programme suffisamment intégré ;
12. Etablir et maintenir des bonnes relations avec les agences locales (les ONGs nationales et internationales), les structures administratives locales et nationales incluant le Ministère de la santé publique et du développement local, les groupes communautaires locaux et les groupes de l’églises locales.
13. Autres responsabilités en convenance avec le superviseur des activités techniques WASH ;
14. Exécuter les autres taches demandées par sa hiérarchie
15. Conduire la moto dans les routes les plus dégradées et remplir le carnet de bord à chaque utilisation ;
</t>
  </si>
  <si>
    <t xml:space="preserve">Temps budgétisé 100%,Unicef supportera respectivement la totalité du temps budgétisé, soit 100%. 3 tecniciens Watsans seront prise en chage pour construire et conduire les traveaux des ouvrages hydro-sanitares. Chaque tecnicien aura un salaire de 650$X3tecniciensX9mois=  17550 $ pour les 9 mois de l'année 2023 ils sont chargés de :1. Surveiller et évaluer l’exécution des plans designs par rapport aux objectifs proposés au départ avec le rapport mensuel écrit au superviseur technique WASH (Chef hiérarchique) ;
2. Aide le Superviseur des activités technique WASH d’entreprendre les études de faisabilité en ce que concerne les nouvelles activités ; 
3. Exécuter et superviser les travaux de construction selon les spécifications convenues pour chaque site et faire les enregistrements des travaux en cours ;
4. Conseiller le superviseur WASH dans la conception des plans de conception des méthodes à utiliser, la vision du travail et les factures et la gestion des matériels (évidence) ;
5. S’assurer que les activités sont accomplies conforment au budget et dans les délais ;
6. S’assurer que la qualité de la main d’œuvre affectée par les associations/entrepreneurs locaux sous le contrat de la CARITAS est d’une haute qualité ;
7. Identifier les problèmes dans les sites de travail, aussi bien technique que de gestion et initier des solutions en consultation avec le superviseur technique ;
8. S’assurer de la qualité des ouvrages selon les normes ;
9. Rédiger des rapports/collectes des documents de remise/reprise en mentionnant les taches achevées ;
10. Conseiller le superviseur technique sur les coutumes et les habitudes dans le respect de tout ce qui peut aider ou gêner le programme ;
11. Travailler étroitement et conseiller le personnel des Associations partenaires afin d’assurer un programme suffisamment intégré ;
12. Etablir et maintenir des bonnes relations avec les agences locales (les ONGs nationales et internationales), les structures administratives locales et nationales incluant le Ministère de la santé publique et du développement local, les groupes communautaires locaux et les groupes de l’églises locales.
13. Autres responsabilités en convenance avec le superviseur des activités techniques WASH ;
14. Exécuter les autres taches demandées par sa hiérarchie
15. Conduire la moto dans les routes les plus dégradées et remplir le carnet de bord à chaque utilisation ;
</t>
  </si>
  <si>
    <t xml:space="preserve">Promoteurs d'hygiene publique  </t>
  </si>
  <si>
    <t xml:space="preserve">Temps budgétisé 100%,Unicef supportera respectivement la totalité du temps budgétisé, soit 100%. 10 promoteurs d'hygienes publique seront angagés pendant 9 mois avec un total salaire de 54 000$ pour les 9 mois de l'année 2023. ils seront chargé de : 1. Participer à la réunion de sélection des villages ;
2. Assurer la sensibilisation et la mobilisation de la communauté bénéficiaire du projet ;
3. Vulgariser auprès de la population bénéficiaire les bonnes pratiques d’hygiène et d’assainissement du milieu ;
4. Participer à la résolution pacifique d’éventuels conflits liés à l’exécution du projet ;
5. Tenir un journal d’activités et un time sheet pour renseigner sur ses prestations journalières ;
6. Fournir de façon périodique et selon le format convenu avec le superviseur des éléments de progrès et autres indicateurs de changements apporté par le projet ;
7. Apporter toute forme de soutien moral à l’équipe du projet en vue de sa bonne marche ;
8. Etablir et maintenir des bonnes relations avec les agences locales (les ONGs nationales et internationales), les structures administratives locales et nationales incluant le Ministère de la santé publique et du développement local, les groupes communautaires locaux et les groupes de l’églises locales.
9. Gérer rationnellement les outils et équipements mis à sa disposition ;
10. Effectuer toute autre tâche compatible confiée par la hiérarchie.
11. Conduire la moto dans les routes les plus dégradées et remplir le carnet de bord à chaque utilisation ;
</t>
  </si>
  <si>
    <t xml:space="preserve">Chauffeur </t>
  </si>
  <si>
    <t xml:space="preserve">Temps budgétisé 100%,Unicef supportera respectivement la totalité du temps budgétisé, soit 100%. 2 chauffeur seront pris en charge pendant 9 mois à raison de 303$ par moisX2prsX9=  5454$  l'année 2023 </t>
  </si>
  <si>
    <t xml:space="preserve">Gardien de base  </t>
  </si>
  <si>
    <t>Caissiere</t>
  </si>
  <si>
    <t xml:space="preserve">Logisticien Terrain </t>
  </si>
  <si>
    <t>Agent d'entretien de bases locales</t>
  </si>
  <si>
    <t>Magasinier</t>
  </si>
  <si>
    <t>world vision</t>
  </si>
  <si>
    <t>Réunion avec les représentants des zones de santé et les autorités scolaires - suivant les protocoles COVID-19</t>
  </si>
  <si>
    <t>Salle de réunion avec les représentants des zones de santé et les autorités scolaires - suivant les protocoles COVID-19</t>
  </si>
  <si>
    <t>Une reunion a Kibumba et  une a Rutshuru (par annee)</t>
  </si>
  <si>
    <t>Salle de réunion avec le département des affaires sociales qui aidera à identifier les centres techniques et les adolescentes vulnerables</t>
  </si>
  <si>
    <t>Identifier 1200  adolescents vulnerables</t>
  </si>
  <si>
    <t>Révision des modules de formation sur l'approche Youth Ready (formations sur les compétences de vie) adaptés au contexte.</t>
  </si>
  <si>
    <t>Révision et traduction des modules Youth Ready dans la langue locale</t>
  </si>
  <si>
    <t xml:space="preserve">Traduction du document de l'anglais au swahili 1 fois à utiliser pendant les deux années </t>
  </si>
  <si>
    <t>Impression et distribution des modules Youth Ready</t>
  </si>
  <si>
    <t>600 copies imprimées à 3 $ chacune. 1 pour chacun des participants (par an)</t>
  </si>
  <si>
    <t>Sensibiliser les parents à l'importance de former leurs enfants au développement à long terme sur des "compétences de vie".</t>
  </si>
  <si>
    <t>Matériel de sensibilisation</t>
  </si>
  <si>
    <t xml:space="preserve">Villages </t>
  </si>
  <si>
    <t>Affiches imprimées pour chacune des 10 communautés ciblées. Total de 20 affiches 0,50 $ chacune. (par an)</t>
  </si>
  <si>
    <t>affiches imprimées pour chacune des 10 communautés ciblées. Total de 20 affiches 0,50 $ chacune. (par an)</t>
  </si>
  <si>
    <t>30 personnes formées en 2 groupes - chaque formation se déroulant sur 3 jours (par an)</t>
  </si>
  <si>
    <t>30 personnes formées x 3 jours de formation (par an)</t>
  </si>
  <si>
    <t>600 participants x 3 jours de formation (par an)</t>
  </si>
  <si>
    <t>Est ce que les frais de repas ne peuvent pas etre reconsidere a la baisse?</t>
  </si>
  <si>
    <t>5$ est la limite prévue par les couts harmonisés en dehors du chef lieu de province. Les partenaires le jugent même insuffisants d'ailleurs.</t>
  </si>
  <si>
    <t>Materiels</t>
  </si>
  <si>
    <t xml:space="preserve">Effectuer une évaluation du marché en ce qui concerne le manque de compétences techniques </t>
  </si>
  <si>
    <t>Effectuer une évaluation du marché dans les deux zones de santé</t>
  </si>
  <si>
    <t xml:space="preserve">Mise en œuvre enquête pour évaluation du marché dans chaque territoire chaque année </t>
  </si>
  <si>
    <t>Orienter les adolescents formés vers des centres de formation technique, professionnelle et éducative (TVET) pour l'orientation, le mentorat et la supervision (incluent alphabetization).</t>
  </si>
  <si>
    <t>Soutien au paiement des frais d'inscription</t>
  </si>
  <si>
    <t xml:space="preserve">400 étudiants inscrits à l'école technique au coût de 15 dollars par an (par an) </t>
  </si>
  <si>
    <t xml:space="preserve">Soutien matériel fourni aux centres techniques </t>
  </si>
  <si>
    <t>Centres</t>
  </si>
  <si>
    <t>10 centres techniques soutenus avec 500 $ par an. Les matériaux achetés seront déterminés sur la base de l'évaluation du marché et de l'intérêt des étudiants (les matériaux peuvent inclure des choses comme des semoirs, des tissus, des outils, etc.)</t>
  </si>
  <si>
    <t xml:space="preserve">Soutenir le personnel technique du centre technique </t>
  </si>
  <si>
    <t>40 personnels techniques - 2 par centre technique. Chaque membre du personnel recevra 60 $ par mois (11 mois an 1 et 9 mois an 2) pour les aider avec leur transport, communication et la motivation.</t>
  </si>
  <si>
    <t>Orienter les adolescents formés vers des opportunités d'apprentissage auprès d'entreprises locales</t>
  </si>
  <si>
    <t xml:space="preserve">Fourniture de kits d'apprentissage aux groupes de  jeunes </t>
  </si>
  <si>
    <t>Les élèves sont répartis en groupes de 4 personnes - total de 100 groupes (400 élèves). En moyenne, chaque groupe recevra un kit d'une valeur de 300 dollars pour lancer son entreprise. Le contenu des kits dépendra de la formation reçue. Il peut s'agir d'un semoir, d'outils, de matériaux, etc.) (chaque année)</t>
  </si>
  <si>
    <t>Développement d'un plan de suivi de la réinsertion sociale des adolescents formés.</t>
  </si>
  <si>
    <t xml:space="preserve">Réunions avec les cohortes d'adolescents formés </t>
  </si>
  <si>
    <t>Former les adolescents non scolarisés et déscolarisés dans les centres techniques et agricoles en alphabétisation fonctionnelle</t>
  </si>
  <si>
    <t>60 enseignants formés lors d'une formation de 2 jours (par an)</t>
  </si>
  <si>
    <t>Former les adolescents cibles à l'alphabétisation fonctionnelle à l'aide de l'approche de l'alphabétisation sans contrainte.</t>
  </si>
  <si>
    <t>repas</t>
  </si>
  <si>
    <t>600 étudiants participent à une formation de 3 jours (par an)</t>
  </si>
  <si>
    <t xml:space="preserve">Organisation de clubs de lecture/apprentissage pour adolescents dans les centres technique et agricoles </t>
  </si>
  <si>
    <t>Achat de livres pour les clubs de lectures</t>
  </si>
  <si>
    <t xml:space="preserve">centre </t>
  </si>
  <si>
    <t>Chaque centre technique (10 au total) et chaque centre agricole (10 au total) recevra une boîte à livres contenant 100 $ de livres afin que les étudiants aient accès à une bibliothèque. Les livres seront sélectionnés sur la base des suggestions du cluster éducation et du feedback sur le niveau de lecture des élèves. (chaque an)</t>
  </si>
  <si>
    <t>2.1.4</t>
  </si>
  <si>
    <t>Lieux de formation  dans deux zones de santé</t>
  </si>
  <si>
    <t xml:space="preserve">Un atelier de 3 jours organisé en 2 groupes chaque année </t>
  </si>
  <si>
    <t>20 personnes (2 enseignants de chacun des 10 centres) x 3 jours (par an)</t>
  </si>
  <si>
    <t xml:space="preserve">20 personnes (2 enseignants de chacun des 10 centres) x 3 jours </t>
  </si>
  <si>
    <t>Orientation des adolescents cibles vers des centres de formation agricole pour la formation et l'encadrement</t>
  </si>
  <si>
    <t>Soutenir l'inscription de 200 étudiants dans le centre agricole - l'inscription de chaque étudiant est de 15 $ (par an)</t>
  </si>
  <si>
    <t>soutenir l'inscription de 200 étudiants dans le centre agricole - l'inscription de chaque étudiant est de 15 $ (par an)</t>
  </si>
  <si>
    <t xml:space="preserve">Chacun des 10 centres agricoles recevra 400 dollars de matériel en fonction des besoins, notamment des brouettes, des râteaux, des pelles, des seaux d'arrosage, des semences, etc. </t>
  </si>
  <si>
    <t>20 personnel technique - 2 par centre technique. Chaque membre du personnel recevra 60 $ par mois (12 mois an 1 et 9 mois an 2)  pour soutenir son transport, communication et motivation pendant la durée du projet 40 personnels techniques - 2 par centre technique. C</t>
  </si>
  <si>
    <t>Développement d'un plan de micro-entreprise pour la réintégration socio-économique des adolescents formés.</t>
  </si>
  <si>
    <t>Kits de démarrage</t>
  </si>
  <si>
    <t>groups</t>
  </si>
  <si>
    <t xml:space="preserve">Les élèves sont répartis en groupes de 4 personnes - total de 50 groupes (200 élèves). En moyenne, chaque groupe recevra un kit d'une valeur de 200 dollars pour lancer son entreprise. Les kits comprendront des matériaux basés sur la formation reçue, mais sont susceptibles d'inclure des brouettes, des râteaux, des pelles, des seaux d'arrosage, des semences, etc. </t>
  </si>
  <si>
    <t xml:space="preserve">les élèves sont répartis en groupes de 4 personnes - total de 50 groupes (200 élèves). En moyenne, chaque groupe recevra un kit d'une valeur de 200 dollars pour lancer son entreprise. Les kits comprendront des matériaux basés sur la formation reçue, mais sont susceptibles d'inclure des brouettes, des râteaux, des pelles, des seaux d'arrosage, des semences, etc. </t>
  </si>
  <si>
    <t>Emolument formateurs</t>
  </si>
  <si>
    <t>Les formations seront assurées par la FAO</t>
  </si>
  <si>
    <t>DSA des formateurs</t>
  </si>
  <si>
    <t>DSA</t>
  </si>
  <si>
    <t>40 exemplaires de Peace Roads imprimés pour chaque enseignant (chaque année)</t>
  </si>
  <si>
    <t>40 animateurs de clubs (2 par centre) recevront une prime de 5 $ par semaine (pour 2 réunions par semaine) pendant 8 mois par an la première année et 6 mois la deuxième année.</t>
  </si>
  <si>
    <t>1 Meal  Manager (100%)</t>
  </si>
  <si>
    <t xml:space="preserve">Assurer le leadership sur la formulation et la mise en œuvre des systèmes de suivi, d'évaluation, de redevabilité et d'apprentissage (MEAL) en mettant en place un cadre de S&amp;E solide, des plans de S&amp;E, ITT, etc. Il / elle dirigera toute recherche, évaluation, enquête et événement d'apprentissage prévu pour le projet, et s'assurer que les apprentissages clés et les histoires d'impact sont partagés et utilisés pour améliorer la qualité du projet. Le responsable MEAL veillera également à ce que les outils de suivi et d'évaluation quantitatifs et qualitatifs soient systématiquement mis en œuvre et utilisés par les équipes, en collaboration avec les partenaires du projet pour collecter des données valides, vérifiables, opportunes et conformes aux directives du bailleur. Cette personne dirigera MEAL pour le consortium et assurera la coordination pour tous les partenaires. </t>
  </si>
  <si>
    <t>2 MEAL Officer (100%)</t>
  </si>
  <si>
    <t>Les MEAL Officers feront partie de l'équipe de Suivi, Evaluation, Redevabilité, et Apprentissage (Monitoring, Evaluation, Accountability, and Learning ou MEAL en anglais) du projet. Elle/Il cordonnera les activités liées au département MEAL et participera à la mise en place et en œuvre du système de monitoring du projet. Ils travailleront directement avec le MEAL manager et cera chaqu'un responsable de MEAL pour un territoire pour les activiter WV. Le MEAL officer travaillera en étroite collaboration avec l’équipe programme pour mettre en place à leur disposition des outils et supports pour faciliter l’analyse, le suivi de qualité et l'intégration du suivi, l'évaluation et l'apprentissage dans tous les aspects de la mise en œuvre du projet. En étroite collaboration avec  le MEAL Manager du projet il assurera  le monitoring des activités du projet, la mise en place des mécanismes de gestion des plaintes et feedback, l’organisation des évaluations du projet, fournira des preuves de meilleures pratiques et leçons apprises, il veillera également à la fonctionnalité et viabilité des base de données tout le long du projet.</t>
  </si>
  <si>
    <t>2 Food security and livelihoods coordinators (100%)</t>
  </si>
  <si>
    <t>Le Coordonnateur va assurer la planification, la mise en œuvre, le suivi et évaluation des activités du volet renforcement économique du projet.  Il/elle  travaillera en collaboration avec les autorités administratives et éducationnelles, les organisations de la société civile et les communautés locales pour la mise en œuvre des activités du volet renforcement économique du projet. Il/Elle aura également la responsabilité  de veiller à l’application de l’approche S4T de WVI  au sein du projet.</t>
  </si>
  <si>
    <t>Le Coordonnateur va assurer la planification, la mise en œuvre, le suivi et évaluation des activités du volet renforcement économique du projet  Il/Elle  travaillera en collaboration avec les autorités administratives et éducationnelles, les organisations de la société civile et les communautés locales pour la mise en œuvre des activités du volet renforcement économique du projet. Il/Elle aura également la responsabilité  de veiller à l’application de l’approche S4T de WVI  au sein du projet.</t>
  </si>
  <si>
    <t>Reprographie des imprimés CPS ( fiches CPS filles et Garcons, rigistre CPS,   etc)</t>
  </si>
  <si>
    <t>CS</t>
  </si>
  <si>
    <t>A1 CU moyen par Fosa: (108785 enfants/31)x1,15 taux de perte x 0,5$= 2017$   et A2 CU moyen par Fosa= (84036 enfants/31)x1,15 taux de perte x 0,5$= 1559$</t>
  </si>
  <si>
    <t>Achat motos</t>
  </si>
  <si>
    <t>Une moto par Fosa x 31 fosa (20 la première année et 11 la deuxième année)- Les motos seront achetées localement en fonction de ce qui est disponible sur le marché. Les marques seront Boxer, TVS, Honda, etc.</t>
  </si>
  <si>
    <t>Achat Carburant 20 litres /mois/CS pdt 10 mois</t>
  </si>
  <si>
    <t>2sorties par semaine 2,5 litres x 4 semaines, soit 20 Litres le mois</t>
  </si>
  <si>
    <t>Balance salter 25 Kg</t>
  </si>
  <si>
    <t>2 par Fosa x 33 Fosa</t>
  </si>
  <si>
    <t>Balance Seca double pesée</t>
  </si>
  <si>
    <t>Toise en bois</t>
  </si>
  <si>
    <t>MUAC Enfants ( Enfants 99720  année 1  et 84036 année 2 pour 9 mois)</t>
  </si>
  <si>
    <t>2 enfants de 6-59 mois par menage, soit A1 ( 99720 /2 enfants et / 50 pieces par paquet )X1,15 taux de perte  et A2 ( 84036 /2 enfants et /50 pièces par paquet)X1,15 taux de perte  qui est le nombre de MUAC par menage</t>
  </si>
  <si>
    <t>MUAC FEFA ( (52776FEFA année 1  et 40770 FEFA année 2 pour 9 mois) 100%</t>
  </si>
  <si>
    <t>pièce paquet de 50</t>
  </si>
  <si>
    <t>100% de 48378FEFA x 1,15 taux de perte /50 pièces de MUAC  année 1  et 40770 FEFA année 2 pour 9 mois x 1,15 taux de perte/ par 50 pièces  par paquet de MUAC</t>
  </si>
  <si>
    <t>100% de 48378 FEFA x 1,15 taux de perte / 50 pièces de MUAC  année 1  et 40770 FEFA année 2 pour 9 mois x 1,15 taux de perte/ par 50 pièces  par paquet de MUAC</t>
  </si>
  <si>
    <t>Plumpy nut cart-150</t>
  </si>
  <si>
    <t>Année 1: 1906 cas de SAM x 0,8 (120 pces/150)= 1525 cartons, et Année 2: 1606 cas de SAM x 0,8 (120 pces/150)= 1286 cartons</t>
  </si>
  <si>
    <t>F-75 Therap.milk CAN 400g/CAR-24</t>
  </si>
  <si>
    <t>Année 1: 191 enfants MAS avec complx 4 boites / 24 pieces par carton x 1,15 taux de perte  et  Année 2 : 161 enfans MAS avec complx 4 boites /24 boites par cartonx1,15 taux de perte</t>
  </si>
  <si>
    <t>F-100 Therap.milk CAN 400g/CAR-24</t>
  </si>
  <si>
    <t>Année 1: 191 enfants MAS avec complx 6 boites / 24 pieces par carton x 1,15 taux de perte  et  Année 2 : 161 enfans MAS avec complx 6 boites /24 boites par cartonx1,15 taux de perte</t>
  </si>
  <si>
    <t xml:space="preserve"> ReSoMal,42g sachet for 1 litre/CAR-100</t>
  </si>
  <si>
    <t>1 Carton pour 100: indice UNTI  2 pour 100 beneficaires et UNTA: 4  pour 400  beneficaires, voir calculette annexe A années 1 et 2, feuille drugs</t>
  </si>
  <si>
    <t>Vitamine A 100 000 UI Boite de 500</t>
  </si>
  <si>
    <t xml:space="preserve"> 1 boite de 500 Indice UNTI 1 pour 100 beneficaires 6-11 mois  et 0,75 Boite de 500  pour 400 beneficiares 6-11 mois, Sinon arrondi 1 boite par UNTA et 1 boite UNTI; voir calculette Annexe A années 1&amp;2 feuille drug</t>
  </si>
  <si>
    <t>Vitamine A 200 000 UI Boite de 500</t>
  </si>
  <si>
    <t xml:space="preserve"> 1 boite de 500 Indice UNTI 1 pour 100 beneficaires de 12 à 59 mois  et 0,75 Boite de 500  pour 400 beneficiares de 12 à 59 mois, sinon arrondi à 4  boites par UNTA x31 et 8 boites par UNTI x 2 ;  voir calculette annexe A années 1 et 2, feuille drugs</t>
  </si>
  <si>
    <t>(191 MAS compl et 1906 MAS)x1,15/10 fl par paquet= 242 et Année 2 (9 mois)  161 MAS  Compl et 1607 MAS) x1,15 /10 fl par paquet= 204</t>
  </si>
  <si>
    <t>Mebendazole Cès de 100 Boite de 1000</t>
  </si>
  <si>
    <t>Indice UNITI: 1 boite pour 100 beneficiaires   et indice UNTA: 1 boite pour 400 beneficiaires, Voir calculette annexe A Annés 1&amp;2  feuille drug, arrondi à 1 boite par Fosa</t>
  </si>
  <si>
    <t>Fer Sulfate + Acide Folique, 200mg+0.25mg (60mg Fe), Tab, 1000, Vrac</t>
  </si>
  <si>
    <t xml:space="preserve">  Année 1:  50% de couverture de 24189 FE x 30ces x1,15 taux de perte/1000 ces la boite et année 2: 50% de couverture de 20385 FE x 30ces x1,15 taux de perte/1000 ces la boite</t>
  </si>
  <si>
    <t>Kit imprmés</t>
  </si>
  <si>
    <t>voir caluculette Annexe  A  année 1 et annexe 1 année  2,  feuille Tool Kit, CU moyen par fosa 710 arrondi à 750$</t>
  </si>
  <si>
    <t xml:space="preserve">Appui aux 31 UNTA </t>
  </si>
  <si>
    <t>Appui au fonctionnement Fofait</t>
  </si>
  <si>
    <t>Appui aux 2 UNTI</t>
  </si>
  <si>
    <t>Forfait, l'équipe UNTI est grande et aussi le volume du travail</t>
  </si>
  <si>
    <t>1 Nutritionalist Coordinator  (100%)</t>
  </si>
  <si>
    <t>veillera à la mise en œuvre des interventions du secteur nutrition dans le respect des termes du projet, Il assurera donc la coordination dans la mise en œuvre des activités du projet dans les 2 zones santé en collaboration avec les nutritionnistes basés sur terrain.</t>
  </si>
  <si>
    <t>6 Nutritionalist  Officers (100%)</t>
  </si>
  <si>
    <t>1 Warehouse Keeper (100%) for management of nutritional inputs</t>
  </si>
  <si>
    <t xml:space="preserve"> pour la gestion des intrants nutritionnels et matériels anthropométriques. il assurera la réception, le stockage, le dispatching des Produits nutritionnels.</t>
  </si>
  <si>
    <t>3.1.4</t>
  </si>
  <si>
    <t>Appui (Collation) aux reunions de monitorage au niveau CS</t>
  </si>
  <si>
    <t xml:space="preserve"> IT, ITA, membres CODESA,DN</t>
  </si>
  <si>
    <t>2 (IT et ITA) X 31 AS, 2 Membres CODESA X 31 et 2 DN, collation : achat casse croute ou pause café, Année 1: 11 mois et année 2: 9 mois</t>
  </si>
  <si>
    <t>Remboursement Transport aux reunions de monitorage au niveau CS</t>
  </si>
  <si>
    <t xml:space="preserve"> IT, ITA, membres CODESA, DN</t>
  </si>
  <si>
    <t>2 (IT et ITA) X 31 AS, 2 Membres CODESA X 31 et 2 DN, Année 1: 11 mois et année 2: 9 mois</t>
  </si>
  <si>
    <t>Fournitures (Stylo, carnets, flip chart, maqueurs, papier collant) réunions au niveau de CODESA</t>
  </si>
  <si>
    <t>Aire de santé</t>
  </si>
  <si>
    <t>2,5  $ par kit fourniture X 31 aires  de santé</t>
  </si>
  <si>
    <t>AS</t>
  </si>
  <si>
    <t>31 IT, 5 membres ECZS (MCZ, AGZ, AC, sup Nutr, Sup EHA) x 2 ZS, 2 MDH et 2 DN, Collation: achat casse croute ou pause café, Année 1: 11 mois et année 2: 9 mois</t>
  </si>
  <si>
    <t>31 IT, 5 membres ECZS (MCZ, AGZ, AC, sup Nutr, Sup EHA) x 2 ZS, 2 MDH et 2 DN, Année 1: 11 mois et année 2: 9 mois</t>
  </si>
  <si>
    <t>Forfait de 30$ par mois (Année 1: 11 mois et Année 2:9 mois) par BCZS</t>
  </si>
  <si>
    <t>3.1.5</t>
  </si>
  <si>
    <t>Assurer les missions de suivi du projet par le niveau provincial (au niveau des centres de santé)</t>
  </si>
  <si>
    <t>DSA Equipe cadre de la DPS/ PRONANUT coordination provinciale</t>
  </si>
  <si>
    <t>Membre de l'équipe cadre de la DPS</t>
  </si>
  <si>
    <t>Selon le protocole Unicef ;  Mission de 6 jours par trimestre, par personne de la DPS pour 4 sorties année 1 et pour 3 sorties  Année 2</t>
  </si>
  <si>
    <t>Transport Equipe Cadre de la DPS/ PRONANUT coordination provinciale</t>
  </si>
  <si>
    <t>200$ pour achat carburant vehicule DPS/PRONANUT avec 50$ (45,5 litres) pour Nyirangongo et 150$ (136,4 Litres) pour Rwanguba X 4 sorties année 1 et 3 sorties année 2</t>
  </si>
  <si>
    <t>Unites Communication DPS/PRONANUT provincial</t>
  </si>
  <si>
    <t>cartes d'Unites</t>
  </si>
  <si>
    <t>Forfait de 38$ par mois (Année 1: 11 mois et Année 2: 9 mois) par BCZS, Kit= (Stylo 1 boite de 50 pièces x 5$, carnets 2 Douzaine x 9$ , flip chart 2 fardes x 4$  , maqueurs 1 boite de 6 pièces x 5$ , papier collant 1 rouleau x 2$)</t>
  </si>
  <si>
    <t>Branchement des Centres de Santé aux réseaux d'eau existants</t>
  </si>
  <si>
    <t xml:space="preserve">Centre de sante </t>
  </si>
  <si>
    <t xml:space="preserve">Frais de branchement de 15 FOSA  de ZS  de Rweanbguba et de Nyiragongo   aux reseaux d'eau  existants, à raison de  440$ par branchement et 900 $ pour le tank, la plate form et la petites plomberie pour le stocka ge de l'eau de boisson pour la FOSA </t>
  </si>
  <si>
    <t xml:space="preserve">Frais de branchement de 10FOSA  de ZS  de Rweanbguba et de Nyiragongo   aux reseaux d'eau  existants, à raison de  440$ par branchement et 900 $ pour le tank, la plate form et la petites plomberie pour le stocka ge de l'eau de boisson pour la FOSA </t>
  </si>
  <si>
    <t>Construction de systèmes de collecte d'eau de pluie durable (Centres de Santé)</t>
  </si>
  <si>
    <t>1800$/FOSA  x 15 ecoles  pour l'installation des gouttieres et d'un  tanj de 3000 lit  pour le remplissage des tanks de 3000 litre comme plan B en cas de panne sur le reseau d'eau communautaire, Cette eau servira en outre pour le nettoyage des salle de la FOSA, les douche et les latrines de la FOSA.</t>
  </si>
  <si>
    <t>1800$/FOSA  x 10 FOSA  pour l'installation des gouttieres et d'un  tanj de 3000 lit  pour le remplissage des tanks de 3000 litre comme plan B en cas de panne sur le reseau d'eau communautaire, Cette eau servira en outre pour le nettoyage des salle de la FOSA, les douche et les latrines de la FOSA.</t>
  </si>
  <si>
    <t xml:space="preserve">Doter les Centres de santé de kits WATTA pour la production locale du chlore liquide </t>
  </si>
  <si>
    <t xml:space="preserve"> 15 FOSA sont identifiées dans les deux ZS Rwanguba et Nyiragongo,   seront dotées de    kits WATTA pour la production de chlore liquide  à raison d'un kit par FOSA.  Pour un prix de 2 500$ par kit, qui fait le total de 37 500$. Dont 15 seront dotés en premiere année . La production du chlore liquide au sein du centre de sante a pour but d'ameliorer le bio nettoyage au sein de la steructure dans le cadre de la PCI</t>
  </si>
  <si>
    <t xml:space="preserve"> 10 FOSA sont identifiées dans les deux ZS Rwanguba et Nyiragongo,   seront dotées de    kits WATTA pour la production de chlore liquide  à raison d'un kit par FOSA.  Pour un prix de 2 500$ par kit, qui fait le total de 2500$. 10 en 2 eme année (2023). La production du chlore liquide au sein du centre de sante a pour but d'ameliorer le bio nettoyage au sein de la steructure dans le cadre de la PCI</t>
  </si>
  <si>
    <t xml:space="preserve">Location camions de transport  des matériels et matériaux </t>
  </si>
  <si>
    <t>Frais location d'un camion pour le transport des materiels et materiaux pendant 5mois à raison de 1 500$US par mois qui fait le totale de 15 000$ pour les 12 mois de location. À raison de 5mois  en 2023  Pour approvisionner les materiel et materiaux dans les FOSA.</t>
  </si>
  <si>
    <t>Frais location d'un camion pour le transport des materiels et materiaux pendant 4 mois à raison de 1 500$US par mois qui fait le totale de 15 000$ pour les 12 mois de location.5 mois en 2023  Pour approvisionner les materiel et materiaux des construction dans les FOSA.</t>
  </si>
  <si>
    <t xml:space="preserve">Frais de manutantion chargement et dechargement des matriaux et materiels et le transport des materiaux dans les sites eloignés de 15 sites à raison de 90$ par site danc 90X10= 1350$ au total pendant 5 mois; </t>
  </si>
  <si>
    <t xml:space="preserve">Frais de manutantion chargement et dechargement dans 10 sites à raison de 90$ par site danc 90X5= 1350$ au total pendant 5 mois; </t>
  </si>
  <si>
    <t>Construire des portes des douches au sein du centre de sante</t>
  </si>
  <si>
    <t xml:space="preserve">Douche </t>
  </si>
  <si>
    <t>Frais de construction de 30  portes de douches  pour les 15 centres de santé des ZS de Nyiragongo et Rwanguba à raison de1074,94$US par porte en dure qui fait  le total de32 249$; 30 portes seront construites en 1. Ces calculs ont été faits sur base des nombres des lits evalués dans les 15 FOSA.</t>
  </si>
  <si>
    <t>Frais de construction de 20 portes de douches  pour les 10 centres de santé des ZS de Nyiragongo et Rwanguba à raison de1074,94$US par porte en dure qui fait  le total de 21 500$;  20 en 2 eme année. Ces calculs ont été faits sur base des nombres des lits evalués dans les 10 FOSA.</t>
  </si>
  <si>
    <t>Amenager des puits perdus au sein du centre de sante</t>
  </si>
  <si>
    <t>Puit perdu</t>
  </si>
  <si>
    <t>15 FOSA vont beneficier des puis perdus pour la gestion des eaux usées à raison de 197,50 par pui qui fait un total de $ US. Dont 15 puits en premiere année et 10 puits en 2 eme année.</t>
  </si>
  <si>
    <t xml:space="preserve">Puit </t>
  </si>
  <si>
    <t>10 FOSA vont beneficier des puis perdus pour la gestion des eaux usées à raison de 197,50 par pui qui fait un total de 1975$ US. Donc 10 puits en 2 eme année.</t>
  </si>
  <si>
    <t>Construire des portes des latrines pour les personnes à moblité réduite</t>
  </si>
  <si>
    <t>Constuire 30portes pour les personnes à mobilité reduite à seront construtes à raison de 2473,43 $ par porte qui fait le total de 74 207 Après les resultats des evaluations</t>
  </si>
  <si>
    <t>Constuire 20 portes pour les personnes à mobilité reduite à seront construtes à raison de 2473,43 $ par porte qui fait le total de 49 471 Après les resultats des evaluations. 10 portes seront construites en 10 en 2023</t>
  </si>
  <si>
    <t xml:space="preserve">Construire des portes des latrines à double fosses et vidangeables </t>
  </si>
  <si>
    <t>Frais de construction de 30portes de latrines à doules fosse vidangeable pour les 15centres de santé pris à raison de 1479,08$US par porte en dure, qui fait le total de 44 372$; 30 portes en premiere phase .  les portes des latrines ont été évaluées sur base de la moyenne de frequentation pour chaque FOSA</t>
  </si>
  <si>
    <t>Frais de construction de 20 portes de latrines à doules fosse vidangeable pour les 10 centres de santé pris à raison de 1479,08$US par porte en dure, qui fait le total de 29 582$; en  20 portes en 2 eme phase du projet.  les portes des latrines ont été évaluées sur base de la moyenne de frequentation pour chaque FOSA</t>
  </si>
  <si>
    <t>Construire fosse à placenta</t>
  </si>
  <si>
    <t xml:space="preserve">frais de construction fausse en placenta dans les 25 Centres santé en raison 1092,8 par fausseX25 FOSA en besoins = 27 320,03$, </t>
  </si>
  <si>
    <t xml:space="preserve">frais de construction fausse en placenta dans les 10 Centres santé en raison 1092,8 par fausseX25 FOSA en besoins = 10 928$, </t>
  </si>
  <si>
    <t>Construire des incinerateurs type Montford</t>
  </si>
  <si>
    <t>Frais de construction des 25 incinerateurs( 15 en phase 1 du projet et 10 en phase 2)  pour 25 FOSA en raison de 1 incinerateur par Centre de santé pour 1 354,4par incinerateurX25CS= 33 859,42 $. Ces incinerateurs seront du type mot ford selon le contex de la zone</t>
  </si>
  <si>
    <t>Frais de construction des 10 incinerateurs(  10 en phase 2)  pour 10 FOSA en raison de 1 incinerateur par Centre de santé pour 1 354,4par incinerateurX10CS= 13 544 $. Ces incinerateurs seront du type mot ford selon le contex de la zone</t>
  </si>
  <si>
    <t>Construire des trous à ordures</t>
  </si>
  <si>
    <t>trous</t>
  </si>
  <si>
    <t>construction de 15 trous à ordure dans 15 FOSA à raison de 123$ par trousX 15= 1839$ pour  15 CS en besoin apres evalution en 1 ere anné du projet( 2023) . Les eaux usees proviendront des douches, bac a lessive, cuisine et sur les points de lavage des mains.</t>
  </si>
  <si>
    <t>construction de 10 trous à ordure dans 10 FOSA à raison de 123$ par trousX 10= 3 075$ pour  10 CS en besoin apres evalution. Dont 10 seront construites en 10 en 2 eme année(2023). Les eaux usees proviendront des douches, bac a lessive, cuisine et sur les points de lavage des mains.</t>
  </si>
  <si>
    <t>Amenager des fosses à aiguilles</t>
  </si>
  <si>
    <t xml:space="preserve">Frais d'amenagement de 15 fosses à aiguilles durable pour 15 centres de santé en besoin à raison de 2850$ par trou X25=42 764$, </t>
  </si>
  <si>
    <t xml:space="preserve">Frais d'amenagement de 10 fosses à aiguilles durable pour 10 centres de santé en besoin à raison de 2850$ par trou X10= 28 509$, </t>
  </si>
  <si>
    <t>Construire des abris pour la zone de dechet</t>
  </si>
  <si>
    <t xml:space="preserve">Abris </t>
  </si>
  <si>
    <t>15 abris pour la protection des Zones de dechets seront construites à raison de 5 381,14$ par abris qui fait le total de 80 717$ pour 15FOSA. La zone a dechet va abriter une une fosse a placeinta, une fosse a cendre, un incinerateur, une fosse a auiguille, un trou a ordures et un broyeur à flacon</t>
  </si>
  <si>
    <t>10 abris pour la protection des Zones de dechets seront construites à raison de 5 381,14$ par abris qui fait le total de 53 811$ pour 10 FOSA. La zone a dechet va abriter une une fiosse a placeinta, une fosse a cendre, unn incinerateur, une fosse a auiguille, et un trou a ordures</t>
  </si>
  <si>
    <t>Construire des bacs à lessive</t>
  </si>
  <si>
    <t>Bacs</t>
  </si>
  <si>
    <t>Cout de construction des bacs à lessive dans 8FOSA selectionnées apres evaluation des besoins  dans les 2 ZS de Nyiragongo et Rwanguba pour 347,9$par bacX 8=  2780$ le total en phase 1 du projet</t>
  </si>
  <si>
    <t>Cout de construction des bacs à lessive dans 10 FOSA selectionnées apres evaluation des besoins  dans les 2 ZS de Nyiragongo et Rwanguba pour 347,9$par bacX 10= 3 475$ le total. En 10 en phase 2 du projet.</t>
  </si>
  <si>
    <t>Dotation de broyeur mécanique de flacon dans 25 CS selectionnés dans les 2 ZS de santé(Nyiragongo et Rwanguba)</t>
  </si>
  <si>
    <t xml:space="preserve">Broyeur </t>
  </si>
  <si>
    <t>Frais d'achat des broyeurs à flacon pour les FOSA à raison de 125$ par broeyerX15= 3 875$</t>
  </si>
  <si>
    <t>Frais d'achat des broyeurs à flacon pour les FOSA à raison de 125$ par broeyerX&amp;à= 1250$</t>
  </si>
  <si>
    <t>Dotation des lampes solaires automatiques dans les 25 FOSA des zones  Nyiragongo et Rwanguba)</t>
  </si>
  <si>
    <t>lampe</t>
  </si>
  <si>
    <t>60 pieces de lampes automatiques seront dotées dans les 15 FOSA de Nyiragongo et Rwanguba à raison de 4 lampes par FOSA, qui fait le total de 60 lampes pour cout de 4 800$ dollars dont 80$ par Piece.</t>
  </si>
  <si>
    <t>40pieces de lampes automatiques seront dotées dans les 10 FOSA de Nyiragongo et Rwanguba à raison de 4 lampes par FOSA, qui fait le total de 3200 lampes pour cout de 3 200$ dollars dont 80$ par Piece.</t>
  </si>
  <si>
    <t>Location camions pour transport des materiels et matereux</t>
  </si>
  <si>
    <t>Camion/mois</t>
  </si>
  <si>
    <t>Frais de location Camion pendant 5 mois à raison de 1500$ par moisX5 =7 500$ tous les 5 mois, dont une location 5  mois en 2023</t>
  </si>
  <si>
    <t>Frais de location Camion pendant 5 mois à raison de 1500$ par moisX5 = 7500$ tous les 5 mois, dont une location   en 2023, pour le transport des materieaux et materiels de construction dans les site</t>
  </si>
  <si>
    <t xml:space="preserve">Construire / réhabiliter les infrastructures d'hygiène au sein des formations sanitaires, prenant en compte les besoins spécifiques des femmes et des filles  </t>
  </si>
  <si>
    <t>Construire les unites de triage durable et les equiper au sein de FOSA  pour surveiller la pendemie COVID19</t>
  </si>
  <si>
    <t>15 unités de triage durable seront construites au sein de FOSA pour surveiller la pendemie COVID 19</t>
  </si>
  <si>
    <t>10 unités de triage durable seront construites au sein de FOSA pour surveiller la pendemie COVID 19</t>
  </si>
  <si>
    <t>Réhabiliter / Renforcer les infrastructures d’accueil au niveau de centres de santé (espaces pour CPS et autres activités promotionnelles et préventives), en prenant en compte les besoins spécifiques des femmes et des filles</t>
  </si>
  <si>
    <t>Faire l'etat de lieux dans les centres de santé appuyés et elaborer le cahier de charge</t>
  </si>
  <si>
    <t>L'etat de lieu dans les fosa est a la chrage du partenaire Caritas</t>
  </si>
  <si>
    <t>L'etat de lieu dans les fosa est a la charge du partenaire Caritas</t>
  </si>
  <si>
    <t>Publication des offres et selection fournisseurs</t>
  </si>
  <si>
    <t>Publication</t>
  </si>
  <si>
    <t>Frais de paiement des pages en lignes pour publication des offres et couverture des dépenses du jury de la selection des fourniseurs</t>
  </si>
  <si>
    <t>Rehabiliter et renforcer les infrastructures d'acceuil dans les CS</t>
  </si>
  <si>
    <t>Les rehabilitation se feront dans  15 CS l'année 1</t>
  </si>
  <si>
    <t xml:space="preserve">les rehabilitation se feront dans 10 CS l'année 2 </t>
  </si>
  <si>
    <t>Mettre en place des espaces de jeux  protégés pour le maintein de l'hygiene des enfants lors des CPS au sein des FOSA</t>
  </si>
  <si>
    <t>Ces espaces serviront  de la prevention aux infection aux jeunes adolescents  et aux enfant qui  viennenpour les consutation pre scolaires  dans la FOSA</t>
  </si>
  <si>
    <t>Ces espaces serviront  de la prevention aux infection aux jeunes adolescents  et aux enfants qui  viennent pour les consutations pre scolaires  dans la FOSA</t>
  </si>
  <si>
    <t>Organiser des focus groupes avec les personnels de santé femmes et des mères bénéficiaires pour bien prendre en compte leurs perspectives et leurs éventuels besoins spécifiques dans la mise en œuvre des services WASH</t>
  </si>
  <si>
    <t>Frais de restauration de 182persones  pour l'annéel'année 2023  en raison de 6 participantsX15  villages. 2 facilitateurs par formations et 4 agentvde BCZ a raison de 2 agent par ZS.</t>
  </si>
  <si>
    <t>Frais de restauration de   182  personnes pour l'année 2023  6 participantsX60 villages. 2 facilitateurs par formations et 4 agentvde BCZ a raison de 2 agent par ZS.</t>
  </si>
  <si>
    <t>Trasport</t>
  </si>
  <si>
    <t>Transport de 180 personnes/trimenstre) participants  femmes et filles+4 agents des BCZs Nyiragongo et Rwanguba)  15 FOSA/ans, 6 pesonne dont 4 femmes et 2filles/villages. 4 agent des BCZ  pen dant 1jrs en raison de 5$US par particitant. 1jours de focus groups/FOSA/ans</t>
  </si>
  <si>
    <t>Transport de 360 (120  personnes/Trimenstre) participants  femmes et filles+4 agents des BCZs Nyiragongo et Rwanguba)  10 FOSA/trimenstres, 6 pesonne dont 4 femmes et 2filles/villages. 4 agent des BCZ  pen dant 1jrs en raison de 5$US par particitant. 1jours de focus groups/village/ans</t>
  </si>
  <si>
    <t>Constituer de façon paritaire et  former les membres du comité d'hygiene sur la gestion des activités, hygiène et assainissement, la PCI (Prevention contre les infections), le Genre et la prévention des VBG et AES</t>
  </si>
  <si>
    <t xml:space="preserve">Personne </t>
  </si>
  <si>
    <t>Restauration des 122 membres comité d'hygiene et salubrité par centre pour 15 FOSA, 2 Facilitateurs CARITAS et 2 membre des ECZs Nyiragongo et Rwanguba) à raison de 7$ par participantX129X3=2562$ le total.  En année 1.</t>
  </si>
  <si>
    <t>Restauration des 82 participants(8membres comité d'hygiene et salubrité par centre pour 10FOSA, 2 Facilitateurs CARITAS et 2 membre des ECZs Nyiragongo et Rwanguba) à raison de 7$ par participantX82X3= 4 284$ le total.   82 persones en 2eme annee.</t>
  </si>
  <si>
    <t xml:space="preserve">FOSA </t>
  </si>
  <si>
    <t>Il s'agit de 15 comités d'hygiene et salubruté de 15 FOSA qui vont beneficer les 2 kits PCI/ans en raison 157,5$par kitsX 15 FOSA, 1 fois de dotation ans 15 fosa en 1reamnnee .</t>
  </si>
  <si>
    <t>Il s'agit de 10 comités d'hygiene et salubruté de 10 FOSA qui vont beneficer les 2 kits PCI/ans en raison 157,5$par kitsX 10 FOSA, 1 fois de dotation ans 10fosa en en 2eme annee.</t>
  </si>
  <si>
    <t>Frais location salle de formation de 6 groupes des personnes  pendant 3 jours chacune en raison de 50$/jr/Salle pour raison de COVID 19</t>
  </si>
  <si>
    <t>Frais location salle de formation de 4 groupes de personnes  pendant 3 jours chacune en raison de 50$/jr/Salle</t>
  </si>
  <si>
    <t>Frais de transport de participants( 120 membres de comités pendant 3 jours de formation pour 5$USD. Pour un total de 3 000$</t>
  </si>
  <si>
    <t>Frais de transport de participants( 80 membres de comités pendant 3 jours de formation pour 5$USD. Pour un total de 2  000$</t>
  </si>
  <si>
    <t>Mission de suivi-Supervision et coordination par les equipes de la DPS Goma</t>
  </si>
  <si>
    <t>Une mission avec Nuittee de 4 jours/trimestre  pour 3 agents de la division provinciale de la sante Nord-Kivu (DPS NK) dans la zone de sante de RWANGUBA, y compris le chauffeur. Pour assurer le suivi, Supervision et coordination des activites du programme dans les formations sanitaires, 20 mois de mise en oeuvre du programme</t>
  </si>
  <si>
    <t>Une mission avec Nuitee de 4 jours/trimestre  pour 3 agents de la division provinciale de la sante Nord-Kivu (DPS NK) dans la zone de sante de RWANGUBA, y compris le chauffeur. Pour assurer le suivi, Supervision et coordination des activites du programme dans les formations sanitaires, 20 mois de mise en oeuvre du programme</t>
  </si>
  <si>
    <t>Mission de suivi-Supervision et coordination par les equipes des zones de sante de Rwanguba et de Nyiragongo</t>
  </si>
  <si>
    <t>Une mission de 4 jours/mois pour 3 agents des  zones de sante (Rwanguba et Nyiragongo).  Missions Pour assurer le suivi, Supervision et coordination des activites du programme dans les formations sanitaires. 11 mois de mise en oeuvre du programme en année 1</t>
  </si>
  <si>
    <t>Une mission de 4 jours/mois pour 3 agents des  zones de sante (Rwanguba et Nyiragongo).  Missions Pour assurer le suivi, Supervision et coordination des activites du programme dans les formations sanitaires. 9 mois de mise en oeuvre du programme en année 2</t>
  </si>
  <si>
    <t xml:space="preserve">Carburant pour le vehicule de la DPS  lors des mission dans les  BCZ et fosa  et Villages </t>
  </si>
  <si>
    <t>300 litres/trimestre pour le carburant du vehicule  de la DPS NK  lors de mission dans les zones de sante de Rwanguba et de Nyiragiongo</t>
  </si>
  <si>
    <t xml:space="preserve">Carburant pour les Motos des BCZ de Rwanguba et de Rutshuru   lors des mission dans les FOSA  et villages </t>
  </si>
  <si>
    <t>100  litres/mois pour le carburant des motos  des BCZ de Rwanguba et de Nyiragongongo  lors de mission dans les FOSA  et villages</t>
  </si>
  <si>
    <t>Redynamiser /mettre en place des CAC, en veillant à leur composition paritaire des membres élus</t>
  </si>
  <si>
    <t>Frais de transport des APAs/influenceurs lors des investitures</t>
  </si>
  <si>
    <t>487 Personnes auront droit à 5 USD de transport lors de l'investiture des membres de CAC: 2 Chefs par village : 150 Representant des structures de participation comm +15 IT +15ITA +15 PRECODESA+146 Chefs des villages+ 146 Chefs des villages Adjoints ( 146 villages année 1)</t>
  </si>
  <si>
    <t>724 Personnes auront droit à 5 USD de transport lors de l'investiture des membres de CAC: 2 Chefs par village : 160 Representant des structures de participation comm +16 IT +16 ITA +16 PRECODESA+258 Chefs des villages+ 258 Chefs des villages Adjoints ( 258 villages année 2)</t>
  </si>
  <si>
    <t>remed</t>
  </si>
  <si>
    <t xml:space="preserve">Location salle lors des investitures ( 15 salles année 1) Cela vas de paire avec la couverture de 15 Aires de santé l'année 1 </t>
  </si>
  <si>
    <t>Location salle lors des investitures ( 16 salles année 1) Cela vas de paire avec la couverture de 16 Aires de santé l'année 2</t>
  </si>
  <si>
    <t>Motivation des crieurs lors de sensibilisations</t>
  </si>
  <si>
    <t>5$ Crieur pour mobilisation des communautés à venir à l'AV</t>
  </si>
  <si>
    <t>Nous allons payer 283 megaphones, soit 1 megaphones par CAC. ET 30 autres megaphones pour les comités de gestion des ouvrages hydraulique ,Le cout d'un megaphone est de 25$.</t>
  </si>
  <si>
    <t>Nous allons payer 292 megaphones, soit 1 megaphones par CAC. ET 30 autres megaphones pour les comités de gestion des ouvrages hydraulique ,Le cout d'un megaphone est de 25$.</t>
  </si>
  <si>
    <t>Achat pile pour megaphone des crieurs qui vont sensibilisé pour la participation à AV</t>
  </si>
  <si>
    <t>Carton piles</t>
  </si>
  <si>
    <t>2 paires de piles par CAC ( 8 cartons année 1 )</t>
  </si>
  <si>
    <t>Carton pile</t>
  </si>
  <si>
    <t>2 paires de pile par CAC ( 9 cartons année 2)</t>
  </si>
  <si>
    <t>Former les facilitateurs locaux sur la dynamique communautaire</t>
  </si>
  <si>
    <t xml:space="preserve">5 JOURS : 2 Jour Mise en œuvre de la Dynamique comm et Bref sur les PFE, 1 Jour (WASH et EDUCATION), 1 Jour NUTRITION, 1Jour AES,VBG et gestion des urgences au communautaire + Exercices de simulation </t>
  </si>
  <si>
    <t>Pause café à Nyiragongo et à Rwanguba</t>
  </si>
  <si>
    <t>2USD pour pause café par jour par personne ,pour 160 personnes: 14 Formateurs + 131 facilitateurs locaux Ceux-ci seront completés par le 15 IT qui seront aussi formés pour avoir un total de 146 FL pour 146 Villages</t>
  </si>
  <si>
    <t>2USD pour pause café par jour par personne ,pour 266 personnes: 24 Formateurs + 242 facilitateurs locaux Ceux-ci seront completés par le 16 IT/ITA qui seront aussi formés pour avoir un total de 258 FL pour 258 Villages pour l'année 2</t>
  </si>
  <si>
    <t>Pause repas à Nyiragongo et à Rwanguba</t>
  </si>
  <si>
    <t>5USD pour pause Repas par jour par personne ,pour 160 personnes: 14 Formateurs + 131 facilitateurs locaux Ceux-ci seront completés par le 15 IT qui seront aussi formés pour avoir un total de 146 FL pour 146 Villages</t>
  </si>
  <si>
    <t>5USD pour pause Repas par jour par personne ,pour 266 personnes: 24 Formateurs + 242 facilitateurs locaux Ceux-ci seront completés par le 16 IT/ITA qui seront aussi formés pour avoir un total de 258 FL pour 258 Villages ciblées l'année 2</t>
  </si>
  <si>
    <t xml:space="preserve">Frais de facilitation en faveur des formateurs : 14 formateurs </t>
  </si>
  <si>
    <t xml:space="preserve">Frais de facilitation en faveur des formateurs : 24 formateurs </t>
  </si>
  <si>
    <t>Location de 7 salles (pour 20 personnes par salle à Nyiragongo et à Rwanguba) 50 USD par salle par Jour</t>
  </si>
  <si>
    <t>Frais de transport des participant à Nyiragongo et Rwanguba</t>
  </si>
  <si>
    <t>Frais de transport des participants : pour 131 facilitateurs locaux Ceux-ci seront completés par le 15 IT qui seront aussi formés pour avoir un total de 146 FL pour 146 Villages</t>
  </si>
  <si>
    <t xml:space="preserve"> kit est compose d'un carnet A5, 1 stylo, et flip shart : 131 facilitateurs locaux participants à l'atelier </t>
  </si>
  <si>
    <t xml:space="preserve"> kit est compose d'un carnet A5, 1 stylo, et flip shart : 242 facilitateurs locaux participants à l'atelier </t>
  </si>
  <si>
    <t>Prime des facilitateurs locaux pour mois d'accompagnement des activités de mise en œuvre de la dynamique communautaire</t>
  </si>
  <si>
    <t>146 Facilitateurs locaux pour 146 Villages en raison de 7$ par personne par jour Comme motivation ,transport et communication durant 22 Jours d'accompagnement de la mise en oeuvre de la dynamique communautaire au niveau des villages (Nous aurons les 131 FL formés et 15 IT /ITA déjà formés )</t>
  </si>
  <si>
    <t>242 Facilitateurs locaux pour 242 Villages en raison de 7$ par personne par jour Comme motivation ,transport et communication durant 22 Jours d'accompagnement de la mise en oeuvre de la dynamique communautaire au niveau des villages (Nous aurons les 242 FL formés et 16 IT /ITA déjà formés )</t>
  </si>
  <si>
    <t xml:space="preserve">Former les membres des CAC sur la dynamique communautaire </t>
  </si>
  <si>
    <t xml:space="preserve">3566 participants :3 396 Membres de CAC(12 membre /CACX 283 CAC) + 170 Facilitateurs locaux de la formation ; chacun aura droit à  2$ de pause-café </t>
  </si>
  <si>
    <t xml:space="preserve">3 679 participants :3 504 Membres de CAC(12 membre /CACX 292 CAC)+ 175 Facilitateurs locaux de la formation ; chacun aura droit à  2$ de pause-café </t>
  </si>
  <si>
    <t>3566 participants :3 396 Membres de CAC(12 membre /CACX 283 CAC) + 170 Facilitateurs locaux de la formation ; chacun aura droit 5$ de pause-repas</t>
  </si>
  <si>
    <t>3 679 participants :3 504 Membres de CAC(12 membre /CACX 292 CAC)+ 175 Facilitateurs locaux de la formation ; chacun aura droit 5$ de pause-repas</t>
  </si>
  <si>
    <t>Frais de location salle qui peuvent contenir 20 personnes pour les respects des mésures barrières ( 170 salles année 1 )</t>
  </si>
  <si>
    <t>Frais de location salle qui peuvent contenir 20 personnes pour les respects des mésures barrières ( 175 salles année 2)</t>
  </si>
  <si>
    <t xml:space="preserve">3566 participants :3 396 Membres de CAC(12 membre /CACX 283 CAC) </t>
  </si>
  <si>
    <t xml:space="preserve">3 504 Membres de CAC(12 membre /CACX 292 CAC) </t>
  </si>
  <si>
    <t xml:space="preserve"> kit est compose d'un Stylo,carnet et Etui Bag (Voir nouveau bareme du 3/09/2021) 12 membre /CACX 283 CAC: 3 396 Membres CAC de 283 CAC </t>
  </si>
  <si>
    <t xml:space="preserve"> kit est compose d'un Stylo,carnet et Etui Bag (Voir nouveau bareme du 3/09/2021) 3 504 Membres de CAC(12 membre /CACX 292 CAC)</t>
  </si>
  <si>
    <t xml:space="preserve">100$ /CAC par semestre pour 283 CAC l'année 1 </t>
  </si>
  <si>
    <t>100$ /CAC par semestre pour 292 CAC l'année 2</t>
  </si>
  <si>
    <t>Prime de performance en faveur des CAC pour organisation de depistage et referencement des enfants nécessitant une prise en charge nutritionnelle aux CS</t>
  </si>
  <si>
    <t xml:space="preserve">50$ /CAC par trimestre pour 283 CAC pour année 1 </t>
  </si>
  <si>
    <t>50$ /CAC par trimestre ( 292 pour année 2)</t>
  </si>
  <si>
    <t>Frais d'impression t-shirt pour l'organisation de jeux meilleure CAC-CAC modèle-CAC Performant</t>
  </si>
  <si>
    <t>t-shirt</t>
  </si>
  <si>
    <t xml:space="preserve">Impression de 6 792 T-hirt U-report meilleure CAC pour les Membres de 283 CAC performantes l'an 1 (2 par membre) </t>
  </si>
  <si>
    <t>Impression de 13 800 T-shirt U-report meilleure CAC pour les Membres de 575 CAC performantes l'an 2 ( 12 Membre par CAC X 2 trimestre )</t>
  </si>
  <si>
    <t>Achat des imprimentes performante pour l'impression des fiches de rapportage des CAC</t>
  </si>
  <si>
    <t xml:space="preserve">Achat de 4 impimentes pour l'impression des fiches des rapportage Au lieu de payer les Frais d'impression des fiches de rapportage journalier des RECO, soit 7 fiches par jour par CAC pour 283 CAC pendant 335 jours/11mois pour l'an 1 . Au moin un total de 663 635 ( 7 fiches X 283 CAC X 335 Jours) Fiches pour l'an 1 </t>
  </si>
  <si>
    <r>
      <t xml:space="preserve">Achat de 2 impimentes pour l'impression des fiches des rapportage Au lieu de payer les Frais d'impression des fiches de rapportage journalier des RECO, soit 7 fiches par jour par CAC pour l'an 2 pendant 9 mois pour 575 CAC (t </t>
    </r>
    <r>
      <rPr>
        <b/>
        <sz val="10"/>
        <rFont val="Calibri"/>
        <family val="2"/>
        <scheme val="minor"/>
      </rPr>
      <t>Un renforcement avec 2 autres au debut de l'année 2</t>
    </r>
    <r>
      <rPr>
        <sz val="10"/>
        <rFont val="Calibri"/>
        <family val="2"/>
        <scheme val="minor"/>
      </rPr>
      <t>). Au moin un total de 1 106 875 (7 fiches X 575 CAC X 275 Jours) Fiches l'an 2</t>
    </r>
  </si>
  <si>
    <t>Pour l'an 1 : 663 635 Fiches pour 11 mois soit 60 330,4545 Fiches par mois qui seront imprimés sur 120,66  Rames de 500 papiers/Mois</t>
  </si>
  <si>
    <t>Pour l'an 2 : 1 106 875 Fiches pour 9 mois soit 122 986 ,111 Fiches /mois qui seront imprimés sur 245,95 Rames de papiers/mois</t>
  </si>
  <si>
    <t>Paiement cartouche et encre pour recyclage des imprimentes : L'an 1 nous aurons besoin de 16 Cartouches soit 4 par mois par imprimante pour 4 imprimantes (chaque cartouche imprimera autours de 3 770,65 Fiches avant d'etre declassé)</t>
  </si>
  <si>
    <t>Pour l'an 2 nous aurons besoin de 24 Cartouches par mois soit 4 par mois par imprimante pour 6 Imprimantes. (chaque cartouche imprimera autours de 3 770,65 Fiches avant d'etre declassé)</t>
  </si>
  <si>
    <t>15 calicots en raison de 1 par AS pour toutes les activités</t>
  </si>
  <si>
    <t>16 calicots en raison de 1 par AS pour toutes les activités</t>
  </si>
  <si>
    <t>Impression lacoste pour les superviseurs de proximités</t>
  </si>
  <si>
    <t>lacoste</t>
  </si>
  <si>
    <t xml:space="preserve">100 lacostes pour les staffs projet </t>
  </si>
  <si>
    <t>3 396 Bottes pour 3396 membres de CAC (283 CAC X 12 membrespar CAC)</t>
  </si>
  <si>
    <t>6 900 Bottes pour 6900 membres de CAC (575 CAC X 12 membrespar CAC) (283 CAC l'année 1 et 292 l'année 2)</t>
  </si>
  <si>
    <t>Coordonateur des interventions C4D</t>
  </si>
  <si>
    <t>1813 USD par mois pendant 11 Mois ,il/elle est recruté au niveau national : le coordonateur des activités C4D sera responsable de la mis en œuvre des actions du volet C4D et jouera dans la coordination stratégique de l'intervention de façon globale: il joue le role de chef de projet pour les activités C4D (voir synthese fiche de poste en commentaire de la cellule)</t>
  </si>
  <si>
    <t>1813 USD par mois pendant 9 Mois ,il/elle est recruté au niveau national : le coordonateur des activités C4D sera responsable de la mis en œuvre des actions du volet C4D et jouera dans la coordination stratégique de l'intervention de façon globale: il joue le role de chef de projet pour les activités C4D (voir synthese fiche de poste en commentaire de la cellule)</t>
  </si>
  <si>
    <t>Assistants suivi et évaluation (zonale)</t>
  </si>
  <si>
    <t>1121 USD par mois pendant 11 Mois ,il/elle est recruté au niveau national :  Assistant SE au niveau de chaque Zone de santé qui appuyeront les superviseurs de zone de santé dans les supervisions formative au niveau des aires de santé et villages ciblés,il collecterons et centraliseront les informations au niveau de leurs zones de santé et utiliserons le superviseurs de proximité dans la collecte au niveau de la base.(voir en commentaire la fiche d'info sur le poste),Vu l'importance des activités et des indicateurs à suivre,vu le soucis de se rassurer de l'integration multisectorielles des activités C4D (ces assistants suivi et évaluation joerons le role de centralisateurs des alertes pour la veille humanitaire et se rassureront de la disponibilités des outils de collectes de données de CAC pour le rapportage periodique)</t>
  </si>
  <si>
    <t>1121 USD par mois pendant 9 Mois ,il/elle est recruté au niveau national :  Assistant SE au niveau de chaque Zone de santé qui appuyeront les superviseurs de zone de santé dans les supervisions formative au niveau des aires de santé et villages ciblés,il collecterons et centraliseront les informations au niveau de leurs zones de santé et utiliserons le superviseurs de proximité dans la collecte au niveau de la base.(voir en commentaire la fiche d'info sur le poste),Vu l'importance des activités et des indicateurs à suivre,vu le soucis de se rassurer de l'integration multisectorielles des activités C4D (ces assistants suivi et évaluation joerons le role de centralisateurs des alertes pour la veille humanitaire et se rassureront de la disponibilités des outils de collectes de données de CAC pour le rapportage periodique)</t>
  </si>
  <si>
    <t>Salaire du Comptable du bureau de Rutshuru</t>
  </si>
  <si>
    <t>1121 USD par mois pendant 11 Mois ,il/elle est recruté au niveau national :  Le bureau de réprésentation de REMED à rutshuru ne disposant plus des projets en cours le service de finance a jugé necessaire d'avoir un assistant comptable qui vas gerer les operations financieres au niveau de la zone de santé de Rwanguba qui est dans la circonscription couverte par le bureau REMED Rutshuru.En collaboration direct avec le superviseur de la zone de santé il/elle appui l'assurance qualité et quantité des pieces justificatives de dépenses et s'occupe d'autres obligations notament la tenue des documents comptable journellement et orientations financieres aux équipes terrains dans la zone de santé de RWANGUBA</t>
  </si>
  <si>
    <t>1121 USD par mois pendant 9 Mois ,il/elle est recruté au niveau national :  Le bureau de réprésentation de REMED à rutshuru ne disposant plus des projets en cours le service de finance a jugé necessaire d'avoir un assistant comptable qui vas gerer les operations financieres au niveau de la zone de santé de Rwanguba qui est dans la circonscription couverte par le bureau REMED Rutshuru.En collaboration direct avec le superviseur de la zone de santé il/elle appui l'assurance qualité et quantité des pieces justificatives de dépenses et s'occupe d'autres obligations notament la tenue des documents comptable journellement et orientations financieres aux équipes terrains dans la zone de santé de RWANGUBA</t>
  </si>
  <si>
    <t>Superviseurs de Zone</t>
  </si>
  <si>
    <t>1121 USD par mois pendant 11 Mois ,il/elle est recruté au niveau national : 2 superviseurs zonaux (1 RWANGUBA et 1 Rutshuru),il est responsable de l'ensemble d'activités de declenchement et mise en œuvre de la dynamique communautaire en appui aux differents programme sectoriels au niveau de la zone de santé ,il joue un role de coordination et supervision des activités mis en oeuvre par les superviseurs de proximité qui sont affectés au niveau de chaque aire de santé. (voire fiche de poste en commentaire de la cellule)</t>
  </si>
  <si>
    <t>1121 USD par mois pendant 9 Mois ,il/elle est recruté au niveau national : 2 superviseurs zonaux (1 RWANGUBA et 1 Rutshuru),il est responsable de l'ensemble d'activités de declenchement et mise en œuvre de la dynamique communautaire en appui aux differents programme sectoriels au niveau de la zone de santé ,il joue un role de coordination et supervision des activités mis en oeuvre par les superviseurs de proximité qui sont affectés au niveau de chaque aire de santé. (voire fiche de poste en commentaire de la cellule)</t>
  </si>
  <si>
    <t>Salaire des Assistants logisticiens (Zonaux/Junior)</t>
  </si>
  <si>
    <t>705 USD par mois pendant 11 Mois ,il/elle est recruté au niveau national :  le projet prevois l'approvisionnement et distribution des intrants qui necessitent d'avoir des personnes principalement affectées à ces activités. Ainsi, un assistant logisticien et qui jouera en meme temps le role de magasinier au niveau de sa zone de santé d'affectation,il/elle coordonne les actions logistique au niveau zonal et s'assure du respect des regles et procedure en etroite collaboration avec les équipes de la finance</t>
  </si>
  <si>
    <t>705 USD par mois pendant 9 Mois ,il/elle est recruté au niveau national :  le projet prevois l'approvisionnement et distribution des intrants qui necessitent d'avoir des personnes principalement affectées à ces activités. Ainsi, un assistant logisticien et qui jouera en meme temps le role de magasinier au niveau de sa zone de santé d'affectation,il/elle coordonne les actions logistique au niveau zonal et s'assure du respect des regles et procedure en etroite collaboration avec les équipes de la finance</t>
  </si>
  <si>
    <t>Organiser des réunions d’auto-évaluation par les membres de nouvelles CAC au tour de l’Autorité locale de base</t>
  </si>
  <si>
    <t>Frais de pause-café (casse-croute) des participants</t>
  </si>
  <si>
    <t xml:space="preserve">2 USD par personne par réunion pour 4 Reunion pour l'année 1 ,ces réunions sont organisées par Aire de santé trimestriellement ,les participants pour les réunion de l'année 894 Personnes le trimestre: ( 849 Membres CAC Soit 3 délégues par CAC Pour 283 CAC + 15 IT +15 PRESICODESA +15 APA ) </t>
  </si>
  <si>
    <t>2USD par personne par réunion pour 3 réunion Pour l'année 2 Pour 1818 Personnes: 1725 Membres de CAC soit 3 personnes par CAC pour 575 CAC + 31 APAs, 31 PRECODESA et 31 IT</t>
  </si>
  <si>
    <t xml:space="preserve">5USD Par personne / Réunion pour 4 Reunion pour l'année 1 ,ces réunions sont organisées par Aire de santé trimestriellement ,les participants pour les réunion de l'année 894 Personnes le trimestre: ( 849 Membres CAC Soit 3 délégues par CAC Pour 283 CAC + 15 IT +15 PRESICODESA +15 APA ) </t>
  </si>
  <si>
    <t xml:space="preserve">2USD par personne par réunion pour 3 Réunions pour l'année 2 ,ces réunions sont organisées par Aire de santé trimestriellement ,les participants pour les réunion de l'année 2 : 1818 Personnes participeront : 1725 Membres de CAC soit 3 personnes par CAC + 31 APAs, 31 PRECODESA et 31 IT </t>
  </si>
  <si>
    <t>Achat radios solaires</t>
  </si>
  <si>
    <t>283 Radios pour 283 CAC/Club d'écoute pour l'an 1 (25 USD par radio solaire et chargeable)</t>
  </si>
  <si>
    <t>575 Radios pour 575 CAC/Club d'écoute (283 pour l'an 1 et 292 Pour l'an 2)</t>
  </si>
  <si>
    <t>Organiser le Dénombrement, le Diagnostic communautaire et élaborer les Plan d’actions communautaire Multisectoriels</t>
  </si>
  <si>
    <t>Pause-café en faveur de participants à l'élaboration des Plan d’actions communautaire et seance de diagnostique communautaire</t>
  </si>
  <si>
    <t xml:space="preserve">3 396 Membres CAC de 283 CAC auront 2$ comme frais de pause-café pour les participants à l'élaboration des Plan d’actions communautaire. 1 jour pour la diagnostic et 1 jour pour l'élaboration des plans d'action </t>
  </si>
  <si>
    <t xml:space="preserve">3 504 Membres CAC de 292 CAC auront 2$ comme frais de pause-café pour les participants à l'élaboration des Plan d’actions communautaire. 1 jour pour la diagnostic et 1 jour pour l'élaboration des plans d'action </t>
  </si>
  <si>
    <t>Pause-repas en faveur de participants à l'élaboration des Plan d’actions communautaire et seance de diagnostique communautaire</t>
  </si>
  <si>
    <t>3 396 Membres CAC de 283 CAC , 5$ comme frais de pause-repas : 1 jour pour la diagnostique et 1 jour pour l'élaboration des plans d'action</t>
  </si>
  <si>
    <t>3 504 Membres CAC de 292 CAC , 5$ comme frais de pause-repas : 1 jour pour la diagnostique et 1 jour pour l'élaboration des plans d'action</t>
  </si>
  <si>
    <t>Frais de transport des participants à l'élaboration des Plan d’actions communautaire et seance de diagnostique communautaire</t>
  </si>
  <si>
    <t xml:space="preserve">3 396 Membres CAC de 283 CAC, 5$ comme   Frais de transport pour les participants. 1 jour pour la diagnostique et 1 jour pour l'élaboration des plans d'action multisectoriel </t>
  </si>
  <si>
    <t xml:space="preserve">3 504 Membres CAC de 292 CAC, 5$ comme   Frais de transport pour les participants. 1 jour pour la diagnostique et 1 jour pour l'élaboration des plans d'action multisectoriel </t>
  </si>
  <si>
    <t>Frais de location salle lors de l'élaboration de plan d'action communautaire ( 170 salles année 1)</t>
  </si>
  <si>
    <t>Frais de location salle lors de l'élaboration de plan d'action communautaire ( 175 salles année 2)</t>
  </si>
  <si>
    <t>5$ comme frais reproduction ,impression et relure des carnets de denombrement pour 8 RECOs par CAC pour le 283 CAC Soit 2 264 Carnets pour l'année 1</t>
  </si>
  <si>
    <t>5$ comme frais reproduction ,impression et relure des carnets de denombrement pour 8 RECOs par CAC pour le 283 CAC Soit 2 336 Carnets pour l'année 2</t>
  </si>
  <si>
    <t>Contribuer à la formation des facilitateurs locaux en Nutrition à assise communautaire (NAC) dans les AS suplemenaires NUTRITION et non ciblés par C4D</t>
  </si>
  <si>
    <t xml:space="preserve">258 Facilitateurs des villages non couverts par C4D au courant de l'année 1 ,  26 formateurs, 2 personnes WV et 2 personnes de REMED pour Année 1 </t>
  </si>
  <si>
    <t>Remed</t>
  </si>
  <si>
    <t>Location des salles povant contenir au moin 20 Personnes : 13 Salle de 20 personnes pour l'année 1  à 50 USD par salle/jour</t>
  </si>
  <si>
    <t xml:space="preserve">258 Facilitateurs des villages non couverts par C4D pour l'année 1  chacun aura droit à un transport de 5USD /Jr </t>
  </si>
  <si>
    <t xml:space="preserve">2 Facilitateurs hors projet /jour /salle,comptons 13 salles de l'année 1 soit 26 Facilitateurs </t>
  </si>
  <si>
    <t xml:space="preserve"> kit est compose d'un carnet A5, 1 stylo, et Etui bag  pour 258 Facilitateurs des villages non couverts par C4D pour l'année 1</t>
  </si>
  <si>
    <t>Contribuer à la formation des RECO  sur la PCIMA, la NAC, le Genre et la prévention des VBG et AES dans les AS suplemenaires NUTRITION</t>
  </si>
  <si>
    <t>Cette activité sera organisée pour l'apour année 1 Seulement,dans le soucis d'appuyer la nutrition dans son principe de couverture du 100% des AS a partir de l'année 1 avec les interventions nutritionnelles;ainsi comme le traitement est toujour accompagné avec les activités de prevention au niveau communautaire il etait necessaire de prevoir des activités minimum C4D pour faciliter le depistage et referennce des FEFA,Enfants soufrant de la MAS ,Enfants soufrant de la MAM,....</t>
  </si>
  <si>
    <t>2858 Participants : 2580 RECOs dans les villages non couverts par la C4D durant l'année 1 et 258 Facilitateurs des villages non couverts par C4D durant l'année 1 ,  16 IT des AS  non couverts par la C4D durant l'année 1 , 2 personnes WV et 2 personnes de REMED</t>
  </si>
  <si>
    <t>2858 Participants : 2580 RECOs dans les villages non couverts par la C4D et 258 Facilitateurs des villages non couverts par C4D,  16 IT, 2 personnes WV et 2 personnes de REMED pour année 1 Seulement</t>
  </si>
  <si>
    <t>Location des salles povant contenir au moin 20 Personnes à 50 USD par salle/jour</t>
  </si>
  <si>
    <t>2830 membres CAC des villages couvert par C4D + 1290 RECOs dans les villages non couverts par la C4D, 146 facilitateurs locaux des villages ciblés par C4D et 258 Facilitateurs des villages non couverts par C4D,  31 IT pour année 1 et 2920 membres CAC des AS/villages qui n'étaient pas couverts par la C4D, 256 facilitateurs locaux,  31 IT</t>
  </si>
  <si>
    <t>Kit participants</t>
  </si>
  <si>
    <t xml:space="preserve">Le kit est composé d'un carnet A5, 1 stylo, et Etui bag </t>
  </si>
  <si>
    <t>Contribuer à l'organisation de dénombrement, diagnostic communautaire et élaboration de plan d'action communautaire</t>
  </si>
  <si>
    <t>Denombrement dans les 16 AS non ciblées par C4D durant l'année 1</t>
  </si>
  <si>
    <t>Reprodution carnets de denombrement NUTRITION dans les villages non ciblé par la C4D l'année 1 (258 Villages non ciblées l'année 1)</t>
  </si>
  <si>
    <t>carnet</t>
  </si>
  <si>
    <t>2USD pour reproduction des carnets de denombrement  : 1290 Carnets l'année 1 en raison de 5 Carnets par Village pour 258 Villages non Couvert par la C4D durant l'année 1</t>
  </si>
  <si>
    <t>Diagnostic communautaire dans les 16 AS non ciblées par C4D durant l'année 1</t>
  </si>
  <si>
    <t>Pause café des participants pendant les focus groupe pour poser le diagnostic specifique NUTRITION dans les villages non ciblé par la C4D l'année 1</t>
  </si>
  <si>
    <t>2580 RECO en raison de 10 participants par Village non couvert par la C4D  durant l'année 1</t>
  </si>
  <si>
    <t>Pause repas des participants pendant les focus groupe pour poser le diagnostic et priorites sectorielles</t>
  </si>
  <si>
    <t>2580 RECO en raison de 10 participants par Village non couvert par la C4D durant l'année 1</t>
  </si>
  <si>
    <t>Elaboration de plans d'actions communautaires nutrition dans les 16 AS non ciblées par C4D durant l'année 1</t>
  </si>
  <si>
    <t>Transport des participants lors de l'elaboration de PAC</t>
  </si>
  <si>
    <t>5 USD lors de l'elaboration de PAC pour 2580 RECO en raison de 10 participants par Village non couvert par la C4D  durant l'année 1</t>
  </si>
  <si>
    <t>Pause café et Pause repas des participants pendant l'elaboration de PAC</t>
  </si>
  <si>
    <t>2 USD pour la pause café et 5 USD pour le repas par participant : 2580 RECO en raison de 10 participant par Village non couvert par la C4D  durant l'année 1</t>
  </si>
  <si>
    <t>Renforcer la promotion de l’alimentation du nouveau-né et du jeune enfant (ANJE) comme partie intégrante des PFE dans tous les points de contacts, notamment dans la communauté (Visites à domicile, groupe de soutien, discussions communautaires, Organisations à base communautaire, Associations paysannes, etc.)</t>
  </si>
  <si>
    <t>Reproduction des Boites à images ANJE en francais et en langue locale</t>
  </si>
  <si>
    <t>Boites à Images</t>
  </si>
  <si>
    <t>Reproduction des 10 Boites à images ANJE  en francais et en langue locale par CAC x  283 CAC Année 1 et x 292 CAC Année 2</t>
  </si>
  <si>
    <t>Reproduction  des outils ANJE (Formulaire de collecte et Registre ANJE)</t>
  </si>
  <si>
    <t>Reproduction  des 10 Kit d' outils ANJE (Formulaire de collecte et Registre ANJE) par CAC  x 283 CAC Année 1 et x 292 CAC Année 2</t>
  </si>
  <si>
    <t>Posters avec messages ANJE en francais et en langue locale</t>
  </si>
  <si>
    <t>Poster</t>
  </si>
  <si>
    <t>Production de 10 Posters avec messages ANJE en francais et en langue locale par CAC  x 283 CAC Année 1 et x 292 CAC Année 2</t>
  </si>
  <si>
    <t>Depliants avec message sur ANJE en langue locale</t>
  </si>
  <si>
    <t>Depliant</t>
  </si>
  <si>
    <t>Production de 100 Depliants avec message sur ANJE en langue locale par CAC  x 283 CAC Année 1 et x 292 CAC Année 2</t>
  </si>
  <si>
    <t>Sketch sur ANJE dans les points chauds (Marché, Eglises…..)</t>
  </si>
  <si>
    <t>sketch</t>
  </si>
  <si>
    <t>Réalisation de 1 Sketch sur ANJE dans les points chauds (Marché, Eglises…..) de chaque aire de santé x 31 AS pendant 10 mois l'année 1 et  pendant 9 mois l'année 2</t>
  </si>
  <si>
    <t>Réalisation de 1 Sketch sur ANJE dans les points chauds (Marché, Eglises…..) de chaque aire de santé x 31 AS pendant 11 mois l'année 1 et  pendant 9 mois l'année 2</t>
  </si>
  <si>
    <t>Mise en place et animation des groupes de soutien ANJE (au niveau communautaire)</t>
  </si>
  <si>
    <t>Achat des ustensciles de cuisine et autres materiels (casserole, plats, cuilleres,bassine, gobelets…etc)</t>
  </si>
  <si>
    <t>village</t>
  </si>
  <si>
    <t>404 villages dotés en kit de demonstration culinaires dont le CU  voir details feuilles '' Cout Kit demonstration Culinaires" une fois l'an</t>
  </si>
  <si>
    <t>Achat d'aliments locaux selon les résultats de l'inventaire et l'ammelioration des recettes</t>
  </si>
  <si>
    <t>Achat mensuel des aliments locaux à 25$ pendant 10 mois,   Année 1. Cepndant Année 2,   9 mois x 404, mais CFA aura a donné de semences.</t>
  </si>
  <si>
    <t>Achat mensuel des aliments locaux à 25$ pendant 11 mois,   Année 1. Cepndant Année 2,   9 mois x 404, mais CFA aura a donné de semences.</t>
  </si>
  <si>
    <t xml:space="preserve">Appui (Collation)  aux reunions de monitorage au niveau CODESA </t>
  </si>
  <si>
    <t>Collation: achat casse croute ou pause café pour 283 CAC  par mois x 11 Mois  année 1  et 575 CAC (283 année 1 et 292 année 2)  pour 9 mois année 2</t>
  </si>
  <si>
    <t>Remboursement  Transport aux participants aux reunions de monitorage au niveau CODESA</t>
  </si>
  <si>
    <t>Frais de  Transport aux 283 delegués  CAC  par mois x 11 Mois  année 1  et 575 CAC (283 année 1 et 292 année 2) pour 9 mois année 2</t>
  </si>
  <si>
    <t>Kit par aire de santé x 31 aire de santé</t>
  </si>
  <si>
    <t>4.2.7</t>
  </si>
  <si>
    <t>Appui aux groupe de soutien ANJE pour le depistage actif et autres activites communautaires dans les villages à travers les AGR</t>
  </si>
  <si>
    <t>AGR/GS ANJE</t>
  </si>
  <si>
    <t xml:space="preserve">AGR seront orientées vers les GS ANJE au niveau de CAC, discutées et adaptées à chaque contexte selon le choix des membres/RECOs. Un  montant de 100 sera attribué a chaque GS ANJE/village, une fois l'an a raison de 283 CAC pour la premiere année et 292 CAC la deuxieme année. Il s'agira d'un choix guidé. </t>
  </si>
  <si>
    <t>Achat des fournitures pour les membres de GS ANJE (cahier de depistage, sac,  stylo…)</t>
  </si>
  <si>
    <t>Membres GS ANJE</t>
  </si>
  <si>
    <t>Achat des fournitures pour les 10 membres de GS ANJE (cahier de depistage, sac,  stylo…) par CAC x 283 CAC année 1 et 292 CAC année 2</t>
  </si>
  <si>
    <t>Appui au transport des cas referencés qui sont au dela de 5 km du CS</t>
  </si>
  <si>
    <t>Frais de transport à rembourser pour les cas MAS avec complications pour 10$ par cas referés</t>
  </si>
  <si>
    <t>Identifier les leaders et relais communautaires comme participants à la session de formation</t>
  </si>
  <si>
    <t>Identifier les leaders et relais communautaires dans 20 communitées ciblees</t>
  </si>
  <si>
    <t xml:space="preserve">villages </t>
  </si>
  <si>
    <t>Sans cout</t>
  </si>
  <si>
    <t>Former les leaders et relais communautaires aux modules de consolidation de la paix et de médiation communautaire.</t>
  </si>
  <si>
    <t>2 sites de formations pendant 3 jours par site  pour un cout unitaire journalier de 50$ chaque année</t>
  </si>
  <si>
    <t>Repas pour 80 personnes pendant Jour pour un cout unitaire de 5$ par jour par personne, chaque année</t>
  </si>
  <si>
    <t>Fourniture de formation pour 80 participant pour un cout unitaire de 2,5$ (Carnet 1$, farde 1$, stylo 0,5$) une seule fois chaque année</t>
  </si>
  <si>
    <t>Frais de transport pour 80 personnes participant à la formation pendant 3 jours pour un coût journlaier de transport par pesronne de 5$, cahque année</t>
  </si>
  <si>
    <t xml:space="preserve">Aménager les sources simples </t>
  </si>
  <si>
    <t>Sources</t>
  </si>
  <si>
    <t>15 sources simples pour  30 Villages qui ont des sources non aménagées à raison de 1226,5 $ par source = 18 398,$. Identifiées dans la zone de santé de Rwanguba  apres evaluation rapide. 15 seront amenagées en 2022 ce cout unitaire de 1226,5$ est detaillé dans le devis en annexe en feulle de calcule.</t>
  </si>
  <si>
    <t xml:space="preserve">12 sources simples pour  30 Villages qui ont des sources non aménagées à raison de 1226,5 $ par source = 14 718,$. Ces sources ont été Identifiées dans la zone de santé de Rwanguba  apres evaluation rapide. 12 seront amenagées en deuxieme année du projet </t>
  </si>
  <si>
    <t xml:space="preserve">Réhabiliter les sources simples </t>
  </si>
  <si>
    <t>sources</t>
  </si>
  <si>
    <t>10 des sources simples à rehabilités  dans 18 villages en raison de 600$US par source qui fait le total de 6 000$. Apres evaluation rapide dans les Zones de santé de Rwanguba. Dont 10 sources seront rehabilitées en 2022. ce cout unitaire de 600$ est detaillé dans le devis en annexe en feulle de calcule.</t>
  </si>
  <si>
    <t>8 des sources simples à rehabilités  dans 8 villages en raison de 600$US par source qui fait le total de 4800$. Ces sources aurait été identifiées apres evaluation rapide dans les Zones de santé de Rwanguba.  8 sources endeuxieme année du projet</t>
  </si>
  <si>
    <t xml:space="preserve">Raccordement sur les adductions de MDF et  REGIDESO </t>
  </si>
  <si>
    <t>Raccordé</t>
  </si>
  <si>
    <t>Frais de rehabilitation des 3 adductions gravitaires en raison de 32 001 par adduction dont le total de 96 003$US pour   3  adductions en  1ere  année.  d'où 2 adductions dans la Zone de santé de Rwanguba et 1 dans la Zone de santé de Nyragongo qui sera connecté  au reseau d'adduction du projet Virunga for Watter  en plaine construction avec MDF et qui aura une extention dans les villages des aires de santé ciblées de la zone de santé de Nyiragongo , apres signature de MoU avec MDF;</t>
  </si>
  <si>
    <t>Frais de rehabilitation des 2 adductions gravitaires en raison de 32 001 par adduction dont le total de64 002US pour 2 adductions    à reseau 32 001$ par adduction.  d'où 1 adductions dans la Zone de santé de Rwanguba et 1 dans la Zone de santé de Nyragongo au reseau d'addiction en plane construction avec MDF et qui aura une extention dans les villages des aires de santé ciblées, apres signature de MoU avec MDF;</t>
  </si>
  <si>
    <t>Contruire les portes des latrines au niveau des complexes agricoles</t>
  </si>
  <si>
    <t>8 entrepots construits par PAM et FAO benefifieront pour chacun un bloc de 2 portes à raison de 1479$ par porte des latrines qui fait un total de 23 664$ pour 16 portes des latrines. Ces 16 portes des latrines  seront constuites en 2022. voir le devis en annexe.</t>
  </si>
  <si>
    <t>7 entrepots construits par PAM et FAO benefifieront pour chacun un bloc de 2 portes à raison de 1479$ par porte des latrines qui fait un total de20 707$ pour 14 portes des latrines.d'ou 14 portes en deuxieme anné du projet.</t>
  </si>
  <si>
    <t>Contruire les portes des douches au niveau des complexes agricoles</t>
  </si>
  <si>
    <t>8 entrepots construits par PAM et FAO benefifieront pour chacun un bloc de 2 portes des douches à raison de 1074.98$ par porte des douches qui fait un total de17 200$ pour 16 portes des douches. Dont 16 portes seront constuites en 2022. voir devis en annexe</t>
  </si>
  <si>
    <t>7 entrepots construits par PAM et FAO benefifieront pour chacun un bloc de 2 portes des douches à raison de 1074.98$ par porte des douches qui fait un total de 15 050$ pour 14portes des douches.14 portes des douches en deuxieme année du projet.</t>
  </si>
  <si>
    <t>Contruire les portes des latrines au niveau des marchès</t>
  </si>
  <si>
    <t>20 Marchés construits par PAM et FAO benefifieront pour chacun un bloc de 5 portes à raison de 1479$ par porte qui fait un total de 110 925$ pour 75 portes de latrines.</t>
  </si>
  <si>
    <t>5 Marchés construits par PAM et FAO benefifieront pour chacun un bloc de 5 portes à raison de 1479$ par porte qui fait un total de 36 975$ pour 25portes.</t>
  </si>
  <si>
    <t>Contruire les portes des latrines au niveau des centres d'alphabétisation</t>
  </si>
  <si>
    <t>11 centres d'al'alphabetisations beneficiaironts 22 portes de latrines à raison de 2portes F/H par centre qui fait un total de 32 538$. 22 portes de latrines seront construites en 2022, dans les SDE Nyiragongo 1 et 1 et Rutshuru1</t>
  </si>
  <si>
    <t>6 centres d'alphabetisations beneficiaironts 12 portes de latrines à raison de 2portes F/H par centre qui un total de 17 748$. Ces portes de latrine vont aider les adolescents qui sont dans les centres formations professionnelles de ne pas faire la defecation à l'aire libre</t>
  </si>
  <si>
    <t xml:space="preserve">Location camion de transport et matériaux </t>
  </si>
  <si>
    <t>benne/mois</t>
  </si>
  <si>
    <t xml:space="preserve">Frais de lacation comion pendant 5 mois à raison de 1500$ par mois pendant 6 mois= 1500x5mois =7500$ pour le transport de materiaux et materiels de construction  dans les differents chantiers. Le camion sera loué pendant 5mois en premiere année du projet  </t>
  </si>
  <si>
    <t>Frais de lacation comion pendant 5 mois à raison de 1500$ par mois pendant 5 mois= 1500x5=7500$ pour le transport de materiaux et materiels dans les differents chantiers de construction des ouvrages hydraulique et sanitaires.;</t>
  </si>
  <si>
    <t>villages/site</t>
  </si>
  <si>
    <t xml:space="preserve">Frais de chargement et dechrgemnt  des materiaux et materiels pour 30 sites à raison de 90$ par site qui fait le total de 2700$, pour  30 sites en 2022. </t>
  </si>
  <si>
    <t>Frais de chargemnet dechrgemnt  des materiaux et materiels pour 30 sites à raison de 90$ par site qui fait le total de 2700$, cette manutention va aider au transport des materiaux dans les site non accessibles par le vehucule/camion</t>
  </si>
  <si>
    <t>Appui aux communautés pour l'octroi des kits de cresement des latrines familliales</t>
  </si>
  <si>
    <t xml:space="preserve">Frais d'achat de 30 kits( beches, houx, bourouettes, barre à mine et pioches), pour la constructuction des latrines familliales et la gestion des dechets en raison de 162$US par kit, 30X162= 4860$US pour 30villages;.  </t>
  </si>
  <si>
    <t>Accompagner les ménages dans les activités de maintenance et durabilité du statut assaini de l'hygiene (lavage des mains, hygiène familiale, puisage, transport et utilisations d'eau potable…)</t>
  </si>
  <si>
    <t>Megaphones+ piles</t>
  </si>
  <si>
    <t>Frais pour l'achat des 30 megaphones seront achetés raison de 25$ par pièce avec 30lots de piles en raison de 10$ par lot qui fait  35$ (megaphones+piles), soit un total de 810 $ pour les 30mégaphones plus piles. 30 megaphones seront dotés dans 30 villages pour la 1ème année (2022)  en coordination avec la C4D</t>
  </si>
  <si>
    <t>Frais pour l'achat des 30 megaphones seront achetés raison de 25$ par pièce avec 30 lots de piles en raison de 10$ par lot qui fait  35$ (megaphones+piles), soit un total de 1050 $ pour les 30 mégaphones plus piles. 30 megaphones seront dotés dans 30 villages pour la 1ème année (2022)  en coordination avec la C4D</t>
  </si>
  <si>
    <t>Banderole avec message clé sur l'EHA et COVID 19</t>
  </si>
  <si>
    <t>Frais d'achat des 30 benderoles de 9m2, 1 par Village en raison de 250 $US par pièce qui fait le total de 7500 $US pour les 30 villages. 30 banderoles seront imprimées en 1ère année(2022) e, en coordination avec la C4D</t>
  </si>
  <si>
    <t>Frais d'achat des 30 benderoles de 9m2, 1 par Village en raison de 250 $US par pièce qui fait le total de 7500 $US pour les 30 villages. 30 banderoles seront imprimés en 1ère année(2022) , en coordination avec la C4D</t>
  </si>
  <si>
    <t xml:space="preserve">Organiser des focus groupes avec des représentantes des femmes et filles des communautés bénéficiaires pour bien prendre en compte leurs perspectives et leurs éventuels besoins spécifiques dans la mise en œuvre des services WASH  </t>
  </si>
  <si>
    <t>Frais de pause café de 182persones dont 6 participantsX30 villages. 2 facilitateurs par formations et 4 agentv de BCZ a raison de 2 agent par ZS.</t>
  </si>
  <si>
    <t>Frais de pause café de  182  personnes pour l'année 2023 dont   6 participantsX30 villages. 2 facilitateurs par formations et 4 agentvde BCZ a raison de 2 agent par ZS.</t>
  </si>
  <si>
    <t xml:space="preserve">Transport de 180 personnes/trimentres de  participants  femmes et filles+4 agents des BCZs Nyiragongo et Rwanguba)  30 village/ans, dont  6 pesonne dont 4 femmes et 2filles/villages. 4 agent des BCZ  pen dant 1jrs en raison de 5$US par particitant. 1jours de focus groups/village/trimenstre </t>
  </si>
  <si>
    <t>Transport de 180 personnes/trimenstres pour les  participants  femmes et filles+4 agents des BCZs Nyiragongo et Rwanguba)  30 village/an,  qui fait 6 pesonnes dont 4 femmes et 2filles/villages. 4 agent des BCZ  pen dant 1jrs en raison de 5$US par particitant. 1jours de focus groups/village/ans</t>
  </si>
  <si>
    <t>Constituer de façon paritaire et former les membres des comités du village sur la gestion de l'environnement assaini de facon globale dans le vilage (Gestion et maintenance des ponts d'eau, suvi de l'assainissement familiale, et  le programme de l'hygiene communautaires et personelle)</t>
  </si>
  <si>
    <t>Frais de fourniture pour les 210 persones  pour la 1ere anneee dont   7 membres de comité d'eau par village en raison de 2,5$ par participant ( Stylo, carnnet, ecritoire)</t>
  </si>
  <si>
    <t>Frais de fourniture pour les  210  personnes pour la 2eme anee dont   7 membres de comité d'eau par village en raison de 2,5$ par participant ( Stylo, carnnet, ecritoire)</t>
  </si>
  <si>
    <t>Frais de restauration de 210 persones  pour la 1ere anneee dont   7 membres de comités  d'eau par villagesX30 villages. 2 facilitateurs par formations et 4 agentvde BCZ a raison de 2 agent par ZS , 5 cohorte de formation pour avoir un corum de moins de  20 personnes/salle. 3 jours de foration/village/ans</t>
  </si>
  <si>
    <t>Frais de restauration de   210  personnes pour la 2eme anee)  7 membres de comités  d'eau par villagesX30 villages. 2 facilitateurs par formations et 4 agentvde BCZ a raison de 2 agent par ZS , 5 cohorte de formation pour avoir un corum de moins de  50 personnes/salle. 3 jours de foration/village/ans</t>
  </si>
  <si>
    <t>5 groupes de 42 personnes par salles /anne pour la formation des membres des comites d'eau a raisn de max 42 personnes. Cohorte de formation/ans.3 jours de formation/village/ans</t>
  </si>
  <si>
    <t>5 salles de locatiion/aanne pour la formation des membres des comites d'eau a raisn de max 42 perwsonnes. Cohorte de formstion/ans.3 jours de formation/village/ans</t>
  </si>
  <si>
    <t>Transport de 214 personnes/ans dont les  participants  membres par comité d'eau+4 agents des BCZs Nyiragongo et Rwanguba)  30 village/ans, 7 memmbre de comite/villages. 4 agent des BCZ  pen dant 3jrs en raison de 5$US par particitant. 3 jours de foration/village/ans</t>
  </si>
  <si>
    <t>Transport de 214 personnes/ans sont des participants  membres par comité d'eau+4 agents des BCZs Nyiragongo et Rwanguba)  30 village/ans, 7 memmbre de comite/villages. 4 agent des BCZ  pen dant 3jrs en raison de 5$US par particitant. 3 jours de foration/village/ans</t>
  </si>
  <si>
    <t>Mission de supervision pour les 3 personnes Caritas (1 chef de projet, 2 superviseurs techniques;</t>
  </si>
  <si>
    <t xml:space="preserve">Personnes/Jours/mois </t>
  </si>
  <si>
    <t xml:space="preserve">Frais de mission de services  des de 4 staffs Caritas dans les zones de santé (4 personnes/ans), chaque staff effectuera une mission de 10jours/mois  dont 100jrs par personne par mois en 2022  soit 50$ par jour par personnes  </t>
  </si>
  <si>
    <t xml:space="preserve">Frais de mission des services  des de 4 staffs Caritas dans les zones de santé (4 personnes/ans), chaque staff effectuera une mission de 10jours d'ou 90 jours/prs/mois soit 50$ par jour par personnes  </t>
  </si>
  <si>
    <t>Organiser dans les ZS les journees evementielles dans le secteur d'EHA avec les Villages des zones de sante rurales de RWANGUBA et Nyiragongo</t>
  </si>
  <si>
    <t>Célébration de la Journée mondiale de l'eau dans la zone de sante de Rwanguba et Nyiragongo:  JME: 22 Mars 2023</t>
  </si>
  <si>
    <t>Reproduction des banderolles VA/CSA</t>
  </si>
  <si>
    <t>banderoles</t>
  </si>
  <si>
    <t>4 manderoles( 2 dans la ZS de Nyiragongo et 2 dans la ZS de Rwanguba ) seront imprimés avec message clé de la journée mondiale de l'eau et la visibilité du projet resilience dans les ZS de Nyiragongo et Rwanguba</t>
  </si>
  <si>
    <t>Location équipement de sonorisation</t>
  </si>
  <si>
    <t>pces</t>
  </si>
  <si>
    <t>Les equipements des sonorisation seront loué dans 2 zones de santé pour agrementer la journée mondiale de l'eau.</t>
  </si>
  <si>
    <t>Organisation des jeux concours avec remise des prix aux CS sur la connaissance des notions basiques de la PCI par les prestataires des soins.</t>
  </si>
  <si>
    <t>Concours</t>
  </si>
  <si>
    <t>les prix seront de  650$ seront donnés pour les 5 meilleurs aux jeux de concours sur les notions de PCI  par les prestatiares soins dans les CS;</t>
  </si>
  <si>
    <t>Organisation des jeux concours avec remise des prix aux villages sur la connaissance des notions basiques de la conservation et l'utilisation de l'eau propre dans les village.</t>
  </si>
  <si>
    <t xml:space="preserve">Célébration de la Journée mondiale des toilettes: 19 nov 2022 et 19 nov 2023 dans la ZS Nyiragongo et Rwanguba/ Aire de sante </t>
  </si>
  <si>
    <t>banderolle</t>
  </si>
  <si>
    <t>12 manderoles( 6 dans la ZS de Nyiragongo en 2022 et 6 dans la ZS de Rwanguba en 2023 et  ) seront imprimés avec message clé de la journée mondiale de toilette  et la visibilité du projet resilience dans les ZS de Nyiragongo et Rwanguba</t>
  </si>
  <si>
    <t>4 manderoles( 2 dans la ZS de Nyiragongo en 2022 et 2 dans la ZS de Rwanguba   ) seront imprimés avec message clé de la journée mondiale de toilette  et la visibilité du projet resilience dans les ZS de Nyiragongo et Rwanguba</t>
  </si>
  <si>
    <t>Les equipements des sonorisation seront loué dans 2 zones de santé pour agrementer la journée mondiale de toilette.</t>
  </si>
  <si>
    <t>Organisation des jeux concours avec remise des prix aux villages sur la connaissance des notions basiques critiques de lavage des mains dans les villages.</t>
  </si>
  <si>
    <t>Enrichir les plans d'actions communautaires des CAC dans les villages ciblés par WASH avec les membres des comités d'eau et organiser les activités de sensibilisation de masse et inter personnelle sur les voies de transmission des maladies diarrhéiques et les moyens de prévention (sensibilisation de masse et inter personnelle)</t>
  </si>
  <si>
    <t>Fourniture de  formation lors de l'enrichissement des activités de communication des PAC des CAC des villages ciblées par WASH</t>
  </si>
  <si>
    <t xml:space="preserve">Frais des fourntures pour les 240  participants en raison de 2,5$ par participant dont 8 membres de comité par village ( Stylo, carnnet, ecritoire) ; 8 membres par comité par village WASH pour 30 villages l'année 1: 240 pour la 1 ere annés </t>
  </si>
  <si>
    <t xml:space="preserve">Frais des fourntures pour les 240  participants en raison de 2,5$ par participant dont 8 membres de comité par village ( Stylo, carnnet, ecritoire) ; 8 membres par comité par village WASH pour 30 villages l'année 1: 240 pour la 2 eme année </t>
  </si>
  <si>
    <t>Wash</t>
  </si>
  <si>
    <t>Resstauration+pause café lors de l'enrichisement des activités de communication des PAC des CAC des villages ciblées par WASH</t>
  </si>
  <si>
    <t>jrs</t>
  </si>
  <si>
    <t xml:space="preserve">8 membres de comités de villages pour 30 comités par année , 2 facilitateurs CARITAS,2 Facilitateurs REMED et 2 de BCZ en raison de 7$US par participants dant 2$ pour la pause café et 5$ pour le repas. </t>
  </si>
  <si>
    <t>Location salle lors de l'enrichisement des activités de communication des PAC des CAC des villages ciblées par WASH</t>
  </si>
  <si>
    <t>Frais location salle en raison de 50$US/jr pendant 2 jrs. Les salles pouvant contenir 20 personnes pour le respect de geste barriere</t>
  </si>
  <si>
    <t>Transport des participants lors de l'enrichisement des activités de communication des PAC des CAC des villages ciblées par WASH</t>
  </si>
  <si>
    <t>prs</t>
  </si>
  <si>
    <t xml:space="preserve">Frais de transport pour 240 participants et 2 membre de BCZ  en raison de 5$US par  personne </t>
  </si>
  <si>
    <t>Frais d'achat des 60 banderoles de 9m2, 1 par Village en raison de 250 $US par pce qui fait le total de 15 000 $US pour les 30 villages WASH pour la premiere année</t>
  </si>
  <si>
    <t>Frais d'achat des 60 banderoles de 9m2, 1 par Village en raison de 250 $US par pce qui fait le total de 15 000 $US pour les 30 villages. 30 autres en 2 eme année( 2023)</t>
  </si>
  <si>
    <t>Affiche  portant des messages clé sur l'EHA à mettre dans les écoles,église,FOSA,entrepot ,marchés,…</t>
  </si>
  <si>
    <t>Frais d'achat des 3000 affiches à raison de 5$ par affiche qui fait le total de 30 000 $US pour 30 villages WASH; 3000 affiches pour 30 villages pour la 1 ere année</t>
  </si>
  <si>
    <t>Frais d'achat des 3000 affiches à raison de 5$ par affiche qui fait le total de 30 000 $US pour 30 villages WASH; 3000 affiches pour 30 villages pour la 2 eme année</t>
  </si>
  <si>
    <t>Megaphone+ piles</t>
  </si>
  <si>
    <t>Pour mémoire voir la ligne mégaphone activité Mise en place des CAC</t>
  </si>
  <si>
    <t xml:space="preserve">19 participants :16 JPF + 3 Facilitateurs de la formation; chacun aura droit à  3$ de pause-café </t>
  </si>
  <si>
    <t>Harmoniser cout Pause café et repas</t>
  </si>
  <si>
    <t xml:space="preserve">La formation aura lieu à Goma. Ces montants sont les limites prévues par les couts harmonisés. </t>
  </si>
  <si>
    <t xml:space="preserve">19 participants :16 JPF + 3 Facilitateurs de la formation; chacun aura droit à  8$ de pause-repas </t>
  </si>
  <si>
    <t>4 Facilitateurs hors projet/jour</t>
  </si>
  <si>
    <t xml:space="preserve">Frais de transport des participant de NYIRAGONGO </t>
  </si>
  <si>
    <t>Frais de transport en faveur des participants de Nyiragongo ( 6 Participant provenant de 3 Radios selectionnées couvrant la ZS de NYIRAGONGO)</t>
  </si>
  <si>
    <t>DSA en faveur des journalistes en provenance de RWANGUBA vers GOMA</t>
  </si>
  <si>
    <t>Frais de DSA en faveur des 10 participants en provenance de RWANGUBA. Le frais d'une nuitée s'eleve à 64$ dans la ville, selon le nouveau bareme.</t>
  </si>
  <si>
    <t>Frais de transport aller et retour des 10 participants en provenance de RWANGUBA vers GOMA</t>
  </si>
  <si>
    <t>Frais de transport aller et retour en faveur des 10 journaliste en provenance de RWANGUBA</t>
  </si>
  <si>
    <t>300$/11 mois de diffusion pour 8 Radios</t>
  </si>
  <si>
    <t>Production des Magazines Réponse aux feedbacks</t>
  </si>
  <si>
    <t>Magazines</t>
  </si>
  <si>
    <t>8 Magazines/ mois/ pendant 10 mois.( 1 Magazine par mois par radio pour 8 Radios)</t>
  </si>
  <si>
    <t>8 Magazines/ mois/ pendant 9 mois.( 1 Magazine par mois par radio pour 8 Radios)</t>
  </si>
  <si>
    <t>Production des émissions sur le WASH,l'EDUCATION,la NUTRITION et la SANTE  (PEV de routine,santé mere et enfants,réponse urgence sanitaire:cholera,VIH,covid,…)</t>
  </si>
  <si>
    <t>4 Emissions/ mois/ pendant 10 mois.( 1 émission par mois par radio pour 8 Radios)</t>
  </si>
  <si>
    <t>4 Emissions/ mois/ pendant 9 mois.( 1 émission par mois par radio pour 8 Radios)</t>
  </si>
  <si>
    <t>4.6.1</t>
  </si>
  <si>
    <t>PSEA, Gender and Protection advisor</t>
  </si>
  <si>
    <t>Au-delà de la formation le PSEA and Protection Advisor va coordonner toutes les activités PSEA, VBG</t>
  </si>
  <si>
    <t>4.6.2</t>
  </si>
  <si>
    <t>Faire signer le code de conduite sur les VBG, Gender et PSEA par les acteurs impliqués dans la gestion du projet</t>
  </si>
  <si>
    <t>Faire signer le code de conduite par les parties prenantes du projet</t>
  </si>
  <si>
    <t xml:space="preserve">Cette activité n'a pas de coût </t>
  </si>
  <si>
    <t>4.7.1</t>
  </si>
  <si>
    <t>Mettre les affiches PSEA contenant les informations sur les actes proscrites et les mécanismes de plainte dans tous les sites du projet</t>
  </si>
  <si>
    <t>Production des affiches</t>
  </si>
  <si>
    <t>4040 affiches seront distribuées et accrochées dans les lieux où se déroule le projet - (10 pour chaqu'une des 404 communautés)  Chaque affiche sera produite à un coût de 1 $ par affiche.</t>
  </si>
  <si>
    <t>4.7.2</t>
  </si>
  <si>
    <t xml:space="preserve">Identifier ou mettre en place des mécanismes de feedback et de plainte, y compris de signalement d’exploitations et d'abus sexuels (téléphone, courriel, mécanismes communautaires surtout en personne, ou autre). </t>
  </si>
  <si>
    <t>Fabrication des boites à suggestions et plaintes</t>
  </si>
  <si>
    <t>404 boîtes achetées. 1 pour chacune des 404 communautés ciblées par le projet. Toutes les boîtes seront achetées au cours de la première année</t>
  </si>
  <si>
    <t>Identification parmi les membres des CAC des points focaux VBGS dans les villages cibles/</t>
  </si>
  <si>
    <t>Location salle 6</t>
  </si>
  <si>
    <t xml:space="preserve">Un total de 292 personnes seront formées anne 1 (2 de chaqun des 146 villages cible). Un total de 516 personnes seront formées anne 2 (2 de chaqun des 258 villages cible).Les formations se dérouleront dans le cadre de 6 et 11 (annee 1 et 2) ateliers comprenant chacun 50 personnes. Chaque atelier durera une journée.  </t>
  </si>
  <si>
    <t>Pause repas 292</t>
  </si>
  <si>
    <t>Frais de remboursement transport</t>
  </si>
  <si>
    <t>frais- de facilitation 2</t>
  </si>
  <si>
    <t xml:space="preserve">2 animateurs par jour x 6 jours (annee 1) et 11 jours (annee 2) de formation à un coût de 12,5 $ par personne par jour </t>
  </si>
  <si>
    <t>Fournitures Kit</t>
  </si>
  <si>
    <t>4.7.3</t>
  </si>
  <si>
    <t>Assurer une large dissémination des informations, outils de communication sur les PEAS et mécanismes de plainte disponibles auprès des bénéficiaires.</t>
  </si>
  <si>
    <t>Production des spots en langue locale</t>
  </si>
  <si>
    <t>5 spots à produire pendant toute la durée du projet, 1 spot à 80 $</t>
  </si>
  <si>
    <t>Diffusion des spots</t>
  </si>
  <si>
    <t>2 radios partenaires X  8 mois X 250 $ par radio par mois</t>
  </si>
  <si>
    <t>Production des depliants en langue locale</t>
  </si>
  <si>
    <t xml:space="preserve">8000 dépliants seront distribués au coût de 0.5$ chacun. </t>
  </si>
  <si>
    <t>4.8.1</t>
  </si>
  <si>
    <t>Organiser une évaluation de base dans les aires de santé ciblées par le projet pour la mise en place de l'approche Washindi</t>
  </si>
  <si>
    <t xml:space="preserve">Perdiem  des enquêteurs </t>
  </si>
  <si>
    <t>30$ de frais de séjour pour 8 enquêteurs pendant 6 jours</t>
  </si>
  <si>
    <t>35$ d'honnoraires pour 8 enquêteurs pendant 6 jours</t>
  </si>
  <si>
    <t>20$ de frais de transport pour 8 enquêteurs pendant 6 jours</t>
  </si>
  <si>
    <t>10$ pour crédit téléphonique et unité Internet pour l'envoi des données pour chacun des 8 enquêteurs et 20$ pour le coordinateur de l'enquête</t>
  </si>
  <si>
    <t>Photocopie des outils de formation et de l'enquête</t>
  </si>
  <si>
    <t>4.8.2</t>
  </si>
  <si>
    <t>Organiser des missions d'identification des facilitateurs communautaires  autour des formations sanitaires</t>
  </si>
  <si>
    <t xml:space="preserve">Perdiem équipe </t>
  </si>
  <si>
    <t>Perdiem pour 2 personnes identificatrices pendant 16 jours (2 jours pour chacune des 8 aires de santé ciblées)</t>
  </si>
  <si>
    <t xml:space="preserve">Carte </t>
  </si>
  <si>
    <t xml:space="preserve">5 cartes de crédits de 10$ chacune des 2 missionnaires et le Coordinateur. </t>
  </si>
  <si>
    <t xml:space="preserve">Transport local </t>
  </si>
  <si>
    <t xml:space="preserve">Location de 2 motos pendant 16 jours </t>
  </si>
  <si>
    <t>4.8.3</t>
  </si>
  <si>
    <t>1 salle pendant 6 jours</t>
  </si>
  <si>
    <t>33 participants pendant 6 jours</t>
  </si>
  <si>
    <t xml:space="preserve">2 personnes pendant 6 jours de formation </t>
  </si>
  <si>
    <t>4.8.4</t>
  </si>
  <si>
    <t>1 salle pendant 3 jours</t>
  </si>
  <si>
    <t>25 personnes pendant 3 jours dont 24 prestataires, 1 cadre ECZ)</t>
  </si>
  <si>
    <t xml:space="preserve">2 personnes pendant 3 jours de formation </t>
  </si>
  <si>
    <t>4.8.5</t>
  </si>
  <si>
    <t>Conduire 16 séances de sensibilisations communautaires sur l'approche WASHINDI pour la transformation des normes sociales</t>
  </si>
  <si>
    <t>1$ pour chacun des 20 participants à 16 séances (8 avec les femmes et 8 avec les hommes)</t>
  </si>
  <si>
    <t>25$ pour location de salle pour chacune des 16 séances</t>
  </si>
  <si>
    <t>Transport de 32 facilitateurs communautaires pour 16 séances (8 avec les femmes et 8 avec les hommes)</t>
  </si>
  <si>
    <t>4.8.6</t>
  </si>
  <si>
    <t xml:space="preserve">32 facilitateurs et facilitarices reçoivent 5$ comme frais de transport pendant 10 jours pour identifier dans  les participants et former 16 groupes de discussions (8 pour les femmes et 8 pour les hommes) </t>
  </si>
  <si>
    <t>4.8.7</t>
  </si>
  <si>
    <t>Organiser 48 séances de discussion à travers les groupes des femmes</t>
  </si>
  <si>
    <t>Casse croute des participants</t>
  </si>
  <si>
    <t>1$ pour chacun des 15 participants aux 48 séances (6 pour chacun des 8 des groupes de femmes)</t>
  </si>
  <si>
    <t>2 facilitatrices communautaires reçoivent chacun 5$ pour transport pour chacune des 48 séances (6 pour chacun des 8 des groupes de femmes)</t>
  </si>
  <si>
    <t>2 facilitatrices communautaires reçoivent chacun 10$ comme frais de facilitation pour chacune des 48 séances (6 pour chacun des 8 des groupes de femmes)</t>
  </si>
  <si>
    <t>4.8.8</t>
  </si>
  <si>
    <t>2$ pour chacun des 15 participants aux 48 séances (6 pour chacun des 8 des groupes de hommes)</t>
  </si>
  <si>
    <t>2 faciliateurs communautaires reçoivent chacun 5$ pour transport pour chacune des 48 séances (6 pour chacun des 8 des groupes de hommes)</t>
  </si>
  <si>
    <t>2 faciliateurs communautaires reçoivent chacun 10$ comme frais de facilitation pour chacune des 48 séances (6 pour chacun des 8 des groupes de hommes)</t>
  </si>
  <si>
    <t>4.8.9</t>
  </si>
  <si>
    <t>2 faciliateurs/trices communautaires reçoivent chacun 5$ pour transport pour chacune des 48 séances (6 pour chacun des 8 des groupes de hommes)</t>
  </si>
  <si>
    <t>4.8.10</t>
  </si>
  <si>
    <t>Appuyer  48 séances de discussion à travers les CPN, CPS</t>
  </si>
  <si>
    <t xml:space="preserve">Transport des facilitateurs et facilitatrices </t>
  </si>
  <si>
    <t>4.8.11</t>
  </si>
  <si>
    <t>Organiser 8 ateliers de clôture des groupes de discussions communautaires/partage des témoignages de changement dans les relations hommes, femmes et socialisation des enfants filles et garçons dans les ménages bénéficiaires</t>
  </si>
  <si>
    <t>8 ateliers de cloture sont organisés dans les communautés dont 1 par aire de santé.</t>
  </si>
  <si>
    <t>10$ de crédit téléphonique pour la coordination de chacun des 8 ateliers</t>
  </si>
  <si>
    <t xml:space="preserve">Distribution des invitations </t>
  </si>
  <si>
    <t>Frais pour la multiplication et le transport lors de la distribution des invitations par les 2 facilitateurs de chacun des 8 groupes</t>
  </si>
  <si>
    <t>50 T-shits pour les participants lors de la cloture</t>
  </si>
  <si>
    <t>4.8.12</t>
  </si>
  <si>
    <t xml:space="preserve">Transport des participants lors réunions d'apprentissage  coordination </t>
  </si>
  <si>
    <t>Réunions d'apprentissage de la mise en œuvre et des resultats entre les staffs de gestion du programme er quelques facilitateurs à la coordination</t>
  </si>
  <si>
    <t xml:space="preserve">Eau pour les participants lors réuions d'apprentissage  coordination </t>
  </si>
  <si>
    <t>carton</t>
  </si>
  <si>
    <t xml:space="preserve">Transport des participants sessions d'apprentissage  communautaire </t>
  </si>
  <si>
    <t xml:space="preserve">Sessions de partage et d'apprentissage entre les facilitateurs et facilitatrices au niveau communautaire </t>
  </si>
  <si>
    <t xml:space="preserve">55$ de perdiem pour 3 jours par suivi pour 2 personnes et pour 3 missions pendant la durée du projet </t>
  </si>
  <si>
    <t xml:space="preserve">55$ de perdiem la personne charge de la recherche et apprentissage pendant 8 jours (1 journée par aire de santé) pour trianguler les informations, utiliser les données des rappports, les sessions d'apprentissage, et aller vers certains bénéficiaires pour récueillir les changements les plus singificatifs et prendre des photos des bénéficiaires </t>
  </si>
  <si>
    <t>4.8.13</t>
  </si>
  <si>
    <t>Chargé de projet (100%)</t>
  </si>
  <si>
    <t>Le chargé de projet assure la coordination de toutes les activités au nom de Ghovodi et sous la gestion de World Vision</t>
  </si>
  <si>
    <t>Les superviseurs terrain veillent au bon déroulement des activités au niveau des aires de santé ciblées sous la supervision du chargé de projet</t>
  </si>
  <si>
    <t>Activité 5.1.1</t>
  </si>
  <si>
    <t>Renforcer la participation et l’engagement des Autorités Politico-Administratives-APA (Chef des villages/chef adjoints) et influenceurs/leaders des groupes spécifiques dans la mise en œuvre de la dynamique communautaire (CAC, CODEV ET CEC) dans les villages ciblés dans les Zones de santé de NYIRAGONGO et RWANGUBA</t>
  </si>
  <si>
    <t>Pause café à Nyiragongoet à Rwanguba</t>
  </si>
  <si>
    <t>177 participants : 146 Chefs de villages , 15 Influenceurs, 16 facilitateurs chacun aura droit à  2$ de pause-café</t>
  </si>
  <si>
    <t>300 participants : 258 Chefs de villages , 16 Influenceurs, 26 facilitateurs chacun aura droit à  2$ de pause-café</t>
  </si>
  <si>
    <t xml:space="preserve">177 participants : 146 Chefs de villages , 15 Influenceurs, 15 facilitateurs  chacun aura droit à  5$ de pause-repas </t>
  </si>
  <si>
    <t xml:space="preserve">300 participants : 258 Chefs de villages , 16 Influenceurs, 26 facilitateurs   chacun aura droit à  5$ de pause-repas </t>
  </si>
  <si>
    <t xml:space="preserve">Location de 8 salles (pour 20 personnes par salle à Nyiragongo et à Rwanguba) </t>
  </si>
  <si>
    <t xml:space="preserve">Location de 13 salles (pour 20 personnes par salle à Nyiragongo et à Rwanguba) </t>
  </si>
  <si>
    <t>Frais de transport des participants à Nyiragongo et Rwanguba</t>
  </si>
  <si>
    <t>Frais de transport en faveur des participants (161 participants: 146 Chefs des villages  et 15 Influenceurs</t>
  </si>
  <si>
    <t>Frais de transport en faveur des participants /pour 274 participants : 258 Chefs de villages , 16 Influenceurs.</t>
  </si>
  <si>
    <t xml:space="preserve">16 Facilitateurs hors projet pourr les 8 salles dans les 2 zones de santé (Rwanguba et Nyiragongo) </t>
  </si>
  <si>
    <t xml:space="preserve">26 Facilitateurs hors projet pourr les 13 salles dans les 2 zones de santé (Rwanguba et Nyiragongo) </t>
  </si>
  <si>
    <t>Activité 5.1.2</t>
  </si>
  <si>
    <t>Formation des leaders locaux (LC) sur la bonne gestion de la durabilité des ouvrages hydrauliques et sanitaires</t>
  </si>
  <si>
    <t>il s'agit d'une formations des leaders locaux dont 1 chef par village, 1 fontenier de chaque village, 1 secretaire chavillage, 1 president de comité de gestion des ouvrages hydrauliques, 1 agent SNHR, 2 agents CARITAS, 4agents BCZ, 1 reprentant des IT dans 30 villages de la premiere Année qui fait le total de 128 participants à la formation de 4jours qui vont beneficier la pause café</t>
  </si>
  <si>
    <t>il s'agit d'une formations des leaders locaux dont 1 chef par village, 1 fontenier de chaque village, 1 secretaire chavillage, 1 president de comité de gestion des ouvrages hydrauliques, 1 agent SNHR, 2 agents CARITAS, 4agents BCZ, 1 reprentant des IT dans 30 villages de la premiere Année qui fait le total de 128 participants à la formation de 4jours qui vont beneficier la pause repas</t>
  </si>
  <si>
    <t>il s'agit d'une formations des leaders locaux dont 1 chef par village, 1 fontenier de chaque village, 1 secretaire chavillage, 1 president de comité de gestion des ouvrages hydrauliques,  dans 30 villages de la premiere Année qui fait le total de 120 participants à la formation de 4jours qui vont beneficier la pause repas</t>
  </si>
  <si>
    <t xml:space="preserve">il s'agit d'une formations des leaders locaux qui va regrouper les participants en 6 groupes de formation regroupés dans 6 salles de formation pendant 4 jours </t>
  </si>
  <si>
    <t>il s'agit d'une formations des leaders locaux dont 1 chef par village, 1 fontenier de chaque village, 1 secretaire chavillage, 1 president de comité de gestion des ouvrages hydrauliques,  qui fait 4personnes par villageX 30 villagesX4jours qui vont beneficier les frais de transport.</t>
  </si>
  <si>
    <t xml:space="preserve">Frais fournitures (Kit -Stylos et blocs notes)pour les participants à la formation à raison de 2,5 par personne par fourniture pour 120 participants à la formation </t>
  </si>
  <si>
    <t>Prime des facilitateurs locaux pour 22 jours d'accompagnement dans la prospection des ouvrages hydrauliques.</t>
  </si>
  <si>
    <t xml:space="preserve">Frais de facilitation pour les  facilitateurs locaux  pendant la prospection des ouvrages hydraulique pendans 22 jours </t>
  </si>
  <si>
    <t>Activité 5.2.1</t>
  </si>
  <si>
    <t>Contribuer à la formation des (ECZ, IT/ITA….) sur la NAC</t>
  </si>
  <si>
    <t xml:space="preserve">Pause café (12personnes de ECZ, 30 IT/ITA,  2 personnes Pronanut, 2 personnes WV et 2 personnes de REMED) </t>
  </si>
  <si>
    <t>Pause café pour 49 personnes dont  (12personnes de ECZ, 31 IT/ITA,  2 personnes Pronanut, 2 personnes WV et 2 personnes de REMED)  pendant 2 jours chaque année</t>
  </si>
  <si>
    <t xml:space="preserve">Pause repas (12personnes de ECZ, 30 IT/ITA,  2 personnes WV et 2 personnes de REMED) </t>
  </si>
  <si>
    <t>Pause Repas pour 49 personnes dont  (12personnes de ECZ, 31 IT/ITA,  2 personnes Pronanut, 2 personnes WV et 2 personnes de REMED)  pendant 2 jours chaque année</t>
  </si>
  <si>
    <t>2 salles à louer pendant 2 jours , chaque année</t>
  </si>
  <si>
    <t>Frais de transport  pour 43 personnes dont  (12personnes de ECZ, 31 IT/ITA, )  pendant 2 jours chaque année</t>
  </si>
  <si>
    <t>Emolument formateurs du Pronanut</t>
  </si>
  <si>
    <t>Emoluments Formateurs pendant 4 jours de formation, y compris les voyages aller retour chaque année</t>
  </si>
  <si>
    <t>DSA des formateurs Pronanut</t>
  </si>
  <si>
    <t>DSA Formateurs pendant 5 jours de formation y compris les voyages aller retour et 1 jour preparation cahque année</t>
  </si>
  <si>
    <t>Kit pour 47 participants dont 12personnes de ECZ, 31 IT/ITA,   2 personnes WV et 2 personnes de REMED</t>
  </si>
  <si>
    <t>Activité 5.2.2</t>
  </si>
  <si>
    <t>Soutenir la formation de 50 formateurs en éducation à la paix (2 proved, 2 sous-provised, 2 IPP, 2 IPPAF, 2 PF, 36 inspecteurs et 4 coordinateurs)</t>
  </si>
  <si>
    <t>Lieux de formation - à réaliser en 2 lieux en raison des protocoles COVID-19 (30 $/ lieu)</t>
  </si>
  <si>
    <t>Location de 50$ par jour pendant 3 jours  pour un site de formation chaque année</t>
  </si>
  <si>
    <t xml:space="preserve">Pausse Café </t>
  </si>
  <si>
    <t>Pause café des 25 particpants  par formation pedant 3 jours  chaque année</t>
  </si>
  <si>
    <t>Repas pour les participants à la formation</t>
  </si>
  <si>
    <t>Pause repas des 25 particpants  par formation pedant 3 jours  chaque année</t>
  </si>
  <si>
    <t xml:space="preserve">Matériel de formation pour les participants principaux </t>
  </si>
  <si>
    <t>founiture de formation par participant pour 25 participants une seule fois chaque année</t>
  </si>
  <si>
    <t>Frais de transport pour les participants principaux</t>
  </si>
  <si>
    <t>Frais de transport journalier pour 25 participants pendant les 3 jours de formation chaque année</t>
  </si>
  <si>
    <t>Impression de modules d'éducation à la paix pour 50 participants principaux et 4 facilitateurs - formation des formateurs</t>
  </si>
  <si>
    <t>faris d'Impression de modules d'éducation à la paix pour 25 participants principaux et 2 facilitateurs - formation des formateurs chaque année</t>
  </si>
  <si>
    <t>Activité 5.2.3</t>
  </si>
  <si>
    <t>Former les membres des Equipes cadre des Zones de santé(ECZ), les représentants de sous-divisions éducationnelles, les Infirmiers Titulaires(IT), les Infirmiers Titulaires Adjoints(ITA) et les superviseurs de proximité sur la dynamique communautaire et la gestion des urgences au niveau communautaire dans les secteurs WASH, EDUCATION et NUTRITION, le Genre et la prévention des VBG et AES</t>
  </si>
  <si>
    <t>2USD par participant pour la pause café pour 75  participants pour l'année 1(10 Membres ECZS,15 IT ,15 ITA ,31 Sup de proximité,4 Sous division)</t>
  </si>
  <si>
    <t>2USD par participant pour la pause café pour 77  participants pour l'année 1(10 Membres ECZS,16 IT ,16 ITA ,31 Sup de proximité,4 Sous division)</t>
  </si>
  <si>
    <t xml:space="preserve">5USD par participant pour la pause repas pour 75  participants pour l'année 1(10 Membres ECZS,15 IT ,15 ITA ,31 Sup de proximité,4 Sous division) </t>
  </si>
  <si>
    <t xml:space="preserve">5USD par participant pour la pause repas pour 77  participants pour l'année 1(10 Membres ECZS,16IT ,16 ITA ,31 Sup de proximité,4 Sous division) </t>
  </si>
  <si>
    <t>Location salle à Nyiragongo et à Rwanguba ( 2 Salle pour l'année 1)</t>
  </si>
  <si>
    <t>Location salle à Nyiragongo et à Rwanguba ( 2 Salle pour l'année 2)</t>
  </si>
  <si>
    <t xml:space="preserve">75  participants pour l'année 1(10 Membres ECZS,15 IT ,15 ITA ,31 Sup de proximité,4 Sous division) </t>
  </si>
  <si>
    <t xml:space="preserve">77  participants pour l'année 1(10 Membres ECZS,16 IT ,16 ITA ,31 Sup de proximité,4 Sous division) </t>
  </si>
  <si>
    <t>DSA des experts de la PNCPS/DPS et TASK FORCE lors de la formation des formateurs</t>
  </si>
  <si>
    <t xml:space="preserve">359 USD par superviseur pour 10 mois </t>
  </si>
  <si>
    <t>Activité 5.2.4</t>
  </si>
  <si>
    <t>Organisation d'ateliers de mise à jour des plan de préparation aux urgences basés sur l'analyse de risques et identification des points focaux alerte par village au niveau de la ZS de RWANGUBA et NYIRAGONGO</t>
  </si>
  <si>
    <t>128  participants pour l'année 1(16 Membres ECZS,31 IT ,31 ITA ,31 APA,31 PRESICODESA , 4 Sous division )</t>
  </si>
  <si>
    <t>128  participants pour l'année 2(16 Membres ECZS,31 IT ,31 ITA ,31 APA,31 PRESICODESA , 4 Sous division )</t>
  </si>
  <si>
    <t>Location salle à Nyiragongo et à Rwanguba ( 2 Salle pour l'année 1 )</t>
  </si>
  <si>
    <t>Location salle à Nyiragongo et à Rwanguba ( 2 Salle pour l'année 2 )</t>
  </si>
  <si>
    <t>Frais de transport de 128  participants pour l'année 1(16 Membres ECZS,31 IT ,31 ITA ,31 APA,31 PRESICODESA , 4 Sous division )</t>
  </si>
  <si>
    <t>Frais de transport de 128  participants pour l'année 2(16 Membres ECZS,31 IT ,31 ITA ,31 APA,31 PRESICODESA , 4 Sous division )</t>
  </si>
  <si>
    <t>Frais de facilitation des experts du Groupe de travail sur la Réponse Rapide GTRR, la DPS et TASK FORCE lors de la formation des formateurs</t>
  </si>
  <si>
    <t>3 staff du projet et 5 experts du/de: Groupe de travail sur la Réponse Rapide GTRR, la DPS et TASK FORCE lors de la formation des formateurs</t>
  </si>
  <si>
    <t>Activité 5.2.5</t>
  </si>
  <si>
    <t>Mettre en place/redynamiser les mécanismes de veille communautaire au niveau des zones de santé ciblées</t>
  </si>
  <si>
    <t>Former les points focaux des villages sur l'utilisation des outils de veille communautaire humanitaire dans les Zones de santé de NYIRAGONGO et RWANGUBA</t>
  </si>
  <si>
    <t xml:space="preserve">146  participants pour l'année 1 </t>
  </si>
  <si>
    <t>258  participants pour l'année 2</t>
  </si>
  <si>
    <t>Location salle de 20 personnes à Nyiragongo et à Rwanguba ( 7 Salle pour l'année 1)</t>
  </si>
  <si>
    <t>Location salle de 20 personnes à Nyiragongo et à Rwanguba ( 13 Salle pour l'année 2)</t>
  </si>
  <si>
    <t>146  participants pour l'année 1</t>
  </si>
  <si>
    <t>Frais de facilitation des ECZ et IT déjà formé sur le mechanisme de veille communautaire</t>
  </si>
  <si>
    <t xml:space="preserve">2 Facilitateurs par salle pour 7 salle année 1 </t>
  </si>
  <si>
    <t>3 Facilitateurs par salle pour 13 salle année 2</t>
  </si>
  <si>
    <t>3 experts du Groupe de travail sur la Réponse Rapide GTRR, la DPS et TASK FORCE pour supervision des activités de formation réalisées par les ECZ et IT</t>
  </si>
  <si>
    <t>Appuyer les points focaux des villages avec les outils de veille humanitaire dans les Zones de santé de NYIRAGONGO et RWANGUBA</t>
  </si>
  <si>
    <t xml:space="preserve">DSA pour le groupe de travaille GTRR pour des missions d'ERM en cas d'alerte prioritaire </t>
  </si>
  <si>
    <t>DSA des missions en cas d'alerte prioritaire (5 personnes du GTRR pendant 5 jours par trimestre)</t>
  </si>
  <si>
    <t>Location vehicule pour les missions en cas d'alerte prioritaire ( 5 jours par trimestre)</t>
  </si>
  <si>
    <t>20 personnes par seance /Mois / AS (31 AS)</t>
  </si>
  <si>
    <t>Activité 5.2.6</t>
  </si>
  <si>
    <t>Location motos pour les 2 BCZS</t>
  </si>
  <si>
    <t>Moto</t>
  </si>
  <si>
    <t>Forfait de 20$ comme frais d'entretien par moto X 6 motos mpar mois, avec 10 mois année 1 et 9 mois Année 2</t>
  </si>
  <si>
    <t>Forfait de 20$ comme frais d'entretien par moto X 6 motos mpar mois, avec 11 mois année 1 et 9 mois Année 2</t>
  </si>
  <si>
    <t>Ce cout doit etre revu a la baisse</t>
  </si>
  <si>
    <t>Réajusté sur les couts harmonisés. Merci !</t>
  </si>
  <si>
    <t>Carburant Essence</t>
  </si>
  <si>
    <t>Litre Essence</t>
  </si>
  <si>
    <t>20 Litres de acrburant par moto louée x 6 motos à louer mensuellement, avec 10 mois année 1 et 9 mois Année 2</t>
  </si>
  <si>
    <t>20 Litres de acrburant par moto louée x 6 motos à louer mensuellement, avec 11 mois année 1 et 9 mois Année 2</t>
  </si>
  <si>
    <t>Entretien Moto</t>
  </si>
  <si>
    <t>Perdiem des agents de suivi</t>
  </si>
  <si>
    <t xml:space="preserve"> BCZS et  IT</t>
  </si>
  <si>
    <t>Frais de perdiem pour 31 IT et 3 staffs de chaque BCZS x 2 BCZS= 37 agents en mission de suivi mensuel  pour  10 mois année 1 et 9 mois  année 2</t>
  </si>
  <si>
    <t>Frais de perdiem pour 31 IT et 3 staffs de chaque BCZS x 2 BCZS= 37 agents en mission de suivi mensuel  pour  11 mois année 1 et 9 mois  année 2</t>
  </si>
  <si>
    <t>Collation à la Restitution des resultats de chaque mission de suivi et evaluation au CODESA</t>
  </si>
  <si>
    <t xml:space="preserve">Frais de collation à  la restitution dans chaque aire de santé x 31 aires de santé ppour les 2 ZS x 7$ le mois avec 10 mois Année 1 et 9 mois année 2 </t>
  </si>
  <si>
    <t xml:space="preserve">Frais de collation à  la restitution dans chaque aire de santé x 31 aires de santé ppour les 2 ZS x 7$ le mois avec 11 mois Année 1 et 9 mois année 2 </t>
  </si>
  <si>
    <t>Achat unités pour communication et connexion internet</t>
  </si>
  <si>
    <t>15$ pour achat d'unités de communication (10$ crédit téléphone et 5$ connexion internet) de 3 agents missionnaires par BCZS x 2 BCZS le mois, avec 10 mois année 1 et 9 mois année 2</t>
  </si>
  <si>
    <t>15$ pour achat d'unités de communication (10$ crédit téléphone et 5$ connexion internet) de 3 agents missionnaires par BCZS x 2 BCZS le mois, avec 11 mois année 1 et 9 mois année 2</t>
  </si>
  <si>
    <t xml:space="preserve">EPI COVID-19  pour les missionnaires </t>
  </si>
  <si>
    <t>Rien à signaler</t>
  </si>
  <si>
    <t>Activité 5.2.7</t>
  </si>
  <si>
    <t>Appuyer les missions de suivi et supervision conjointe (DIVICOM,TASK FORCE COMMUNICATION ET DPS / ZONE DE SANTE) de la mise en œuvre de la dynamique communautaire à NYIRAGONGO et RWANGUBA</t>
  </si>
  <si>
    <t>Transport et communication des AC de ZS pour le suivi et supervision permanent</t>
  </si>
  <si>
    <t xml:space="preserve">100 USD par AC / mois pour 10 mois </t>
  </si>
  <si>
    <t xml:space="preserve">100 USD par AC / mois pour 9 mois </t>
  </si>
  <si>
    <t>forfait non acceptable. Preciser le cout pour chaque rubrique</t>
  </si>
  <si>
    <t>Ce n'est pas un forfait. Le détail est donné au niveau des commentaires colonne O et AC</t>
  </si>
  <si>
    <t xml:space="preserve">DSA pour les suivis et supervisions conjoints trimestriels (DIVICOM,TASK FORCE COMMUNICATION ET DPS / ZONE DE SANTE) </t>
  </si>
  <si>
    <t>3 personnes effectueront les missions conjointes des 5 jours de suivi Mensuel (un total de 10 mission pour le 10 mois). Il sied de signaler que sur ces 3 personnes il y'aura 1 Personne de la DIVICOM ,1 Personnes de la TASK FORCE COM et 1 Personne de la DPS</t>
  </si>
  <si>
    <t>3 prsonnes effectueront les missions conjointes des 5 jours de suivi Mensuel (un total de 9 mission pour le 9 mois). Il sied de signaler que sur ces 3 personnes il y'aura 1 Personne de la DIVICOM ,1 Personnes de la TASK FORCE COM et 1 Personne de la DPS</t>
  </si>
  <si>
    <t>corriger 11 et mettre 3 trimestres</t>
  </si>
  <si>
    <t>Corrigé. Merci</t>
  </si>
  <si>
    <t>( 2 prsonnes + 1 chaufeur effectueront les missions conjointes des 5 jours de suivi tous chaque mois). Il sied de signaler que sur ces 2 personnes sont : Chef de projet et responsable suivi et évaluation</t>
  </si>
  <si>
    <t>Mettre 10 mois car les supervisions ne commenceront pas des le debut du projet</t>
  </si>
  <si>
    <t>Si ça commence avec la mise en place.</t>
  </si>
  <si>
    <t xml:space="preserve"> Le responsable de base consacrera 10 % de son temps à soutenir ce projet : en fournissant un leadership sur site et un soutien administratif. WV contribuera 15% de son salaire tandis que l'UNICEF contribuera 85%</t>
  </si>
  <si>
    <t>Le FSO assurera la sécurité du personnel, des actifs et des programmes grâce à une formation et une communication continues en matière de sensibilisation à la sécurité. WVI contribuera 15% tandis que l'UNICEF contribuera 85%</t>
  </si>
  <si>
    <t>L'opérateur radio gérera la salle radio et la communication de sécurité sous la direction de FSO.</t>
  </si>
  <si>
    <t>Le Cleaner de bureau veillera à ce que le personnel dispose d'un environnement sûr et propre pour travailler. WVI contribue à 15% tandis que l'UNICEF contribuera à 85%</t>
  </si>
  <si>
    <t xml:space="preserve"> Le directeur de zone est responsable du bon déroulement des opérations dans la zone où ce projet est mis en œuvre. 5 % de son salaire et de ses avantages sociaux seront attribués à ce projet et WVI contribuera à hauteur de 15 % tandis que l'UNICEF contribuera à hauteur de 85 %.</t>
  </si>
  <si>
    <t>Le directeur des opérations consacrera 5 % de son temps à soutenir ce projet : Il va fournire un leadership sur site et d'un soutien administratif. WV contribuera 15% de son salaire tandis que l'UNICEF contribuera 85%</t>
  </si>
  <si>
    <t xml:space="preserve"> Le directeur financier consacrera 5 % de son temps à s'assurer que les contrôles internes, la conformité aux politiques des donateurs et des finances et à s'assurer que les rapports financiers sont produits en temps opportun. WVI contribuera 15% tandis que l'UNICEF contribuera 85%</t>
  </si>
  <si>
    <t>Le conseiller en nutrition fournira un soutien technique et des conseils sur l'intégration des approches et des outils clés pour améliorer la qualité du programme. La titulaire consacrera 10 % de son temps à soutenir ce projet. WVI contribuera à hauteur de 15 % et 85 % pour l'UNICEF</t>
  </si>
  <si>
    <t>Le conseiller en éducation fournira un soutien technique et des conseils sur l'intégration des approches et des outils clés pour améliorer la qualité du programme. La titulaire consacrera 10 % de son temps à soutenir ce projet. WVI contribuera à hauteur de 15 % et 85 % pour l'UNICEF</t>
  </si>
  <si>
    <t xml:space="preserve"> GAM Manager consacrera 5 % de son temps à soutenir le projet pour la conformité, le reporting et l'engagement des donateurs. WVI contribuera à hauteur de 15 % tandis que l'UNICEF contribuera à hauteur de 85 % pour ce rôle.</t>
  </si>
  <si>
    <t>P&amp;C Manager consacrera 5% de son temps à s'assurer que le personnel du projet est recruté, formé et rémunéré ainsi que leur bien-être. WVI contribuera 15% tandis que l'UNICEF contribuera 85%</t>
  </si>
  <si>
    <t>La caissière consacrera 50 % de son temps à s'assurer que les paiements des fournisseurs sont traités à temps. Participer au processus de reporting financier mensuel. WVI contribuera 15% tandis que l'UNICEF 85%</t>
  </si>
  <si>
    <t xml:space="preserve"> Le coordinateur administratif consacrera 5% de son temps à s'assurer que le personnel du projet est facilité avec le transport, les déplacements et l'hébergement. WVI contribuera 15% tandis que l'UNICEF contribuera 85%</t>
  </si>
  <si>
    <t xml:space="preserve"> Le coordinateur de la chaîne d'approvisionnement consacrera 10 % de son temps à s'assurer que toutes les demandes d'achat d'intrants et de fournitures du projet sont livrées à temps. WVI 15 % et UNICEF 85 %</t>
  </si>
  <si>
    <t>2 véhicules seront loués la première et la deuxième année du projet au prix de 120 $ par jour (225 jours la première année et 203 jours la deuxième).</t>
  </si>
  <si>
    <t>Carburant Vehicle</t>
  </si>
  <si>
    <t>440 litres par mois X 1 vehicule x 1.6 usd</t>
  </si>
  <si>
    <t>Carburant pour 8 motos motocycles</t>
  </si>
  <si>
    <t>1 litre X 1.6 USD X 8 Motos x 80 litres par mois</t>
  </si>
  <si>
    <t>1 litre X 1.6 USD X 8 Motos x 88 litres par mois</t>
  </si>
  <si>
    <t>Rent bureau - Rutshuru</t>
  </si>
  <si>
    <t>Le loyer mensuel total est de 2000 $ - chaque mois, le projet paiera 40% à 800 $ par mois pendant 21 mois.</t>
  </si>
  <si>
    <t>Rent bureau -Goma</t>
  </si>
  <si>
    <t>Le loyer mensuel total est de 10 000 $ - chaque mois, le projet paiera 10 % à raison de 1 000 $ par mois pendant 21 mois.</t>
  </si>
  <si>
    <t>Fournitures de bureau - Rutshuru</t>
  </si>
  <si>
    <t>Le projet soutiendra le bureau de Rutshuru avec 160 $ par mois pendant 21 mois pour l'ameublement, y compris les chaises, les tables, le distributeur d'eau, etc.</t>
  </si>
  <si>
    <t>Fournitures de bureau - Goma</t>
  </si>
  <si>
    <t>Le projet soutiendra le bureau de Goma avec 200 $ par mois pendant 21 mois pour l'ameublement, y compris les chaises, les tables, le distributeur d'eau, etc.</t>
  </si>
  <si>
    <t>Internet et communication Rutshuru</t>
  </si>
  <si>
    <t>Internet et communication Goma</t>
  </si>
  <si>
    <t>Securite bureau Rutshuru</t>
  </si>
  <si>
    <t xml:space="preserve">Le projet soutiendra le bureau de Rutshuru avec 600 dollars par mois (40% du coût total) pendant 21 mois pour la société de sécurité guarda world.  </t>
  </si>
  <si>
    <t>Securite bureau Goma</t>
  </si>
  <si>
    <t xml:space="preserve">Le projet soutiendra le bureau de Goma avec 200 dollars par mois (10% du coût total) pendant 21 mois pour la société de sécurité guarda world.  </t>
  </si>
  <si>
    <t>Eau et Electricite Bureau Rutshuru</t>
  </si>
  <si>
    <t>Eau et Electricite Bureau Goma</t>
  </si>
  <si>
    <t>supplies</t>
  </si>
  <si>
    <t>Total monthly eau pplies $9000 - each sunth the project will pay 10% at $100 a sunth for 21 sunths</t>
  </si>
  <si>
    <t>Activité 8.3</t>
  </si>
  <si>
    <t>Un total de 40 000 USD l'an dont  28 000 USD alloué à PRONANUT  National et Provincial  pour l'enquête SMART l'an à raison de 14 000 USD par étude  (Frais de rédaction protocole d'enquête SMART, Honoraires de l'expert provincial pour le design, traitement analyse de donnée et rapportage, Prime et transport de mesureurs, Prime et transport de Superviseurs/Chef d'équipe.</t>
  </si>
  <si>
    <t>Activité 9.1.</t>
  </si>
  <si>
    <t>Directeur de CADEGO (25%)</t>
  </si>
  <si>
    <t xml:space="preserve">2000 USD , Caritas et Unicef supportent respectivement 75% et 25% du temps budgétisé </t>
  </si>
  <si>
    <t>caritas</t>
  </si>
  <si>
    <t>Coodonateur du bureau diocesain de developpement( BDD) (25%)</t>
  </si>
  <si>
    <t>Persone</t>
  </si>
  <si>
    <t xml:space="preserve">1950 USD , Caritas et Unicef supportent respectivement 75% et 25% du temps budgétisé </t>
  </si>
  <si>
    <t>Chef de qualité des programme (25%)</t>
  </si>
  <si>
    <t xml:space="preserve">1800 USD , Caritas et Unicef supportent respectivement 75% et 25% du temps budgétisé </t>
  </si>
  <si>
    <t>Chargé des Ressources Humaines (25%)</t>
  </si>
  <si>
    <t>Chef de departement logistique (25%)</t>
  </si>
  <si>
    <t xml:space="preserve">Entretien motos prêt  de l'Unicef </t>
  </si>
  <si>
    <t>Motos</t>
  </si>
  <si>
    <t>100% de cout d'entretier sera supporté par la CADEGO</t>
  </si>
  <si>
    <t xml:space="preserve">Rehabilitation bases </t>
  </si>
  <si>
    <t>Base</t>
  </si>
  <si>
    <t>2 bases l'un à Kibumba et l'autre à Bunagana seront rehabitées à raison de 6 000$ par an par base. Ces bases vont servir de bureau terrain dans les 2 zones de santé</t>
  </si>
  <si>
    <t>2 bases l'un à Kibumba et l'autre à Bunagana seront rehabitées à raison de 4 000$ par an par base qui fait le total de 8 000$ .</t>
  </si>
  <si>
    <t>Entretien groupe éléctrogène</t>
  </si>
  <si>
    <t>Groupe</t>
  </si>
  <si>
    <t>Fournitures/papeteries et consommables</t>
  </si>
  <si>
    <t>Cartes pour communication</t>
  </si>
  <si>
    <t xml:space="preserve">chaque agent directe beneficiaura une carte de 10$/moisX11 moisX36agent qui fait le total de 3500$ soit </t>
  </si>
  <si>
    <t xml:space="preserve">chaque agent directe beneficiaura une carte de 10$/mois X11 moisX36agent qui fait le total de 3 500$ </t>
  </si>
  <si>
    <t>9.2.7</t>
  </si>
  <si>
    <t xml:space="preserve">Achat Kit Internet VSAT </t>
  </si>
  <si>
    <t>2 kit2 VSAT seront achetés pour faciliter la connection internet dans les 2 bases de Rwanguba et Nyiragongo à raison de 450$ par kit fait le total de 900$ pour les 2 kits</t>
  </si>
  <si>
    <t>9.2.8</t>
  </si>
  <si>
    <t>Frais paiement  cartes pour faciliter les  communicationsdes telephones mobiles des egents  sur terrain et à Goma.</t>
  </si>
  <si>
    <t>9.2.9</t>
  </si>
  <si>
    <t>Frais maintenance generateurs</t>
  </si>
  <si>
    <t>9.2.10</t>
  </si>
  <si>
    <t>Carburant/ gasual motos; vehicules et generateur</t>
  </si>
  <si>
    <t>9.2.11</t>
  </si>
  <si>
    <t>Achat kits complet ordinateur pour équipe de la supervision et des assistants logistique (ordinateur, imprimante, disque dur,…)</t>
  </si>
  <si>
    <t>Achat de kits complet à raison 1000par qui fait le total de de 6000 $  soit 3000$ par an pour facilitet  la supervision le ra redactions de staffs. Chaque kit est composé de  (ordinateur, imprimante, disque dur,…)</t>
  </si>
  <si>
    <t>Achat de 6 kits complet à raison 1000par qui fait le total de de 6000 $  soit 3000$ par an pour facilitet  la supervision le ra redactions de staffs. Chaque kit est composé de  (ordinateur, imprimante, disque dur,…)</t>
  </si>
  <si>
    <t>9.2.12</t>
  </si>
  <si>
    <t>Goupe</t>
  </si>
  <si>
    <t>2 groupes electrogenes de marque YAMAHA seront achetés pour fourninire l'energie electrique dans les 2 base de Nyiragongo et Bunagana. La seule société qui fournie ces groupes dans la ville de Goma c'est la société PRODIMPEX  S.A.</t>
  </si>
  <si>
    <t>9.2.13</t>
  </si>
  <si>
    <t>Achat motos Yamaha DT-125</t>
  </si>
  <si>
    <t>pc</t>
  </si>
  <si>
    <t xml:space="preserve">6 motos de marque yamaha seront dont 6 en 2022 . La somme de 5000 $ comprend la moto, le casque, les lunettes et les gants + assurance et autre documents requise. </t>
  </si>
  <si>
    <t xml:space="preserve">6 motos de marque yamaha seront dont 6 en 2023 e. La somme de 5000 $ comprend la moto, le casque, les lunettes et les gants + assurance et autre documents requise. </t>
  </si>
  <si>
    <t>9.2.14</t>
  </si>
  <si>
    <t>Achat GPS Garmin 60C</t>
  </si>
  <si>
    <t>Pc</t>
  </si>
  <si>
    <t>frais d'achat GPS pour prendre les coordonnées des villages, FOSA et Ecoles surtout les ouvrages hydro sanitaires afin de produires les cartes et les localisés.</t>
  </si>
  <si>
    <t>9.2.15</t>
  </si>
  <si>
    <t>Appui au loyer du bureau de Goma (pour le BDD) (5%)</t>
  </si>
  <si>
    <t>bureau</t>
  </si>
  <si>
    <t>9.2.16</t>
  </si>
  <si>
    <t>Location bases terrains</t>
  </si>
  <si>
    <t>2.2.17</t>
  </si>
  <si>
    <t>9.2.17</t>
  </si>
  <si>
    <t>Location Vehicule pour la supervision</t>
  </si>
  <si>
    <t xml:space="preserve">Vehicule </t>
  </si>
  <si>
    <t xml:space="preserve">2 vehicules Lend cruiser seront loués hors ville pendant 10 premier mois de la durée du projet à raison de 22,5jrs/9mois qui fait le total de202,5 jrsX80$X2vehicules=32400$ </t>
  </si>
  <si>
    <t xml:space="preserve">2 vehicules Lend cruiser seront loués hors ville pendant 21mois de la durée du projet à raison de 22,5jrs/mois qui fait le total de 203 jrsX80$X2vehicules=32 400$ </t>
  </si>
  <si>
    <t>9.2.18</t>
  </si>
  <si>
    <t>9.2.19</t>
  </si>
  <si>
    <t>9.2.20</t>
  </si>
  <si>
    <t>Activité 10.1</t>
  </si>
  <si>
    <t xml:space="preserve">Coordonnateur National (25%) </t>
  </si>
  <si>
    <t>Pour le salaire du coordonnateur ,l'UNICEF va prendre en charge 25% et REMED 75%</t>
  </si>
  <si>
    <t>Charge de programme (25%)</t>
  </si>
  <si>
    <t>Pour le salaire du program manager, l'UNICEF va prendre en charge 25% et REMED 75%</t>
  </si>
  <si>
    <t>Charge de suivi et evaluation (40%)</t>
  </si>
  <si>
    <t>Pour le salaire du responsable suivi et évaluation, l'UNICEF va prendre en charge 40% et REMED 60%</t>
  </si>
  <si>
    <t>Charge de Ressources humaines  (25%)</t>
  </si>
  <si>
    <t>Pour le salaire du RH, l'UNICEF va prendre en charge 25% et REMED 75%</t>
  </si>
  <si>
    <t>Logisticien (30%)</t>
  </si>
  <si>
    <t>Pour le salaire du Logisticien l'UNICEF va prendre en charge 30% et REMED 70%</t>
  </si>
  <si>
    <t>Caissière (30%)</t>
  </si>
  <si>
    <t xml:space="preserve">30% du salaire du caissiere </t>
  </si>
  <si>
    <t>Chargé de communication et plaidoyer (30%)</t>
  </si>
  <si>
    <t>30% du salaire du chargé de communication</t>
  </si>
  <si>
    <t>Comptable du bureau de la Coordination (30%)</t>
  </si>
  <si>
    <t xml:space="preserve">30%  salaire du comptable </t>
  </si>
  <si>
    <t>Secrétaire administratif (25%)</t>
  </si>
  <si>
    <t>Pour le salaire du Secrétaire de direction, l'UNICEF va prendre en charge 25% et REMED 75%</t>
  </si>
  <si>
    <t>Chauffeurs (25%)</t>
  </si>
  <si>
    <t>Pour le salaire des 2 Chauffeurs, l'UNICEF va prendre en charge 25% et REMED 75%</t>
  </si>
  <si>
    <t>Gardiens (40%)</t>
  </si>
  <si>
    <t>Pour le salaire des 4 Gardiens, l'UNICEF va prendre en charge 40% et REMED 60%</t>
  </si>
  <si>
    <t>Activité 10.2</t>
  </si>
  <si>
    <t>location vehicule à 80$ par jr pour 10 mois calculé à 22,5Jours par mois (80$ est le coût de location hors ville suivant le bareme de l'unicef actualisé à la date du 3/09/2021)</t>
  </si>
  <si>
    <t>location vehicule à 80$ par jr pour 9 mois calculé à 22,5Jours par mois (80$ est le coût de location hors ville suivant le bareme de l'unicef actualisé à la date du 3/09/2021)</t>
  </si>
  <si>
    <t xml:space="preserve">Achat de 2 Motos pour accessibilité de certains villages non accessibles par véhicule </t>
  </si>
  <si>
    <t>Achat de 2 Motos marque DT 125 à  5000 $ qui comprend la moto, le casque, les lunettes et les gants + assurance et autre documents requise. Ces motos couvrirons les villages qui ne sont pas accessible par véhicule dans certains aires de santé des zones de santé de RWANGUBA et NYIRAGONGO</t>
  </si>
  <si>
    <t>300 litres de carburant par moto par mois pour 2 motos</t>
  </si>
  <si>
    <t>UNICEF 50% et REMED 50%</t>
  </si>
  <si>
    <t xml:space="preserve">Carburant pour vehicules </t>
  </si>
  <si>
    <t>Carburant pour vehicule</t>
  </si>
  <si>
    <t>Location bureau de rutshuru</t>
  </si>
  <si>
    <t>Paiement loyer 9 mois bureau de rutshuru. UNICEF 50% et REMED 50%</t>
  </si>
  <si>
    <t>Location bureau de Goma</t>
  </si>
  <si>
    <t>Paiement loyer 9 mois bureau de Goma. UNICEF 50% et REMED 50%</t>
  </si>
  <si>
    <t>Activité 11.1</t>
  </si>
  <si>
    <t xml:space="preserve">Location véhicule pendant 8 mois </t>
  </si>
  <si>
    <t>Pour assurer les déplacements du chargé de projet et des superviseurs terrain</t>
  </si>
  <si>
    <t>Pour l'enregistrement des sessions à transcrire pour les analyses et rapports</t>
  </si>
  <si>
    <t>48 T-shirts pour les facilitateurs et les IT</t>
  </si>
  <si>
    <t>Impression et photocopie des images utilisées lors des sessions</t>
  </si>
  <si>
    <t>Activité 11.2</t>
  </si>
  <si>
    <t>Activité 11.3</t>
  </si>
  <si>
    <t xml:space="preserve">Contribution eau et électricité </t>
  </si>
  <si>
    <t xml:space="preserve">Contribution loyer Bureau </t>
  </si>
  <si>
    <t>10$ pour le Chargé de projet et 10$ pour le chargé de programme</t>
  </si>
  <si>
    <t>Année 2</t>
  </si>
  <si>
    <t>Années 1 + 2</t>
  </si>
  <si>
    <t>Caritas (WASH)</t>
  </si>
  <si>
    <t>Caritas - Frais bancaire</t>
  </si>
  <si>
    <r>
      <rPr>
        <b/>
        <sz val="10"/>
        <rFont val="Calibri"/>
        <family val="2"/>
        <scheme val="minor"/>
      </rPr>
      <t>Caritas</t>
    </r>
    <r>
      <rPr>
        <sz val="10"/>
        <rFont val="Calibri"/>
        <family val="2"/>
        <scheme val="minor"/>
      </rPr>
      <t xml:space="preserve"> - Total</t>
    </r>
  </si>
  <si>
    <t>Nutrition - Appui Siège WV</t>
  </si>
  <si>
    <t>WASH - Caritas</t>
  </si>
  <si>
    <t>Gender / GBV / PSEA - Appui Siège WV</t>
  </si>
  <si>
    <t>Aménagement d'une source simple</t>
  </si>
  <si>
    <t>Désignation</t>
  </si>
  <si>
    <t>Notes</t>
  </si>
  <si>
    <t>Analyse de la qualite de l'eau</t>
  </si>
  <si>
    <t>Analyse bacteriologique et physicochimique de l'eau</t>
  </si>
  <si>
    <t>Sous Total</t>
  </si>
  <si>
    <t>Débroussaillage et terrassement</t>
  </si>
  <si>
    <t>Débroussaillage</t>
  </si>
  <si>
    <t>Terrassement</t>
  </si>
  <si>
    <t>ff</t>
  </si>
  <si>
    <t>Materiaux de construction</t>
  </si>
  <si>
    <t>Carreau</t>
  </si>
  <si>
    <r>
      <t>m</t>
    </r>
    <r>
      <rPr>
        <vertAlign val="superscript"/>
        <sz val="11"/>
        <color theme="1"/>
        <rFont val="Arial"/>
        <family val="2"/>
      </rPr>
      <t>2</t>
    </r>
  </si>
  <si>
    <t>du mur de puisage</t>
  </si>
  <si>
    <t>Ciment de 50 Kg</t>
  </si>
  <si>
    <t>sac</t>
  </si>
  <si>
    <t>Clou</t>
  </si>
  <si>
    <t>Kg</t>
  </si>
  <si>
    <t>Fer à béton Ø 8 mm x 12 m</t>
  </si>
  <si>
    <t>Fil à ligaturer</t>
  </si>
  <si>
    <t>Gravier</t>
  </si>
  <si>
    <t>m³</t>
  </si>
  <si>
    <t>Hydrofuge</t>
  </si>
  <si>
    <t>Moellon</t>
  </si>
  <si>
    <t>Planche de coffrage</t>
  </si>
  <si>
    <t>Roofing</t>
  </si>
  <si>
    <t>Sable</t>
  </si>
  <si>
    <t>Tuyau AG 2 ½''</t>
  </si>
  <si>
    <t>Tuyau PVC Ø 63 mm x 5,8 m; PN 10</t>
  </si>
  <si>
    <t>Total matériaux</t>
  </si>
  <si>
    <t>Main d'œuvre (30%)</t>
  </si>
  <si>
    <t>Forage mécanique équipé de pompe manuelle</t>
  </si>
  <si>
    <t>Etudes et investigations</t>
  </si>
  <si>
    <t>Etudes et Investigations hydrogéologique du site (terrain)</t>
  </si>
  <si>
    <t>Sous total</t>
  </si>
  <si>
    <t>Forage, tubage et aménagement tête de puits</t>
  </si>
  <si>
    <t>Installation chantier</t>
  </si>
  <si>
    <t>Aménagement de la tête du puit</t>
  </si>
  <si>
    <r>
      <t>m</t>
    </r>
    <r>
      <rPr>
        <vertAlign val="superscript"/>
        <sz val="11"/>
        <color theme="1"/>
        <rFont val="Arial"/>
        <family val="2"/>
      </rPr>
      <t>3</t>
    </r>
  </si>
  <si>
    <t>Analyse qualité de l'eau</t>
  </si>
  <si>
    <t>Cimentation annulaire 10-8 pouces</t>
  </si>
  <si>
    <t>Forage et usage des accessoires et consommable de forage en 10 pouces</t>
  </si>
  <si>
    <t>Forage et usage des accessoires et consommable de forage en 8 pouces</t>
  </si>
  <si>
    <t>Injection bouchon en duranite ou matériaux équivalent</t>
  </si>
  <si>
    <t>Injection massif filtrant</t>
  </si>
  <si>
    <t>Injection tout venant</t>
  </si>
  <si>
    <t>Tubage acier 10 pouces</t>
  </si>
  <si>
    <t>m</t>
  </si>
  <si>
    <t>Tubage PVC haute pression 4 pouces (PVC aveugle + crépine)</t>
  </si>
  <si>
    <t>Fourniture et pose pompe Vergnet</t>
  </si>
  <si>
    <t>Fourniture et pose de la pompe mécanique manuelle</t>
  </si>
  <si>
    <t>Essai de pompage du puit</t>
  </si>
  <si>
    <t>Entretient périodiques durant la période de garantie</t>
  </si>
  <si>
    <t>Développent puits et repli chantier</t>
  </si>
  <si>
    <t>Mise en service du puits (Air Lift)</t>
  </si>
  <si>
    <t>Remise en état des lieux et Repli chantier</t>
  </si>
  <si>
    <t>Captage d'eau de pluie</t>
  </si>
  <si>
    <t>Fondation du support tank</t>
  </si>
  <si>
    <r>
      <t>Chevron 5</t>
    </r>
    <r>
      <rPr>
        <vertAlign val="superscript"/>
        <sz val="11"/>
        <color theme="1"/>
        <rFont val="Arial"/>
        <family val="2"/>
      </rPr>
      <t>2</t>
    </r>
  </si>
  <si>
    <t xml:space="preserve"> 3 m de longueur</t>
  </si>
  <si>
    <t>Planche 350 x 25 x 3</t>
  </si>
  <si>
    <t>Superstructure/Tank en  plastique 2000 litres</t>
  </si>
  <si>
    <t>Nipple 1 ½’’</t>
  </si>
  <si>
    <t>Vanne 1 ½’’</t>
  </si>
  <si>
    <t>Raccord union AG 1 ½’’</t>
  </si>
  <si>
    <t>Tank de 2000 litres</t>
  </si>
  <si>
    <t>Trappe métallique 50x50</t>
  </si>
  <si>
    <t>Tuyau PVC Ø 50 mm x 5,8 m; PN 10</t>
  </si>
  <si>
    <t>Coude PVC Ø 50 mm; PN10</t>
  </si>
  <si>
    <t>Vanne PVC Ø 50 mm</t>
  </si>
  <si>
    <t>Charpente et fixation gouttière</t>
  </si>
  <si>
    <t>Bouchon de gouttière PVC Ø 160 mm; PN 6</t>
  </si>
  <si>
    <t>Colle Tangit</t>
  </si>
  <si>
    <t>Coude PVC Ø 110 mm; PN 6</t>
  </si>
  <si>
    <t>Gouttière PVC Ø 160 mm; PN 6</t>
  </si>
  <si>
    <t>Naissance PVC Ø 160 mm; PN 6</t>
  </si>
  <si>
    <t>Planche de rive</t>
  </si>
  <si>
    <t>De 4 m de longueur</t>
  </si>
  <si>
    <t>Té PVC  Ø 110 mm; PN 6</t>
  </si>
  <si>
    <t>Tuyau PVC Ø 110 mm x 5,8 m; PN 6</t>
  </si>
  <si>
    <t>Aménagement d’une borne fontaine</t>
  </si>
  <si>
    <t>Brique cuite</t>
  </si>
  <si>
    <t>Coude AG ¾’’</t>
  </si>
  <si>
    <t>Manchon AG ¾’’</t>
  </si>
  <si>
    <r>
      <t>m</t>
    </r>
    <r>
      <rPr>
        <vertAlign val="superscript"/>
        <sz val="11"/>
        <rFont val="Arial"/>
        <family val="2"/>
      </rPr>
      <t>3</t>
    </r>
  </si>
  <si>
    <t>Nipple AG ¾’’</t>
  </si>
  <si>
    <t>Raccord union AG ¾’’</t>
  </si>
  <si>
    <t>Robinet AG ¾’’</t>
  </si>
  <si>
    <t>Réducteur 32 mm x 25 mm</t>
  </si>
  <si>
    <t>Téflon</t>
  </si>
  <si>
    <t>Tuyau AG ¾’’</t>
  </si>
  <si>
    <t>Tuyau PVC Ø 32 mm x 5,8 m; PN 10</t>
  </si>
  <si>
    <t>Vanne AG ¾’’</t>
  </si>
  <si>
    <t>Total général</t>
  </si>
  <si>
    <t>Réalisation d'un point de lave-main fixe maçonné au niveau de latrine raccordé au réseau ou au captage d'eau de pluie</t>
  </si>
  <si>
    <t>Adaptateur PVC Ø 25 mm</t>
  </si>
  <si>
    <r>
      <t>m</t>
    </r>
    <r>
      <rPr>
        <vertAlign val="superscript"/>
        <sz val="10"/>
        <color theme="1"/>
        <rFont val="Arial"/>
        <family val="2"/>
      </rPr>
      <t>2</t>
    </r>
  </si>
  <si>
    <t>Faïence</t>
  </si>
  <si>
    <t>Coude PVC Ø 40 mm; PN10</t>
  </si>
  <si>
    <r>
      <t>m</t>
    </r>
    <r>
      <rPr>
        <vertAlign val="superscript"/>
        <sz val="10"/>
        <color theme="1"/>
        <rFont val="Arial"/>
        <family val="2"/>
      </rPr>
      <t>3</t>
    </r>
  </si>
  <si>
    <t>Peinture à eau blanche</t>
  </si>
  <si>
    <t>Boite de 20 litres</t>
  </si>
  <si>
    <t>Peinture à huile bleue</t>
  </si>
  <si>
    <t>Boite de 4 litres</t>
  </si>
  <si>
    <t>Puisard</t>
  </si>
  <si>
    <t>Réducteur PVC Ø  32 x 25 mm</t>
  </si>
  <si>
    <t>Siphon PVC Ø 40 mm</t>
  </si>
  <si>
    <t>Raccordement du point au captage et au lavabo du GHM</t>
  </si>
  <si>
    <t>Tuyau PVC Ø 40 mm x 5,8 m; PN 10</t>
  </si>
  <si>
    <t>Total materiaux</t>
  </si>
  <si>
    <t>Main d’œuvre (30%)</t>
  </si>
  <si>
    <t>Fer à béton Ø 12 mm x 12 m</t>
  </si>
  <si>
    <t>Fer à béton Ø 6 mm x 12 m</t>
  </si>
  <si>
    <t>Fer à béton Ø 10 mm x 12 m</t>
  </si>
  <si>
    <t>Madrier 5/10</t>
  </si>
  <si>
    <t>4 m de longueur</t>
  </si>
  <si>
    <t>Té PVC Ø 63 mm</t>
  </si>
  <si>
    <t>Total general</t>
  </si>
  <si>
    <t>Accessoires</t>
  </si>
  <si>
    <t>Rouleau de 100m</t>
  </si>
  <si>
    <t>Tuyau MDPE 25 PN 10</t>
  </si>
  <si>
    <t>Stick de bois</t>
  </si>
  <si>
    <t>Ciment de 50 kg</t>
  </si>
  <si>
    <t>boite</t>
  </si>
  <si>
    <t>Raccordement au réseau</t>
  </si>
  <si>
    <t>Chambre de vanne</t>
  </si>
  <si>
    <t>Manchon coupling Ø 25 mm</t>
  </si>
  <si>
    <t>Prise en charge 32 mm x 25 mm</t>
  </si>
  <si>
    <t>Raccord union AG 1’’</t>
  </si>
  <si>
    <t>Raccord union coupling Ø 25 mm</t>
  </si>
  <si>
    <t>Socle</t>
  </si>
  <si>
    <t xml:space="preserve">En moellon, support du tank </t>
  </si>
  <si>
    <t>Tank 5000 litres</t>
  </si>
  <si>
    <t>Vanne AG 1’’</t>
  </si>
  <si>
    <t>Eau courante dans les points de prestations (salle de soins, labo et salle d'accouchement)</t>
  </si>
  <si>
    <t>Lavabo</t>
  </si>
  <si>
    <t xml:space="preserve">Puisard </t>
  </si>
  <si>
    <t>Diamètre = 0,80 m et profondeur = 1 m avec moellon</t>
  </si>
  <si>
    <t>Réducteur  AG ¾’’ - ½’’</t>
  </si>
  <si>
    <t>Bac à lessive avec deux robinets</t>
  </si>
  <si>
    <t>Attache AG ¾’’</t>
  </si>
  <si>
    <t>Tube et ficelle pour séchage</t>
  </si>
  <si>
    <t>Tuyau PVC Ø 63 mm x 5,8 m; PN 6</t>
  </si>
  <si>
    <t>Aménagement de deux portes de douche L/l/h:1,2/1,2/1,8 m</t>
  </si>
  <si>
    <t>Implantation et terrassement</t>
  </si>
  <si>
    <t>Ficelle en nylon</t>
  </si>
  <si>
    <t>Rouleau</t>
  </si>
  <si>
    <t>Fondation en moellon (6,40 x 0,5 x 0,6)</t>
  </si>
  <si>
    <t>Mur d'elévation y compris le mur d'intimite</t>
  </si>
  <si>
    <t>Claustra</t>
  </si>
  <si>
    <t xml:space="preserve"> Chainage  (6,04 X 0,21 X 0,1) m</t>
  </si>
  <si>
    <t>Toiture</t>
  </si>
  <si>
    <t>Clou de tôles</t>
  </si>
  <si>
    <t>Tôle BG 28</t>
  </si>
  <si>
    <t>Fabrication et fixation porte</t>
  </si>
  <si>
    <t>Cadenas MF</t>
  </si>
  <si>
    <t>Charnière MF</t>
  </si>
  <si>
    <t>paire</t>
  </si>
  <si>
    <t>Porte cadenas MF</t>
  </si>
  <si>
    <t>Porte préfabriquée plus encadrement</t>
  </si>
  <si>
    <t>Verrou MF</t>
  </si>
  <si>
    <t>Crépissage(ép.=2,5cm &amp; lissage intérieur ép.= (0,035cm)</t>
  </si>
  <si>
    <t>Carrelage et ploberie</t>
  </si>
  <si>
    <t>Sol</t>
  </si>
  <si>
    <t>Mural</t>
  </si>
  <si>
    <t>Tuyau PVC Ø 63 mm x 5,8 m</t>
  </si>
  <si>
    <t>Coude PVC Ø 63 mm</t>
  </si>
  <si>
    <t>Bond de sol</t>
  </si>
  <si>
    <t xml:space="preserve">Peinture pour l'intérieur de la superstructure </t>
  </si>
  <si>
    <t>2 boites de 20 litres</t>
  </si>
  <si>
    <t>3 boites de 20 litres</t>
  </si>
  <si>
    <t>Main d'oeuvre (30%)</t>
  </si>
  <si>
    <t>Total général pour bloc deux portes</t>
  </si>
  <si>
    <t>Total pour une porte</t>
  </si>
  <si>
    <t>Devis d'un bloc de trois portes de latrines VIP à fosses alternées pour garçons</t>
  </si>
  <si>
    <t>Excavation fosse</t>
  </si>
  <si>
    <t xml:space="preserve">Bois d’étayage </t>
  </si>
  <si>
    <t>Cadenas</t>
  </si>
  <si>
    <t>Planche 3,5 x 0,25</t>
  </si>
  <si>
    <t>Porte en bois</t>
  </si>
  <si>
    <t>180 x 70 cm</t>
  </si>
  <si>
    <t>Verrou</t>
  </si>
  <si>
    <t>Total général pour un bloc de trois portes pour garçons</t>
  </si>
  <si>
    <t>Total général pour une porte pour garçons</t>
  </si>
  <si>
    <t>Porte bloc de 3 portes des latrinse VIP à fosses alternées destinée aux filles</t>
  </si>
  <si>
    <t>De 40 x 40</t>
  </si>
  <si>
    <t>Crépine</t>
  </si>
  <si>
    <t>Crochet</t>
  </si>
  <si>
    <t>Miroir de 50 x 70</t>
  </si>
  <si>
    <t>Poubelle avec pédale</t>
  </si>
  <si>
    <t>Poubelle de 25 litres</t>
  </si>
  <si>
    <t>Total général bloc filles</t>
  </si>
  <si>
    <t>Total pour une porte pour filles</t>
  </si>
  <si>
    <t>Construction d'un incinérateur De Montfort</t>
  </si>
  <si>
    <t>Déblai socle</t>
  </si>
  <si>
    <t>Fouille</t>
  </si>
  <si>
    <r>
      <t>Socle en béton dosé à 350 kg/m</t>
    </r>
    <r>
      <rPr>
        <b/>
        <vertAlign val="superscript"/>
        <sz val="11"/>
        <color theme="0"/>
        <rFont val="Arial"/>
        <family val="2"/>
      </rPr>
      <t>3</t>
    </r>
  </si>
  <si>
    <t>Eau de gâchage</t>
  </si>
  <si>
    <r>
      <t>Pavement en béton dosé à 300 kg/m</t>
    </r>
    <r>
      <rPr>
        <b/>
        <vertAlign val="superscript"/>
        <sz val="11"/>
        <color theme="0"/>
        <rFont val="Arial"/>
        <family val="2"/>
      </rPr>
      <t>3</t>
    </r>
    <r>
      <rPr>
        <b/>
        <sz val="11"/>
        <color theme="0"/>
        <rFont val="Arial"/>
        <family val="2"/>
      </rPr>
      <t xml:space="preserve"> </t>
    </r>
  </si>
  <si>
    <t>Pour goujon</t>
  </si>
  <si>
    <t>Structure en bois et couverture en BG 32</t>
  </si>
  <si>
    <t>Fer à béton Ø 16 mm x 12 m</t>
  </si>
  <si>
    <t>Fer cornière</t>
  </si>
  <si>
    <t>Plaques en U de 6mm  (15*15*15) cm avec tôles de 6 mm</t>
  </si>
  <si>
    <t xml:space="preserve">Tôle BG 28 </t>
  </si>
  <si>
    <t>Grillage métallique avec cadre en tube carré de 40 mm</t>
  </si>
  <si>
    <t>Grillage métallique</t>
  </si>
  <si>
    <t>Tube carré de 40 mm</t>
  </si>
  <si>
    <t>Incinérateur De Montfort</t>
  </si>
  <si>
    <t>Brique réfracteur de 22*10*7 cm</t>
  </si>
  <si>
    <t>Ciment  réfractaire 300</t>
  </si>
  <si>
    <t>Grille du cendrier</t>
  </si>
  <si>
    <t>Porte de chargement et plaque de base du tuyau d'évacuation de fumée</t>
  </si>
  <si>
    <t>Tuyau métallique d'évacuation  de fumée</t>
  </si>
  <si>
    <t>Drainage périphérique en maçonnerie et fini par chappe en béton avec pente de 2 % vers l`extérieur (15x0,5 x 0,05)m</t>
  </si>
  <si>
    <t>Aménagement d'une fosse à cendre</t>
  </si>
  <si>
    <t>Construction de deux fosse planceta</t>
  </si>
  <si>
    <t>Fouille des tranchés</t>
  </si>
  <si>
    <r>
      <t>m</t>
    </r>
    <r>
      <rPr>
        <vertAlign val="superscript"/>
        <sz val="11"/>
        <color indexed="8"/>
        <rFont val="Arial"/>
        <family val="2"/>
      </rPr>
      <t>3</t>
    </r>
  </si>
  <si>
    <t>Poutre de couronnement</t>
  </si>
  <si>
    <t>Maçonnerie en briques pour les parois</t>
  </si>
  <si>
    <t>Dalle de couverture</t>
  </si>
  <si>
    <t>Crépissage intérieur</t>
  </si>
  <si>
    <t>Ventilation et accès</t>
  </si>
  <si>
    <t>Porte en acier 45 x 45</t>
  </si>
  <si>
    <t>Main d'œuvre (30 %)</t>
  </si>
  <si>
    <t>Érection d'une fosse à placenta</t>
  </si>
  <si>
    <t>Tuyau PVC Ø 90 mm x 5,8 m; PN 6</t>
  </si>
  <si>
    <t>Trapillon</t>
  </si>
  <si>
    <t>Aménagement d'une fosse à aiguille</t>
  </si>
  <si>
    <t>Sheeting</t>
  </si>
  <si>
    <t>Grillage de la zone de déchets</t>
  </si>
  <si>
    <t xml:space="preserve">Porte </t>
  </si>
  <si>
    <t>Porte cadenas</t>
  </si>
  <si>
    <t>Treillis</t>
  </si>
  <si>
    <t>Rouleau de 50 m</t>
  </si>
  <si>
    <t>Total Grillage de la zone de dechet</t>
  </si>
  <si>
    <t xml:space="preserve">LATRINE VIP DOUBLE FOSSE BLOC DE 2 PORTES POUR CENTRE DE SANTE ET ECOLE PRIMAIRE </t>
  </si>
  <si>
    <t>DETAILS DU TROU DE DEFECATION</t>
  </si>
  <si>
    <t>CEPROSSAN RDC</t>
  </si>
  <si>
    <t xml:space="preserve">LATRINE DOUBLE FOSSE  AVEC COIN D'HYGIENE MENSTRUELLE BLOC DE 2 PORTES POUR CENTRE DE SANTE </t>
  </si>
  <si>
    <t>DETAILS DU TROU DE DEFECATION ET DISPOSITION DES POSE PIEDS</t>
  </si>
  <si>
    <t>LATRINE DOUBLE FOSSE AVEC COIN D'HYGIENE MENSTRUELLE AU CS</t>
  </si>
  <si>
    <t>LATRINE DOUBLE FOSSE AVEC ACCES AUX PERSONNES AVEC MOBILITE REDUITE</t>
  </si>
  <si>
    <t>CEPROSSAN</t>
  </si>
  <si>
    <t>Vue en plan</t>
  </si>
  <si>
    <t>Renufleur en AG 2"</t>
  </si>
  <si>
    <t xml:space="preserve">en </t>
  </si>
  <si>
    <r>
      <t xml:space="preserve"> BA350 et</t>
    </r>
    <r>
      <rPr>
        <sz val="11"/>
        <color indexed="8"/>
        <rFont val="Calibri"/>
        <family val="2"/>
      </rPr>
      <t>Ø8mm</t>
    </r>
  </si>
  <si>
    <t>chambre de vannes</t>
  </si>
  <si>
    <t>Trop plein</t>
  </si>
  <si>
    <t xml:space="preserve">Alimentation </t>
  </si>
  <si>
    <t>SORTIE PVC40</t>
  </si>
  <si>
    <r>
      <t xml:space="preserve">fer  de </t>
    </r>
    <r>
      <rPr>
        <sz val="11"/>
        <color indexed="8"/>
        <rFont val="Calibri"/>
        <family val="2"/>
      </rPr>
      <t xml:space="preserve">Ø8mm </t>
    </r>
  </si>
  <si>
    <t>PVC 50 PN10</t>
  </si>
  <si>
    <t>TRPO PLEIN ET PURGE</t>
  </si>
  <si>
    <t>Mur de parois d'ep 15cm</t>
  </si>
  <si>
    <t>PVC 40PN10</t>
  </si>
  <si>
    <t>Purge</t>
  </si>
  <si>
    <t>Dalle d'assise</t>
  </si>
  <si>
    <r>
      <t xml:space="preserve"> en BA</t>
    </r>
    <r>
      <rPr>
        <sz val="11"/>
        <color indexed="8"/>
        <rFont val="Calibri"/>
        <family val="2"/>
      </rPr>
      <t>Ø8mm</t>
    </r>
  </si>
  <si>
    <t>BA 350 et</t>
  </si>
  <si>
    <t>Ø8mm</t>
  </si>
  <si>
    <t>Tuyau d'allimentation</t>
  </si>
  <si>
    <t xml:space="preserve"> et d'epaisseur 10cm</t>
  </si>
  <si>
    <t xml:space="preserve">Beton </t>
  </si>
  <si>
    <t xml:space="preserve"> de propreté </t>
  </si>
  <si>
    <t>d'epaisseur 10cm</t>
  </si>
  <si>
    <t>dalle d'assise( 2,55m x 3m)</t>
  </si>
  <si>
    <t>Empierement en moellon sec du type granite</t>
  </si>
  <si>
    <t>de 30 Cm d 'epaisseur</t>
  </si>
  <si>
    <t xml:space="preserve">Diamètre = 0,80 m et profondeur = 1 m </t>
  </si>
  <si>
    <t>Excavation</t>
  </si>
  <si>
    <t xml:space="preserve"> Fosse de 150 x 150 x 220 cm</t>
  </si>
  <si>
    <t>Achat et pose</t>
  </si>
  <si>
    <t>Main d'œuvre (20%)</t>
  </si>
  <si>
    <t>Aménagement et installation d'un broyeur à flacons</t>
  </si>
  <si>
    <t>Aménagement plan de travail laboratoire ( 7 x 100 x 5000 de dimensions estimées)</t>
  </si>
  <si>
    <t>Y compris la partie visible des pieds et les murs d'extrémités</t>
  </si>
  <si>
    <t>Carrelage mural</t>
  </si>
  <si>
    <t>Deux assises</t>
  </si>
  <si>
    <t>Ciment gris</t>
  </si>
  <si>
    <t>Nom du representant du fournisseur</t>
  </si>
  <si>
    <t>Signature et Sceau</t>
  </si>
  <si>
    <t>Date</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</si>
</sst>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44" formatCode="_-* #,##0.00\ &quot;€&quot;_-;\-* #,##0.00\ &quot;€&quot;_-;_-* &quot;-&quot;??\ &quot;€&quot;_-;_-@_-"/>
    <numFmt numFmtId="43" formatCode="_-* #,##0.00\ _€_-;\-* #,##0.00\ _€_-;_-* &quot;-&quot;??\ _€_-;_-@_-"/>
    <numFmt numFmtId="164" formatCode="&quot;$&quot;#,##0.00_);\(&quot;$&quot;#,##0.00\)"/>
    <numFmt numFmtId="165" formatCode="_(&quot;$&quot;* #,##0.00_);_(&quot;$&quot;* \(#,##0.00\);_(&quot;$&quot;* &quot;-&quot;??_);_(@_)"/>
    <numFmt numFmtId="166" formatCode="_(* #,##0.00_);_(* \(#,##0.00\);_(* &quot;-&quot;??_);_(@_)"/>
    <numFmt numFmtId="167" formatCode="_-* #,##0.00\ _F_B_-;\-* #,##0.00\ _F_B_-;_-* &quot;-&quot;??\ _F_B_-;_-@_-"/>
    <numFmt numFmtId="168" formatCode="0.0"/>
    <numFmt numFmtId="169" formatCode="_-* #,##0.0\ _F_B_-;\-* #,##0.0\ _F_B_-;_-* &quot;-&quot;??\ _F_B_-;_-@_-"/>
    <numFmt numFmtId="170" formatCode="_(&quot;$&quot;* #,##0_);_(&quot;$&quot;* \(#,##0\);_(&quot;$&quot;* &quot;-&quot;??_);_(@_)"/>
    <numFmt numFmtId="171" formatCode="_-* #,##0.00\ &quot;FB&quot;_-;\-* #,##0.00\ &quot;FB&quot;_-;_-* &quot;-&quot;??\ &quot;FB&quot;_-;_-@_-"/>
    <numFmt numFmtId="172" formatCode="_(* #,##0_);_(* \(#,##0\);_(* &quot;-&quot;??_);_(@_)"/>
    <numFmt numFmtId="173" formatCode="_(&quot;$&quot;* #,##0.0_);_(&quot;$&quot;* \(#,##0.0\);_(&quot;$&quot;* &quot;-&quot;??_);_(@_)"/>
    <numFmt numFmtId="174" formatCode="_-* #,##0\ _F_B_-;\-* #,##0\ _F_B_-;_-* &quot;-&quot;??\ _F_B_-;_-@_-"/>
    <numFmt numFmtId="175" formatCode="_(&quot;€&quot;* #,##0_);_(&quot;€&quot;* \(#,##0\);_(&quot;€&quot;* &quot;-&quot;??_);_(@_)"/>
    <numFmt numFmtId="176" formatCode="_-[$$-409]* #,##0.00_ ;_-[$$-409]* \-#,##0.00\ ;_-[$$-409]* &quot;-&quot;??_ ;_-@_ "/>
    <numFmt numFmtId="177" formatCode="_-* #,##0.00&quot; FB&quot;_-;\-* #,##0.00&quot; FB&quot;_-;_-* \-??&quot; FB&quot;_-;_-@_-"/>
    <numFmt numFmtId="178" formatCode="_([$$-409]* #,##0.00_);_([$$-409]* \(#,##0.00\);_([$$-409]* &quot;-&quot;??_);_(@_)"/>
    <numFmt numFmtId="179" formatCode="&quot;$&quot;#,##0"/>
    <numFmt numFmtId="180" formatCode="&quot;$&quot;#,##0.0"/>
    <numFmt numFmtId="181" formatCode="&quot;$&quot;#,##0.00"/>
    <numFmt numFmtId="182" formatCode="_(* #,##0.0_);_(* \(#,##0.0\);_(* &quot;-&quot;?_);_(@_)"/>
    <numFmt numFmtId="183" formatCode="0.0%"/>
    <numFmt numFmtId="184" formatCode="_(* #,##0.0_);_(* \(#,##0.0\);_(* &quot;-&quot;??_);_(@_)"/>
    <numFmt numFmtId="185" formatCode="_-[$$-409]* #,##0.0_ ;_-[$$-409]* \-#,##0.0\ ;_-[$$-409]* &quot;-&quot;??_ ;_-@_ "/>
  </numFmts>
  <fonts count="116" x14ac:knownFonts="1">
    <font>
      <sz val="12"/>
      <color theme="1"/>
      <name val="Times New Roman"/>
      <family val="2"/>
    </font>
    <font>
      <sz val="11"/>
      <color theme="1"/>
      <name val="Calibri"/>
      <family val="2"/>
      <scheme val="minor"/>
    </font>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10"/>
      <name val="Arial"/>
      <family val="2"/>
    </font>
    <font>
      <sz val="11"/>
      <name val="Arial"/>
      <family val="2"/>
    </font>
    <font>
      <sz val="11"/>
      <color indexed="10"/>
      <name val="Arial"/>
      <family val="2"/>
    </font>
    <font>
      <b/>
      <sz val="11"/>
      <name val="Arial"/>
      <family val="2"/>
    </font>
    <font>
      <b/>
      <sz val="12"/>
      <name val="Arial"/>
      <family val="2"/>
    </font>
    <font>
      <b/>
      <sz val="11"/>
      <color indexed="9"/>
      <name val="Arial"/>
      <family val="2"/>
    </font>
    <font>
      <i/>
      <sz val="11"/>
      <name val="Arial"/>
      <family val="2"/>
    </font>
    <font>
      <b/>
      <i/>
      <sz val="11"/>
      <name val="Arial"/>
      <family val="2"/>
    </font>
    <font>
      <b/>
      <sz val="11"/>
      <color indexed="10"/>
      <name val="Arial"/>
      <family val="2"/>
    </font>
    <font>
      <i/>
      <sz val="12"/>
      <color indexed="40"/>
      <name val="Arial"/>
      <family val="2"/>
    </font>
    <font>
      <i/>
      <u/>
      <sz val="12"/>
      <color indexed="40"/>
      <name val="Arial"/>
      <family val="2"/>
    </font>
    <font>
      <b/>
      <i/>
      <sz val="12"/>
      <color indexed="40"/>
      <name val="Arial"/>
      <family val="2"/>
    </font>
    <font>
      <sz val="10"/>
      <name val="Arial"/>
      <family val="2"/>
    </font>
    <font>
      <sz val="11"/>
      <name val="Arial Narrow"/>
      <family val="2"/>
    </font>
    <font>
      <b/>
      <sz val="11"/>
      <name val="Arial Narrow"/>
      <family val="2"/>
    </font>
    <font>
      <i/>
      <sz val="11"/>
      <color indexed="10"/>
      <name val="Arial"/>
      <family val="2"/>
    </font>
    <font>
      <b/>
      <vertAlign val="superscript"/>
      <sz val="11"/>
      <color indexed="9"/>
      <name val="Arial"/>
      <family val="2"/>
    </font>
    <font>
      <sz val="11"/>
      <color indexed="12"/>
      <name val="Arial"/>
      <family val="2"/>
    </font>
    <font>
      <sz val="11"/>
      <color indexed="20"/>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8"/>
      <name val="Calibri"/>
      <family val="2"/>
    </font>
    <font>
      <sz val="11"/>
      <color indexed="60"/>
      <name val="Calibri"/>
      <family val="2"/>
    </font>
    <font>
      <b/>
      <sz val="11"/>
      <color indexed="63"/>
      <name val="Calibri"/>
      <family val="2"/>
    </font>
    <font>
      <b/>
      <sz val="18"/>
      <color indexed="56"/>
      <name val="Cambria"/>
      <family val="2"/>
    </font>
    <font>
      <sz val="12"/>
      <color indexed="8"/>
      <name val="Times New Roman"/>
      <family val="2"/>
    </font>
    <font>
      <sz val="12"/>
      <name val="Times New Roman"/>
      <family val="2"/>
    </font>
    <font>
      <sz val="11"/>
      <color indexed="8"/>
      <name val="Arial Narrow"/>
      <family val="2"/>
    </font>
    <font>
      <b/>
      <sz val="12"/>
      <name val="Arial Narrow"/>
      <family val="2"/>
    </font>
    <font>
      <b/>
      <sz val="10"/>
      <name val="Arial"/>
      <family val="2"/>
    </font>
    <font>
      <b/>
      <sz val="14"/>
      <name val="Arial"/>
      <family val="2"/>
    </font>
    <font>
      <sz val="9"/>
      <name val="Arial"/>
      <family val="2"/>
    </font>
    <font>
      <sz val="14"/>
      <name val="Arial"/>
      <family val="2"/>
    </font>
    <font>
      <sz val="6"/>
      <name val="Arial"/>
      <family val="2"/>
    </font>
    <font>
      <u/>
      <sz val="6"/>
      <name val="Arial"/>
      <family val="2"/>
    </font>
    <font>
      <b/>
      <sz val="18"/>
      <name val="Arial"/>
      <family val="2"/>
    </font>
    <font>
      <sz val="12"/>
      <color theme="1"/>
      <name val="Times New Roman"/>
      <family val="2"/>
    </font>
    <font>
      <sz val="11"/>
      <color theme="1"/>
      <name val="Calibri"/>
      <family val="2"/>
      <scheme val="minor"/>
    </font>
    <font>
      <u/>
      <sz val="12"/>
      <color theme="10"/>
      <name val="Times New Roman"/>
      <family val="2"/>
    </font>
    <font>
      <u/>
      <sz val="8.8000000000000007"/>
      <color theme="10"/>
      <name val="Calibri"/>
      <family val="2"/>
    </font>
    <font>
      <sz val="10"/>
      <color theme="1"/>
      <name val="Arial"/>
      <family val="2"/>
    </font>
    <font>
      <b/>
      <sz val="11"/>
      <color theme="0"/>
      <name val="Arial"/>
      <family val="2"/>
    </font>
    <font>
      <b/>
      <sz val="11"/>
      <color rgb="FF0099FF"/>
      <name val="Arial"/>
      <family val="2"/>
    </font>
    <font>
      <sz val="11"/>
      <color rgb="FF0099FF"/>
      <name val="Arial"/>
      <family val="2"/>
    </font>
    <font>
      <i/>
      <sz val="11"/>
      <color rgb="FF0099FF"/>
      <name val="Arial"/>
      <family val="2"/>
    </font>
    <font>
      <b/>
      <sz val="9.5"/>
      <color theme="0"/>
      <name val="Arial"/>
      <family val="2"/>
    </font>
    <font>
      <sz val="11"/>
      <color theme="0"/>
      <name val="Arial"/>
      <family val="2"/>
    </font>
    <font>
      <b/>
      <sz val="10"/>
      <color theme="0"/>
      <name val="Arial"/>
      <family val="2"/>
    </font>
    <font>
      <sz val="11"/>
      <color rgb="FFFF0000"/>
      <name val="Arial"/>
      <family val="2"/>
    </font>
    <font>
      <sz val="11"/>
      <color rgb="FF0000FF"/>
      <name val="Arial"/>
      <family val="2"/>
    </font>
    <font>
      <sz val="11"/>
      <color theme="1"/>
      <name val="Arial Narrow"/>
      <family val="2"/>
    </font>
    <font>
      <b/>
      <sz val="11"/>
      <color theme="1"/>
      <name val="Arial Narrow"/>
      <family val="2"/>
    </font>
    <font>
      <sz val="12"/>
      <color theme="0"/>
      <name val="Arial Narrow"/>
      <family val="2"/>
    </font>
    <font>
      <b/>
      <sz val="12"/>
      <color theme="0"/>
      <name val="Arial Narrow"/>
      <family val="2"/>
    </font>
    <font>
      <sz val="12"/>
      <name val="Calibri"/>
      <family val="2"/>
      <scheme val="minor"/>
    </font>
    <font>
      <sz val="12"/>
      <color theme="1"/>
      <name val="Arial"/>
      <family val="2"/>
    </font>
    <font>
      <b/>
      <sz val="14"/>
      <name val="Calibri"/>
      <family val="2"/>
      <scheme val="minor"/>
    </font>
    <font>
      <sz val="11"/>
      <color theme="1"/>
      <name val="Calibri"/>
      <family val="2"/>
    </font>
    <font>
      <sz val="11"/>
      <name val="Calibri"/>
      <family val="2"/>
      <scheme val="minor"/>
    </font>
    <font>
      <b/>
      <sz val="10"/>
      <color rgb="FF000000"/>
      <name val="Arial"/>
      <family val="2"/>
    </font>
    <font>
      <b/>
      <sz val="11"/>
      <name val="Calibri"/>
      <family val="2"/>
      <scheme val="minor"/>
    </font>
    <font>
      <sz val="11"/>
      <color rgb="FF000000"/>
      <name val="Calibri"/>
      <family val="2"/>
    </font>
    <font>
      <b/>
      <i/>
      <sz val="10"/>
      <color rgb="FF00B0F0"/>
      <name val="Arial"/>
      <family val="2"/>
    </font>
    <font>
      <i/>
      <sz val="14"/>
      <color rgb="FF00B0F0"/>
      <name val="Arial"/>
      <family val="2"/>
    </font>
    <font>
      <b/>
      <i/>
      <sz val="12"/>
      <color rgb="FF00B0F0"/>
      <name val="Arial"/>
      <family val="2"/>
    </font>
    <font>
      <b/>
      <i/>
      <sz val="11"/>
      <color theme="1"/>
      <name val="Calibri"/>
      <family val="2"/>
      <scheme val="minor"/>
    </font>
    <font>
      <sz val="11"/>
      <color theme="1"/>
      <name val="Arial"/>
      <family val="2"/>
    </font>
    <font>
      <u/>
      <sz val="11"/>
      <color theme="10"/>
      <name val="Arial Narrow"/>
      <family val="2"/>
    </font>
    <font>
      <vertAlign val="superscript"/>
      <sz val="11"/>
      <color theme="1"/>
      <name val="Arial Narrow"/>
      <family val="2"/>
    </font>
    <font>
      <b/>
      <sz val="14"/>
      <color theme="0"/>
      <name val="Arial Narrow"/>
      <family val="2"/>
    </font>
    <font>
      <sz val="14"/>
      <color theme="0"/>
      <name val="Arial Narrow"/>
      <family val="2"/>
    </font>
    <font>
      <sz val="22"/>
      <color theme="0"/>
      <name val="Arial Narrow"/>
      <family val="2"/>
    </font>
    <font>
      <sz val="11"/>
      <color theme="0"/>
      <name val="Arial Narrow"/>
      <family val="2"/>
    </font>
    <font>
      <b/>
      <sz val="14"/>
      <color theme="0"/>
      <name val="Arial"/>
      <family val="2"/>
    </font>
    <font>
      <b/>
      <i/>
      <sz val="12"/>
      <color theme="0"/>
      <name val="Arial"/>
      <family val="2"/>
    </font>
    <font>
      <b/>
      <sz val="10"/>
      <color theme="0"/>
      <name val="Calibri"/>
      <family val="2"/>
      <scheme val="minor"/>
    </font>
    <font>
      <sz val="10"/>
      <name val="Calibri"/>
      <family val="2"/>
      <scheme val="minor"/>
    </font>
    <font>
      <b/>
      <sz val="10"/>
      <name val="Calibri"/>
      <family val="2"/>
      <scheme val="minor"/>
    </font>
    <font>
      <b/>
      <sz val="12"/>
      <name val="Calibri"/>
      <family val="2"/>
      <scheme val="minor"/>
    </font>
    <font>
      <b/>
      <sz val="20"/>
      <name val="Calibri"/>
      <family val="2"/>
      <scheme val="minor"/>
    </font>
    <font>
      <sz val="12"/>
      <name val="Arial Narrow"/>
      <family val="2"/>
    </font>
    <font>
      <b/>
      <sz val="18"/>
      <name val="Calibri"/>
      <family val="2"/>
      <scheme val="minor"/>
    </font>
    <font>
      <sz val="11"/>
      <color theme="0"/>
      <name val="Calibri"/>
      <family val="2"/>
      <scheme val="minor"/>
    </font>
    <font>
      <sz val="10"/>
      <color theme="0"/>
      <name val="Calibri"/>
      <family val="2"/>
      <scheme val="minor"/>
    </font>
    <font>
      <sz val="18"/>
      <name val="Calibri"/>
      <family val="2"/>
      <scheme val="minor"/>
    </font>
    <font>
      <b/>
      <sz val="11"/>
      <color theme="0"/>
      <name val="Calibri"/>
      <family val="2"/>
      <scheme val="minor"/>
    </font>
    <font>
      <u/>
      <sz val="10"/>
      <name val="Calibri"/>
      <family val="2"/>
      <scheme val="minor"/>
    </font>
    <font>
      <b/>
      <sz val="14"/>
      <color theme="0"/>
      <name val="Calibri"/>
      <family val="2"/>
      <scheme val="minor"/>
    </font>
    <font>
      <b/>
      <sz val="18"/>
      <color theme="0"/>
      <name val="Calibri"/>
      <family val="2"/>
      <scheme val="minor"/>
    </font>
    <font>
      <b/>
      <sz val="16"/>
      <name val="Calibri"/>
      <family val="2"/>
      <scheme val="minor"/>
    </font>
    <font>
      <b/>
      <sz val="11"/>
      <color theme="1"/>
      <name val="Arial"/>
      <family val="2"/>
    </font>
    <font>
      <sz val="8"/>
      <name val="Times New Roman"/>
      <family val="2"/>
    </font>
    <font>
      <sz val="12"/>
      <color theme="0"/>
      <name val="Times New Roman"/>
      <family val="2"/>
    </font>
    <font>
      <sz val="10"/>
      <color theme="0"/>
      <name val="Times New Roman"/>
      <family val="2"/>
    </font>
    <font>
      <vertAlign val="superscript"/>
      <sz val="11"/>
      <color theme="1"/>
      <name val="Arial"/>
      <family val="2"/>
    </font>
    <font>
      <vertAlign val="superscript"/>
      <sz val="11"/>
      <name val="Arial"/>
      <family val="2"/>
    </font>
    <font>
      <b/>
      <sz val="11"/>
      <color rgb="FFFF0000"/>
      <name val="Arial"/>
      <family val="2"/>
    </font>
    <font>
      <sz val="11"/>
      <color rgb="FF000000"/>
      <name val="Arial"/>
      <family val="2"/>
    </font>
    <font>
      <vertAlign val="superscript"/>
      <sz val="10"/>
      <color theme="1"/>
      <name val="Arial"/>
      <family val="2"/>
    </font>
    <font>
      <b/>
      <vertAlign val="superscript"/>
      <sz val="11"/>
      <color theme="0"/>
      <name val="Arial"/>
      <family val="2"/>
    </font>
    <font>
      <sz val="10"/>
      <color theme="0"/>
      <name val="Arial"/>
      <family val="2"/>
    </font>
    <font>
      <vertAlign val="superscript"/>
      <sz val="11"/>
      <color indexed="8"/>
      <name val="Arial"/>
      <family val="2"/>
    </font>
    <font>
      <sz val="14"/>
      <color theme="1"/>
      <name val="Arial"/>
      <family val="2"/>
    </font>
  </fonts>
  <fills count="38">
    <fill>
      <patternFill patternType="none"/>
    </fill>
    <fill>
      <patternFill patternType="gray125"/>
    </fill>
    <fill>
      <patternFill patternType="solid">
        <fgColor indexed="45"/>
      </patternFill>
    </fill>
    <fill>
      <patternFill patternType="solid">
        <fgColor indexed="42"/>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rgb="FF0099FF"/>
        <bgColor indexed="64"/>
      </patternFill>
    </fill>
    <fill>
      <patternFill patternType="solid">
        <fgColor theme="9" tint="0.79998168889431442"/>
        <bgColor indexed="64"/>
      </patternFill>
    </fill>
    <fill>
      <patternFill patternType="solid">
        <fgColor rgb="FFCCFFCC"/>
        <bgColor indexed="64"/>
      </patternFill>
    </fill>
    <fill>
      <patternFill patternType="solid">
        <fgColor rgb="FFFFFF00"/>
        <bgColor indexed="64"/>
      </patternFill>
    </fill>
    <fill>
      <patternFill patternType="solid">
        <fgColor rgb="FFCCC0D9"/>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3" tint="-0.249977111117893"/>
        <bgColor indexed="64"/>
      </patternFill>
    </fill>
    <fill>
      <patternFill patternType="solid">
        <fgColor rgb="FFD9D9D9"/>
        <bgColor indexed="64"/>
      </patternFill>
    </fill>
    <fill>
      <patternFill patternType="solid">
        <fgColor theme="9" tint="0.59999389629810485"/>
        <bgColor indexed="64"/>
      </patternFill>
    </fill>
    <fill>
      <patternFill patternType="solid">
        <fgColor theme="4"/>
        <bgColor indexed="64"/>
      </patternFill>
    </fill>
    <fill>
      <patternFill patternType="solid">
        <fgColor theme="4" tint="0.39997558519241921"/>
        <bgColor indexed="64"/>
      </patternFill>
    </fill>
    <fill>
      <patternFill patternType="solid">
        <fgColor rgb="FF00B0F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FF"/>
        <bgColor rgb="FFFFFFFF"/>
      </patternFill>
    </fill>
    <fill>
      <patternFill patternType="solid">
        <fgColor theme="6" tint="0.39997558519241921"/>
        <bgColor indexed="64"/>
      </patternFill>
    </fill>
    <fill>
      <patternFill patternType="solid">
        <fgColor theme="2"/>
        <bgColor indexed="64"/>
      </patternFill>
    </fill>
    <fill>
      <patternFill patternType="solid">
        <fgColor rgb="FFB8CCE4"/>
        <bgColor indexed="64"/>
      </patternFill>
    </fill>
    <fill>
      <patternFill patternType="solid">
        <fgColor rgb="FF002060"/>
        <bgColor indexed="64"/>
      </patternFill>
    </fill>
    <fill>
      <patternFill patternType="solid">
        <fgColor rgb="FFFFFFFF"/>
        <bgColor indexed="64"/>
      </patternFill>
    </fill>
    <fill>
      <patternFill patternType="solid">
        <fgColor theme="7" tint="0.79998168889431442"/>
        <bgColor indexed="64"/>
      </patternFill>
    </fill>
    <fill>
      <patternFill patternType="gray125">
        <fgColor rgb="FFFFFFFF"/>
        <bgColor rgb="FFFFFFFF"/>
      </patternFill>
    </fill>
    <fill>
      <patternFill patternType="gray125">
        <fgColor rgb="FFFFFFFF"/>
        <bgColor theme="4" tint="0.59999389629810485"/>
      </patternFill>
    </fill>
    <fill>
      <patternFill patternType="gray125">
        <bgColor theme="4" tint="0.59999389629810485"/>
      </patternFill>
    </fill>
    <fill>
      <patternFill patternType="solid">
        <fgColor theme="3"/>
        <bgColor indexed="64"/>
      </patternFill>
    </fill>
    <fill>
      <patternFill patternType="solid">
        <fgColor theme="3" tint="-0.499984740745262"/>
        <bgColor indexed="64"/>
      </patternFill>
    </fill>
    <fill>
      <patternFill patternType="solid">
        <fgColor rgb="FF00AEEF"/>
        <bgColor indexed="64"/>
      </patternFill>
    </fill>
  </fills>
  <borders count="55">
    <border>
      <left/>
      <right/>
      <top/>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theme="3" tint="0.39994506668294322"/>
      </left>
      <right style="medium">
        <color theme="3" tint="0.39994506668294322"/>
      </right>
      <top style="medium">
        <color theme="3" tint="0.39994506668294322"/>
      </top>
      <bottom style="medium">
        <color theme="3" tint="0.39994506668294322"/>
      </bottom>
      <diagonal/>
    </border>
    <border>
      <left style="medium">
        <color theme="3" tint="0.39994506668294322"/>
      </left>
      <right/>
      <top style="medium">
        <color theme="3" tint="0.39994506668294322"/>
      </top>
      <bottom style="medium">
        <color theme="3" tint="0.39994506668294322"/>
      </bottom>
      <diagonal/>
    </border>
    <border>
      <left/>
      <right/>
      <top style="medium">
        <color theme="3" tint="0.39994506668294322"/>
      </top>
      <bottom style="medium">
        <color theme="3" tint="0.39994506668294322"/>
      </bottom>
      <diagonal/>
    </border>
    <border>
      <left style="medium">
        <color theme="3" tint="0.39994506668294322"/>
      </left>
      <right style="medium">
        <color theme="3" tint="0.39994506668294322"/>
      </right>
      <top style="medium">
        <color theme="3" tint="0.39994506668294322"/>
      </top>
      <bottom/>
      <diagonal/>
    </border>
    <border>
      <left style="medium">
        <color theme="3" tint="0.39994506668294322"/>
      </left>
      <right style="medium">
        <color theme="3" tint="0.39994506668294322"/>
      </right>
      <top/>
      <bottom style="medium">
        <color theme="3" tint="0.39994506668294322"/>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auto="1"/>
      </top>
      <bottom/>
      <diagonal/>
    </border>
    <border>
      <left style="thin">
        <color indexed="64"/>
      </left>
      <right style="thin">
        <color indexed="64"/>
      </right>
      <top style="thin">
        <color indexed="64"/>
      </top>
      <bottom style="thin">
        <color indexed="64"/>
      </bottom>
      <diagonal/>
    </border>
  </borders>
  <cellStyleXfs count="73">
    <xf numFmtId="0" fontId="0" fillId="0" borderId="0"/>
    <xf numFmtId="0" fontId="27" fillId="2" borderId="0" applyNumberFormat="0" applyBorder="0" applyAlignment="0" applyProtection="0"/>
    <xf numFmtId="0" fontId="27" fillId="2" borderId="0" applyNumberFormat="0" applyBorder="0" applyAlignment="0" applyProtection="0"/>
    <xf numFmtId="0" fontId="28" fillId="5" borderId="1" applyNumberFormat="0" applyAlignment="0" applyProtection="0"/>
    <xf numFmtId="0" fontId="28" fillId="5" borderId="1" applyNumberFormat="0" applyAlignment="0" applyProtection="0"/>
    <xf numFmtId="166" fontId="4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4" fontId="9" fillId="0" borderId="0" applyFont="0" applyFill="0" applyBorder="0" applyAlignment="0" applyProtection="0"/>
    <xf numFmtId="44" fontId="49" fillId="0" borderId="0" applyFont="0" applyFill="0" applyBorder="0" applyAlignment="0" applyProtection="0"/>
    <xf numFmtId="171" fontId="9" fillId="0" borderId="0" applyFont="0" applyFill="0" applyBorder="0" applyAlignment="0" applyProtection="0"/>
    <xf numFmtId="177" fontId="9" fillId="0" borderId="0" applyFill="0" applyBorder="0" applyAlignment="0" applyProtection="0"/>
    <xf numFmtId="0" fontId="9" fillId="0" borderId="0" applyFont="0" applyFill="0" applyBorder="0" applyAlignment="0" applyProtection="0"/>
    <xf numFmtId="171" fontId="9" fillId="0" borderId="0" applyFont="0" applyFill="0" applyBorder="0" applyAlignment="0" applyProtection="0"/>
    <xf numFmtId="165" fontId="38" fillId="0" borderId="0" applyFont="0" applyFill="0" applyBorder="0" applyAlignment="0" applyProtection="0"/>
    <xf numFmtId="44" fontId="9" fillId="0" borderId="0" applyFont="0" applyFill="0" applyBorder="0" applyAlignment="0" applyProtection="0"/>
    <xf numFmtId="0" fontId="9" fillId="0" borderId="0"/>
    <xf numFmtId="0" fontId="29" fillId="0" borderId="0" applyNumberFormat="0" applyFill="0" applyBorder="0" applyAlignment="0" applyProtection="0"/>
    <xf numFmtId="0" fontId="29" fillId="0" borderId="0" applyNumberFormat="0" applyFill="0" applyBorder="0" applyAlignment="0" applyProtection="0"/>
    <xf numFmtId="0" fontId="30" fillId="3" borderId="0" applyNumberFormat="0" applyBorder="0" applyAlignment="0" applyProtection="0"/>
    <xf numFmtId="0" fontId="30" fillId="3" borderId="0" applyNumberFormat="0" applyBorder="0" applyAlignment="0" applyProtection="0"/>
    <xf numFmtId="0" fontId="31" fillId="0" borderId="2" applyNumberFormat="0" applyFill="0" applyAlignment="0" applyProtection="0"/>
    <xf numFmtId="0" fontId="31" fillId="0" borderId="2" applyNumberFormat="0" applyFill="0" applyAlignment="0" applyProtection="0"/>
    <xf numFmtId="0" fontId="32" fillId="0" borderId="3" applyNumberFormat="0" applyFill="0" applyAlignment="0" applyProtection="0"/>
    <xf numFmtId="0" fontId="32" fillId="0" borderId="3" applyNumberFormat="0" applyFill="0" applyAlignment="0" applyProtection="0"/>
    <xf numFmtId="0" fontId="33" fillId="0" borderId="4" applyNumberFormat="0" applyFill="0" applyAlignment="0" applyProtection="0"/>
    <xf numFmtId="0" fontId="33" fillId="0" borderId="4"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alignment vertical="top"/>
      <protection locked="0"/>
    </xf>
    <xf numFmtId="166" fontId="9" fillId="0" borderId="0" applyFont="0" applyFill="0" applyBorder="0" applyAlignment="0" applyProtection="0"/>
    <xf numFmtId="0" fontId="9" fillId="0" borderId="0" applyFont="0" applyFill="0" applyBorder="0" applyAlignment="0" applyProtection="0"/>
    <xf numFmtId="166" fontId="9" fillId="0" borderId="0" applyFont="0" applyFill="0" applyBorder="0" applyAlignment="0" applyProtection="0"/>
    <xf numFmtId="44" fontId="34"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1" fontId="9" fillId="0" borderId="0" applyFont="0" applyFill="0" applyBorder="0" applyAlignment="0" applyProtection="0"/>
    <xf numFmtId="0" fontId="35" fillId="6" borderId="0" applyNumberFormat="0" applyBorder="0" applyAlignment="0" applyProtection="0"/>
    <xf numFmtId="0" fontId="35" fillId="6" borderId="0" applyNumberFormat="0" applyBorder="0" applyAlignment="0" applyProtection="0"/>
    <xf numFmtId="0" fontId="9" fillId="0" borderId="0"/>
    <xf numFmtId="0" fontId="50" fillId="0" borderId="0"/>
    <xf numFmtId="0" fontId="9" fillId="0" borderId="0"/>
    <xf numFmtId="0" fontId="9" fillId="0" borderId="0"/>
    <xf numFmtId="0" fontId="9" fillId="0" borderId="0"/>
    <xf numFmtId="0" fontId="53" fillId="0" borderId="0"/>
    <xf numFmtId="0" fontId="9" fillId="0" borderId="0"/>
    <xf numFmtId="0" fontId="9" fillId="0" borderId="0"/>
    <xf numFmtId="0" fontId="50" fillId="0" borderId="0"/>
    <xf numFmtId="0" fontId="21" fillId="0" borderId="0"/>
    <xf numFmtId="0" fontId="49" fillId="0" borderId="0"/>
    <xf numFmtId="0" fontId="9" fillId="0" borderId="0"/>
    <xf numFmtId="0" fontId="50" fillId="0" borderId="0"/>
    <xf numFmtId="0" fontId="50" fillId="0" borderId="0"/>
    <xf numFmtId="0" fontId="50" fillId="0" borderId="0"/>
    <xf numFmtId="0" fontId="9" fillId="0" borderId="0"/>
    <xf numFmtId="0" fontId="36" fillId="4" borderId="5" applyNumberFormat="0" applyAlignment="0" applyProtection="0"/>
    <xf numFmtId="0" fontId="36" fillId="4" borderId="5" applyNumberFormat="0" applyAlignment="0" applyProtection="0"/>
    <xf numFmtId="9" fontId="49" fillId="0" borderId="0" applyFont="0" applyFill="0" applyBorder="0" applyAlignment="0" applyProtection="0"/>
    <xf numFmtId="9" fontId="9" fillId="0" borderId="0" applyFont="0" applyFill="0" applyBorder="0" applyAlignment="0" applyProtection="0"/>
    <xf numFmtId="9" fontId="8" fillId="0" borderId="0" applyFon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43" fontId="6"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0" fontId="5" fillId="0" borderId="0"/>
    <xf numFmtId="9" fontId="5" fillId="0" borderId="0" applyFont="0" applyFill="0" applyBorder="0" applyAlignment="0" applyProtection="0"/>
    <xf numFmtId="43" fontId="4" fillId="0" borderId="0" applyFont="0" applyFill="0" applyBorder="0" applyAlignment="0" applyProtection="0"/>
    <xf numFmtId="0" fontId="70" fillId="0" borderId="0"/>
    <xf numFmtId="0" fontId="3" fillId="0" borderId="0"/>
    <xf numFmtId="0" fontId="79" fillId="0" borderId="0"/>
    <xf numFmtId="0" fontId="1" fillId="0" borderId="0"/>
  </cellStyleXfs>
  <cellXfs count="895">
    <xf numFmtId="0" fontId="0" fillId="0" borderId="0" xfId="0"/>
    <xf numFmtId="0" fontId="10" fillId="7" borderId="0" xfId="40" applyFont="1" applyFill="1" applyProtection="1">
      <protection locked="0"/>
    </xf>
    <xf numFmtId="0" fontId="10" fillId="0" borderId="0" xfId="40" applyFont="1" applyProtection="1">
      <protection locked="0"/>
    </xf>
    <xf numFmtId="0" fontId="54" fillId="7" borderId="0" xfId="40" applyFont="1" applyFill="1" applyAlignment="1" applyProtection="1">
      <alignment wrapText="1"/>
      <protection locked="0"/>
    </xf>
    <xf numFmtId="170" fontId="54" fillId="8" borderId="6" xfId="59" applyNumberFormat="1" applyFont="1" applyFill="1" applyBorder="1" applyAlignment="1" applyProtection="1">
      <alignment horizontal="right" vertical="center"/>
      <protection locked="0"/>
    </xf>
    <xf numFmtId="170" fontId="54" fillId="7" borderId="0" xfId="10" applyNumberFormat="1" applyFont="1" applyFill="1" applyBorder="1" applyAlignment="1" applyProtection="1">
      <alignment vertical="center" wrapText="1"/>
      <protection locked="0"/>
    </xf>
    <xf numFmtId="9" fontId="15" fillId="0" borderId="0" xfId="59" applyFont="1" applyFill="1" applyBorder="1" applyAlignment="1" applyProtection="1">
      <alignment horizontal="right" vertical="center"/>
      <protection locked="0"/>
    </xf>
    <xf numFmtId="10" fontId="12" fillId="7" borderId="0" xfId="59" applyNumberFormat="1" applyFont="1" applyFill="1" applyBorder="1" applyAlignment="1" applyProtection="1">
      <alignment horizontal="right" vertical="center"/>
      <protection locked="0"/>
    </xf>
    <xf numFmtId="0" fontId="10" fillId="7" borderId="0" xfId="40" applyFont="1" applyFill="1" applyAlignment="1" applyProtection="1">
      <alignment horizontal="center"/>
      <protection locked="0"/>
    </xf>
    <xf numFmtId="0" fontId="56" fillId="7" borderId="0" xfId="40" applyFont="1" applyFill="1" applyAlignment="1" applyProtection="1">
      <alignment horizontal="center"/>
      <protection locked="0"/>
    </xf>
    <xf numFmtId="0" fontId="15" fillId="7" borderId="0" xfId="40" applyFont="1" applyFill="1" applyProtection="1">
      <protection locked="0"/>
    </xf>
    <xf numFmtId="0" fontId="57" fillId="7" borderId="0" xfId="40" applyFont="1" applyFill="1" applyProtection="1">
      <protection locked="0"/>
    </xf>
    <xf numFmtId="0" fontId="12" fillId="7" borderId="0" xfId="40" applyFont="1" applyFill="1" applyProtection="1">
      <protection locked="0"/>
    </xf>
    <xf numFmtId="0" fontId="55" fillId="7" borderId="0" xfId="40" applyFont="1" applyFill="1" applyProtection="1">
      <protection locked="0"/>
    </xf>
    <xf numFmtId="0" fontId="10" fillId="0" borderId="6" xfId="40" applyFont="1" applyBorder="1" applyAlignment="1" applyProtection="1">
      <alignment horizontal="left" vertical="center" wrapText="1"/>
      <protection locked="0"/>
    </xf>
    <xf numFmtId="170" fontId="10" fillId="0" borderId="6" xfId="10" applyNumberFormat="1" applyFont="1" applyBorder="1" applyAlignment="1" applyProtection="1">
      <alignment horizontal="center" vertical="center" wrapText="1"/>
      <protection locked="0"/>
    </xf>
    <xf numFmtId="169" fontId="10" fillId="0" borderId="6" xfId="6" applyNumberFormat="1" applyFont="1" applyBorder="1" applyAlignment="1" applyProtection="1">
      <alignment horizontal="right" vertical="center" wrapText="1"/>
      <protection locked="0"/>
    </xf>
    <xf numFmtId="9" fontId="10" fillId="7" borderId="6" xfId="59" applyFont="1" applyFill="1" applyBorder="1" applyAlignment="1" applyProtection="1">
      <alignment horizontal="right" vertical="center" wrapText="1"/>
      <protection locked="0"/>
    </xf>
    <xf numFmtId="0" fontId="10" fillId="7" borderId="0" xfId="40" applyFont="1" applyFill="1" applyAlignment="1" applyProtection="1">
      <alignment vertical="center"/>
      <protection locked="0"/>
    </xf>
    <xf numFmtId="168" fontId="56" fillId="7" borderId="0" xfId="6" applyNumberFormat="1" applyFont="1" applyFill="1" applyBorder="1" applyAlignment="1" applyProtection="1">
      <alignment horizontal="right" vertical="center"/>
      <protection locked="0"/>
    </xf>
    <xf numFmtId="168" fontId="55" fillId="7" borderId="0" xfId="6" applyNumberFormat="1" applyFont="1" applyFill="1" applyBorder="1" applyAlignment="1" applyProtection="1">
      <alignment horizontal="right" vertical="center"/>
      <protection locked="0"/>
    </xf>
    <xf numFmtId="170" fontId="12" fillId="7" borderId="0" xfId="10" applyNumberFormat="1" applyFont="1" applyFill="1" applyBorder="1" applyAlignment="1" applyProtection="1">
      <alignment horizontal="center" vertical="center" wrapText="1"/>
      <protection locked="0"/>
    </xf>
    <xf numFmtId="9" fontId="12" fillId="7" borderId="0" xfId="40" applyNumberFormat="1" applyFont="1" applyFill="1" applyAlignment="1" applyProtection="1">
      <alignment horizontal="right" vertical="center"/>
      <protection locked="0"/>
    </xf>
    <xf numFmtId="169" fontId="12" fillId="7" borderId="0" xfId="40" applyNumberFormat="1" applyFont="1" applyFill="1" applyAlignment="1" applyProtection="1">
      <alignment horizontal="left" vertical="center" wrapText="1"/>
      <protection locked="0"/>
    </xf>
    <xf numFmtId="0" fontId="12" fillId="7" borderId="0" xfId="40" applyFont="1" applyFill="1" applyAlignment="1" applyProtection="1">
      <alignment horizontal="left" vertical="center" wrapText="1"/>
      <protection locked="0"/>
    </xf>
    <xf numFmtId="1" fontId="55" fillId="7" borderId="0" xfId="6" applyNumberFormat="1" applyFont="1" applyFill="1" applyBorder="1" applyAlignment="1" applyProtection="1">
      <alignment horizontal="right" vertical="center"/>
      <protection locked="0"/>
    </xf>
    <xf numFmtId="0" fontId="12" fillId="7" borderId="0" xfId="40" applyFont="1" applyFill="1" applyAlignment="1" applyProtection="1">
      <alignment horizontal="center" vertical="center"/>
      <protection locked="0"/>
    </xf>
    <xf numFmtId="9" fontId="12" fillId="7" borderId="0" xfId="40" applyNumberFormat="1" applyFont="1" applyFill="1" applyAlignment="1" applyProtection="1">
      <alignment horizontal="center" vertical="center"/>
      <protection locked="0"/>
    </xf>
    <xf numFmtId="169" fontId="12" fillId="7" borderId="0" xfId="6" applyNumberFormat="1" applyFont="1" applyFill="1" applyBorder="1" applyAlignment="1" applyProtection="1">
      <alignment horizontal="center" vertical="center"/>
      <protection locked="0"/>
    </xf>
    <xf numFmtId="49" fontId="12" fillId="7" borderId="0" xfId="40" applyNumberFormat="1" applyFont="1" applyFill="1" applyAlignment="1" applyProtection="1">
      <alignment horizontal="center" vertical="center"/>
      <protection locked="0"/>
    </xf>
    <xf numFmtId="0" fontId="55" fillId="7" borderId="0" xfId="40" applyFont="1" applyFill="1" applyAlignment="1" applyProtection="1">
      <alignment vertical="center"/>
      <protection locked="0"/>
    </xf>
    <xf numFmtId="168" fontId="55" fillId="7" borderId="0" xfId="6" applyNumberFormat="1" applyFont="1" applyFill="1" applyBorder="1" applyAlignment="1" applyProtection="1">
      <alignment horizontal="right" vertical="center" indent="10"/>
      <protection locked="0"/>
    </xf>
    <xf numFmtId="170" fontId="15" fillId="7" borderId="0" xfId="59" applyNumberFormat="1" applyFont="1" applyFill="1" applyBorder="1" applyAlignment="1" applyProtection="1">
      <alignment horizontal="right" vertical="center"/>
      <protection locked="0"/>
    </xf>
    <xf numFmtId="0" fontId="15" fillId="7" borderId="0" xfId="40" applyFont="1" applyFill="1" applyAlignment="1" applyProtection="1">
      <alignment horizontal="center"/>
      <protection locked="0"/>
    </xf>
    <xf numFmtId="0" fontId="10" fillId="7" borderId="0" xfId="40" applyFont="1" applyFill="1" applyAlignment="1" applyProtection="1">
      <alignment horizontal="right"/>
      <protection locked="0"/>
    </xf>
    <xf numFmtId="169" fontId="10" fillId="7" borderId="0" xfId="6" applyNumberFormat="1" applyFont="1" applyFill="1" applyBorder="1" applyProtection="1">
      <protection locked="0"/>
    </xf>
    <xf numFmtId="0" fontId="11" fillId="7" borderId="0" xfId="40" applyFont="1" applyFill="1" applyAlignment="1" applyProtection="1">
      <alignment horizontal="left" vertical="center"/>
      <protection locked="0"/>
    </xf>
    <xf numFmtId="49" fontId="10" fillId="7" borderId="0" xfId="40" applyNumberFormat="1" applyFont="1" applyFill="1" applyAlignment="1" applyProtection="1">
      <alignment horizontal="left" vertical="center"/>
      <protection locked="0"/>
    </xf>
    <xf numFmtId="49" fontId="12" fillId="7" borderId="0" xfId="40" applyNumberFormat="1" applyFont="1" applyFill="1" applyAlignment="1" applyProtection="1">
      <alignment horizontal="left" vertical="center"/>
      <protection locked="0"/>
    </xf>
    <xf numFmtId="9" fontId="15" fillId="7" borderId="0" xfId="59" applyFont="1" applyFill="1" applyBorder="1" applyAlignment="1" applyProtection="1">
      <alignment horizontal="right" vertical="center"/>
      <protection locked="0"/>
    </xf>
    <xf numFmtId="0" fontId="16" fillId="7" borderId="0" xfId="40" applyFont="1" applyFill="1" applyAlignment="1" applyProtection="1">
      <alignment horizontal="left" vertical="center"/>
      <protection locked="0"/>
    </xf>
    <xf numFmtId="49" fontId="10" fillId="7" borderId="0" xfId="40" applyNumberFormat="1" applyFont="1" applyFill="1" applyAlignment="1" applyProtection="1">
      <alignment horizontal="left" vertical="center" wrapText="1"/>
      <protection locked="0"/>
    </xf>
    <xf numFmtId="9" fontId="10" fillId="7" borderId="0" xfId="40" applyNumberFormat="1" applyFont="1" applyFill="1" applyProtection="1">
      <protection locked="0"/>
    </xf>
    <xf numFmtId="49" fontId="12" fillId="7" borderId="0" xfId="40" applyNumberFormat="1" applyFont="1" applyFill="1" applyAlignment="1" applyProtection="1">
      <alignment vertical="top"/>
      <protection locked="0"/>
    </xf>
    <xf numFmtId="0" fontId="11" fillId="7" borderId="0" xfId="40" applyFont="1" applyFill="1" applyProtection="1">
      <protection locked="0"/>
    </xf>
    <xf numFmtId="49" fontId="12" fillId="7" borderId="0" xfId="40" applyNumberFormat="1" applyFont="1" applyFill="1" applyProtection="1">
      <protection locked="0"/>
    </xf>
    <xf numFmtId="0" fontId="12" fillId="7" borderId="0" xfId="40" applyFont="1" applyFill="1" applyAlignment="1" applyProtection="1">
      <alignment horizontal="left" vertical="center"/>
      <protection locked="0"/>
    </xf>
    <xf numFmtId="169" fontId="10" fillId="7" borderId="0" xfId="6" applyNumberFormat="1" applyFont="1" applyFill="1" applyBorder="1" applyAlignment="1" applyProtection="1">
      <protection locked="0"/>
    </xf>
    <xf numFmtId="49" fontId="10" fillId="7" borderId="0" xfId="40" applyNumberFormat="1" applyFont="1" applyFill="1" applyProtection="1">
      <protection locked="0"/>
    </xf>
    <xf numFmtId="168" fontId="55" fillId="7" borderId="0" xfId="6" applyNumberFormat="1" applyFont="1" applyFill="1" applyBorder="1" applyAlignment="1" applyProtection="1">
      <alignment horizontal="right" vertical="top"/>
      <protection locked="0"/>
    </xf>
    <xf numFmtId="168" fontId="56" fillId="7" borderId="0" xfId="6" applyNumberFormat="1" applyFont="1" applyFill="1" applyAlignment="1" applyProtection="1">
      <alignment horizontal="right" vertical="center"/>
      <protection locked="0"/>
    </xf>
    <xf numFmtId="0" fontId="10" fillId="7" borderId="0" xfId="40" applyFont="1" applyFill="1" applyAlignment="1" applyProtection="1">
      <alignment horizontal="left" vertical="center"/>
      <protection locked="0"/>
    </xf>
    <xf numFmtId="169" fontId="10" fillId="7" borderId="0" xfId="6" applyNumberFormat="1" applyFont="1" applyFill="1" applyAlignment="1" applyProtection="1">
      <protection locked="0"/>
    </xf>
    <xf numFmtId="0" fontId="13" fillId="7" borderId="0" xfId="40" applyFont="1" applyFill="1" applyAlignment="1" applyProtection="1">
      <alignment vertical="center"/>
      <protection locked="0"/>
    </xf>
    <xf numFmtId="49" fontId="12" fillId="7" borderId="0" xfId="40" applyNumberFormat="1" applyFont="1" applyFill="1" applyAlignment="1" applyProtection="1">
      <alignment horizontal="left" vertical="center" wrapText="1"/>
      <protection locked="0"/>
    </xf>
    <xf numFmtId="3" fontId="11" fillId="7" borderId="0" xfId="40" applyNumberFormat="1" applyFont="1" applyFill="1" applyAlignment="1" applyProtection="1">
      <alignment horizontal="left" vertical="center"/>
      <protection locked="0"/>
    </xf>
    <xf numFmtId="49" fontId="12" fillId="7" borderId="0" xfId="40" applyNumberFormat="1" applyFont="1" applyFill="1" applyAlignment="1" applyProtection="1">
      <alignment horizontal="left" vertical="top" wrapText="1"/>
      <protection locked="0"/>
    </xf>
    <xf numFmtId="0" fontId="12" fillId="7" borderId="0" xfId="40" applyFont="1" applyFill="1" applyAlignment="1" applyProtection="1">
      <alignment horizontal="left" indent="10"/>
      <protection locked="0"/>
    </xf>
    <xf numFmtId="0" fontId="15" fillId="7" borderId="0" xfId="40" applyFont="1" applyFill="1" applyAlignment="1" applyProtection="1">
      <alignment horizontal="left" vertical="center"/>
      <protection locked="0"/>
    </xf>
    <xf numFmtId="0" fontId="12" fillId="7" borderId="0" xfId="55" applyFont="1" applyFill="1" applyAlignment="1" applyProtection="1">
      <alignment horizontal="center" vertical="center"/>
      <protection locked="0"/>
    </xf>
    <xf numFmtId="0" fontId="10" fillId="7" borderId="0" xfId="55" applyFont="1" applyFill="1" applyAlignment="1" applyProtection="1">
      <alignment horizontal="center"/>
      <protection locked="0"/>
    </xf>
    <xf numFmtId="170" fontId="12" fillId="7" borderId="0" xfId="37" applyNumberFormat="1" applyFont="1" applyFill="1" applyBorder="1" applyAlignment="1" applyProtection="1">
      <alignment horizontal="center" vertical="center" wrapText="1"/>
      <protection locked="0"/>
    </xf>
    <xf numFmtId="0" fontId="12" fillId="7" borderId="0" xfId="55" applyFont="1" applyFill="1" applyProtection="1">
      <protection locked="0"/>
    </xf>
    <xf numFmtId="169" fontId="15" fillId="7" borderId="0" xfId="6" applyNumberFormat="1" applyFont="1" applyFill="1" applyBorder="1" applyProtection="1">
      <protection locked="0"/>
    </xf>
    <xf numFmtId="9" fontId="15" fillId="7" borderId="0" xfId="40" applyNumberFormat="1" applyFont="1" applyFill="1" applyProtection="1">
      <protection locked="0"/>
    </xf>
    <xf numFmtId="170" fontId="10" fillId="7" borderId="0" xfId="37" applyNumberFormat="1" applyFont="1" applyFill="1" applyBorder="1" applyAlignment="1" applyProtection="1">
      <alignment horizontal="center" vertical="center" wrapText="1"/>
      <protection locked="0"/>
    </xf>
    <xf numFmtId="168" fontId="55" fillId="7" borderId="0" xfId="6" applyNumberFormat="1" applyFont="1" applyFill="1" applyBorder="1" applyAlignment="1" applyProtection="1">
      <alignment horizontal="left" vertical="center"/>
      <protection locked="0"/>
    </xf>
    <xf numFmtId="0" fontId="10" fillId="7" borderId="0" xfId="40" applyFont="1" applyFill="1" applyAlignment="1" applyProtection="1">
      <alignment horizontal="left"/>
      <protection locked="0"/>
    </xf>
    <xf numFmtId="0" fontId="12" fillId="7" borderId="0" xfId="40" applyFont="1" applyFill="1" applyAlignment="1" applyProtection="1">
      <alignment horizontal="left"/>
      <protection locked="0"/>
    </xf>
    <xf numFmtId="0" fontId="59" fillId="7" borderId="0" xfId="40" applyFont="1" applyFill="1" applyAlignment="1" applyProtection="1">
      <alignment horizontal="center" vertical="top"/>
      <protection locked="0"/>
    </xf>
    <xf numFmtId="0" fontId="12" fillId="7" borderId="0" xfId="40" applyFont="1" applyFill="1" applyAlignment="1" applyProtection="1">
      <alignment horizontal="left" vertical="top"/>
      <protection locked="0"/>
    </xf>
    <xf numFmtId="0" fontId="54" fillId="7" borderId="0" xfId="40" applyFont="1" applyFill="1" applyAlignment="1" applyProtection="1">
      <alignment horizontal="center" vertical="top"/>
      <protection locked="0"/>
    </xf>
    <xf numFmtId="0" fontId="12" fillId="7" borderId="0" xfId="40" applyFont="1" applyFill="1" applyAlignment="1" applyProtection="1">
      <alignment vertical="top"/>
      <protection locked="0"/>
    </xf>
    <xf numFmtId="0" fontId="55" fillId="7" borderId="0" xfId="40" applyFont="1" applyFill="1" applyAlignment="1" applyProtection="1">
      <alignment vertical="top"/>
      <protection locked="0"/>
    </xf>
    <xf numFmtId="49" fontId="12" fillId="9" borderId="0" xfId="40" applyNumberFormat="1" applyFont="1" applyFill="1" applyAlignment="1" applyProtection="1">
      <alignment horizontal="left" vertical="center" wrapText="1"/>
      <protection locked="0"/>
    </xf>
    <xf numFmtId="3" fontId="11" fillId="9" borderId="0" xfId="40" applyNumberFormat="1" applyFont="1" applyFill="1" applyAlignment="1" applyProtection="1">
      <alignment horizontal="left" vertical="center"/>
      <protection locked="0"/>
    </xf>
    <xf numFmtId="0" fontId="12" fillId="9" borderId="0" xfId="40" applyFont="1" applyFill="1" applyProtection="1">
      <protection locked="0"/>
    </xf>
    <xf numFmtId="0" fontId="15" fillId="7" borderId="0" xfId="40" applyFont="1" applyFill="1" applyAlignment="1" applyProtection="1">
      <alignment horizontal="right"/>
      <protection locked="0"/>
    </xf>
    <xf numFmtId="49" fontId="10" fillId="7" borderId="0" xfId="40" applyNumberFormat="1" applyFont="1" applyFill="1" applyAlignment="1" applyProtection="1">
      <alignment vertical="top"/>
      <protection locked="0"/>
    </xf>
    <xf numFmtId="49" fontId="10" fillId="7" borderId="0" xfId="40" applyNumberFormat="1" applyFont="1" applyFill="1" applyAlignment="1" applyProtection="1">
      <alignment vertical="center"/>
      <protection locked="0"/>
    </xf>
    <xf numFmtId="0" fontId="10" fillId="0" borderId="0" xfId="40" applyFont="1" applyAlignment="1" applyProtection="1">
      <alignment vertical="center"/>
      <protection locked="0"/>
    </xf>
    <xf numFmtId="169" fontId="10" fillId="7" borderId="0" xfId="6" applyNumberFormat="1" applyFont="1" applyFill="1" applyBorder="1" applyAlignment="1" applyProtection="1">
      <alignment vertical="center"/>
      <protection locked="0"/>
    </xf>
    <xf numFmtId="9" fontId="10" fillId="7" borderId="0" xfId="40" applyNumberFormat="1" applyFont="1" applyFill="1" applyAlignment="1" applyProtection="1">
      <alignment vertical="center"/>
      <protection locked="0"/>
    </xf>
    <xf numFmtId="9" fontId="15" fillId="10" borderId="0" xfId="40" applyNumberFormat="1" applyFont="1" applyFill="1" applyAlignment="1" applyProtection="1">
      <alignment horizontal="right"/>
      <protection locked="0"/>
    </xf>
    <xf numFmtId="166" fontId="12" fillId="7" borderId="0" xfId="5" applyFont="1" applyFill="1" applyBorder="1" applyAlignment="1" applyProtection="1">
      <alignment vertical="center"/>
      <protection locked="0"/>
    </xf>
    <xf numFmtId="166" fontId="10" fillId="7" borderId="0" xfId="5" applyFont="1" applyFill="1" applyBorder="1" applyAlignment="1" applyProtection="1">
      <protection locked="0"/>
    </xf>
    <xf numFmtId="166" fontId="10" fillId="7" borderId="0" xfId="5" applyFont="1" applyFill="1" applyBorder="1" applyAlignment="1" applyProtection="1">
      <alignment vertical="center"/>
      <protection locked="0"/>
    </xf>
    <xf numFmtId="166" fontId="10" fillId="7" borderId="0" xfId="5" applyFont="1" applyFill="1" applyBorder="1" applyAlignment="1" applyProtection="1">
      <alignment vertical="top"/>
      <protection locked="0"/>
    </xf>
    <xf numFmtId="166" fontId="10" fillId="7" borderId="0" xfId="5" applyFont="1" applyFill="1" applyBorder="1" applyProtection="1">
      <protection locked="0"/>
    </xf>
    <xf numFmtId="166" fontId="10" fillId="7" borderId="0" xfId="5" applyFont="1" applyFill="1" applyBorder="1" applyAlignment="1" applyProtection="1">
      <alignment horizontal="left" vertical="center"/>
      <protection locked="0"/>
    </xf>
    <xf numFmtId="166" fontId="12" fillId="7" borderId="0" xfId="5" applyFont="1" applyFill="1" applyBorder="1" applyAlignment="1" applyProtection="1">
      <protection locked="0"/>
    </xf>
    <xf numFmtId="166" fontId="12" fillId="7" borderId="0" xfId="5" applyFont="1" applyFill="1" applyBorder="1" applyAlignment="1" applyProtection="1">
      <alignment horizontal="left" vertical="center"/>
      <protection locked="0"/>
    </xf>
    <xf numFmtId="166" fontId="11" fillId="7" borderId="0" xfId="5" applyFont="1" applyFill="1" applyBorder="1" applyAlignment="1" applyProtection="1">
      <alignment horizontal="left" vertical="center"/>
      <protection locked="0"/>
    </xf>
    <xf numFmtId="166" fontId="10" fillId="7" borderId="0" xfId="5" applyFont="1" applyFill="1" applyBorder="1" applyAlignment="1" applyProtection="1">
      <alignment horizontal="left" vertical="center" wrapText="1"/>
      <protection locked="0"/>
    </xf>
    <xf numFmtId="166" fontId="12" fillId="7" borderId="0" xfId="5" applyFont="1" applyFill="1" applyBorder="1" applyProtection="1">
      <protection locked="0"/>
    </xf>
    <xf numFmtId="166" fontId="12" fillId="7" borderId="0" xfId="5" quotePrefix="1" applyFont="1" applyFill="1" applyBorder="1" applyAlignment="1" applyProtection="1">
      <alignment horizontal="left" vertical="center"/>
      <protection locked="0"/>
    </xf>
    <xf numFmtId="166" fontId="17" fillId="7" borderId="0" xfId="5" applyFont="1" applyFill="1" applyBorder="1" applyAlignment="1" applyProtection="1">
      <alignment horizontal="left" vertical="center"/>
      <protection locked="0"/>
    </xf>
    <xf numFmtId="166" fontId="12" fillId="7" borderId="0" xfId="5" applyFont="1" applyFill="1" applyBorder="1" applyAlignment="1" applyProtection="1">
      <alignment horizontal="left" vertical="center" wrapText="1"/>
      <protection locked="0"/>
    </xf>
    <xf numFmtId="166" fontId="15" fillId="7" borderId="0" xfId="5" applyFont="1" applyFill="1" applyBorder="1" applyProtection="1">
      <protection locked="0"/>
    </xf>
    <xf numFmtId="166" fontId="49" fillId="0" borderId="0" xfId="5" applyFont="1"/>
    <xf numFmtId="170" fontId="55" fillId="0" borderId="7" xfId="10" applyNumberFormat="1" applyFont="1" applyBorder="1" applyAlignment="1" applyProtection="1">
      <alignment horizontal="center" vertical="center" wrapText="1"/>
    </xf>
    <xf numFmtId="170" fontId="54" fillId="0" borderId="7" xfId="10" applyNumberFormat="1" applyFont="1" applyFill="1" applyBorder="1" applyAlignment="1" applyProtection="1">
      <alignment horizontal="center" vertical="center" wrapText="1"/>
      <protection locked="0"/>
    </xf>
    <xf numFmtId="14" fontId="11" fillId="7" borderId="0" xfId="40" applyNumberFormat="1" applyFont="1" applyFill="1" applyAlignment="1" applyProtection="1">
      <alignment horizontal="left" vertical="center"/>
      <protection locked="0"/>
    </xf>
    <xf numFmtId="0" fontId="12" fillId="7" borderId="0" xfId="5" applyNumberFormat="1" applyFont="1" applyFill="1" applyBorder="1" applyAlignment="1" applyProtection="1">
      <alignment horizontal="center" vertical="center"/>
      <protection locked="0"/>
    </xf>
    <xf numFmtId="0" fontId="12" fillId="7" borderId="0" xfId="6" applyNumberFormat="1" applyFont="1" applyFill="1" applyBorder="1" applyAlignment="1" applyProtection="1">
      <alignment horizontal="center" vertical="center"/>
      <protection locked="0"/>
    </xf>
    <xf numFmtId="0" fontId="54" fillId="7" borderId="0" xfId="40" applyFont="1" applyFill="1" applyAlignment="1" applyProtection="1">
      <alignment horizontal="center"/>
      <protection locked="0"/>
    </xf>
    <xf numFmtId="0" fontId="10" fillId="0" borderId="6" xfId="5" applyNumberFormat="1" applyFont="1" applyBorder="1" applyAlignment="1" applyProtection="1">
      <alignment horizontal="left" vertical="center" wrapText="1"/>
      <protection locked="0"/>
    </xf>
    <xf numFmtId="0" fontId="15" fillId="7" borderId="0" xfId="40" applyFont="1" applyFill="1" applyAlignment="1" applyProtection="1">
      <alignment horizontal="right" vertical="center"/>
      <protection locked="0"/>
    </xf>
    <xf numFmtId="0" fontId="61" fillId="7" borderId="0" xfId="40" applyFont="1" applyFill="1" applyAlignment="1" applyProtection="1">
      <alignment horizontal="center"/>
      <protection locked="0"/>
    </xf>
    <xf numFmtId="0" fontId="63" fillId="0" borderId="0" xfId="0" applyFont="1"/>
    <xf numFmtId="0" fontId="63" fillId="12" borderId="29" xfId="0" applyFont="1" applyFill="1" applyBorder="1" applyAlignment="1">
      <alignment horizontal="justify" vertical="center" wrapText="1"/>
    </xf>
    <xf numFmtId="0" fontId="63" fillId="0" borderId="29" xfId="0" applyFont="1" applyBorder="1" applyAlignment="1">
      <alignment horizontal="left" vertical="center" wrapText="1"/>
    </xf>
    <xf numFmtId="176" fontId="22" fillId="0" borderId="29" xfId="9" applyNumberFormat="1" applyFont="1" applyFill="1" applyBorder="1" applyAlignment="1">
      <alignment horizontal="center" vertical="center" wrapText="1"/>
    </xf>
    <xf numFmtId="176" fontId="22" fillId="13" borderId="29" xfId="9" applyNumberFormat="1" applyFont="1" applyFill="1" applyBorder="1" applyAlignment="1">
      <alignment horizontal="center" vertical="center" wrapText="1"/>
    </xf>
    <xf numFmtId="0" fontId="64" fillId="12" borderId="29" xfId="0" applyFont="1" applyFill="1" applyBorder="1" applyAlignment="1">
      <alignment horizontal="justify" vertical="center" wrapText="1"/>
    </xf>
    <xf numFmtId="176" fontId="23" fillId="0" borderId="29" xfId="9" applyNumberFormat="1" applyFont="1" applyFill="1" applyBorder="1" applyAlignment="1">
      <alignment horizontal="center" vertical="center" wrapText="1"/>
    </xf>
    <xf numFmtId="176" fontId="23" fillId="13" borderId="29" xfId="9" applyNumberFormat="1" applyFont="1" applyFill="1" applyBorder="1" applyAlignment="1">
      <alignment horizontal="center" vertical="center" wrapText="1"/>
    </xf>
    <xf numFmtId="0" fontId="64" fillId="0" borderId="0" xfId="0" applyFont="1"/>
    <xf numFmtId="176" fontId="63" fillId="9" borderId="29" xfId="0" applyNumberFormat="1" applyFont="1" applyFill="1" applyBorder="1" applyAlignment="1">
      <alignment horizontal="center" vertical="center" wrapText="1"/>
    </xf>
    <xf numFmtId="176" fontId="65" fillId="14" borderId="29" xfId="9" applyNumberFormat="1" applyFont="1" applyFill="1" applyBorder="1" applyAlignment="1">
      <alignment horizontal="center" vertical="center" wrapText="1"/>
    </xf>
    <xf numFmtId="176" fontId="65" fillId="15" borderId="29" xfId="9" applyNumberFormat="1" applyFont="1" applyFill="1" applyBorder="1" applyAlignment="1">
      <alignment horizontal="center" vertical="center" wrapText="1"/>
    </xf>
    <xf numFmtId="176" fontId="66" fillId="15" borderId="29" xfId="9" applyNumberFormat="1" applyFont="1" applyFill="1" applyBorder="1" applyAlignment="1">
      <alignment horizontal="center" vertical="center" wrapText="1"/>
    </xf>
    <xf numFmtId="0" fontId="23" fillId="16" borderId="29" xfId="29" applyFont="1" applyFill="1" applyBorder="1" applyAlignment="1">
      <alignment horizontal="center" vertical="center" wrapText="1"/>
    </xf>
    <xf numFmtId="176" fontId="22" fillId="9" borderId="29" xfId="9" applyNumberFormat="1" applyFont="1" applyFill="1" applyBorder="1" applyAlignment="1">
      <alignment horizontal="center" vertical="center" wrapText="1"/>
    </xf>
    <xf numFmtId="176" fontId="66" fillId="14" borderId="29" xfId="9" applyNumberFormat="1" applyFont="1" applyFill="1" applyBorder="1" applyAlignment="1">
      <alignment horizontal="center" vertical="center" wrapText="1"/>
    </xf>
    <xf numFmtId="176" fontId="41" fillId="17" borderId="29" xfId="9" applyNumberFormat="1" applyFont="1" applyFill="1" applyBorder="1" applyAlignment="1">
      <alignment horizontal="center" vertical="center" wrapText="1"/>
    </xf>
    <xf numFmtId="0" fontId="63" fillId="12" borderId="29" xfId="0" applyFont="1" applyFill="1" applyBorder="1" applyAlignment="1">
      <alignment horizontal="left" vertical="center" wrapText="1"/>
    </xf>
    <xf numFmtId="0" fontId="64" fillId="16" borderId="29" xfId="0" applyFont="1" applyFill="1" applyBorder="1" applyAlignment="1">
      <alignment horizontal="center" vertical="center" wrapText="1"/>
    </xf>
    <xf numFmtId="0" fontId="9" fillId="0" borderId="0" xfId="0" applyFont="1"/>
    <xf numFmtId="0" fontId="0" fillId="0" borderId="0" xfId="0" applyAlignment="1">
      <alignment wrapText="1"/>
    </xf>
    <xf numFmtId="0" fontId="0" fillId="0" borderId="0" xfId="0" applyAlignment="1">
      <alignment horizontal="center"/>
    </xf>
    <xf numFmtId="0" fontId="0" fillId="0" borderId="6" xfId="0" applyBorder="1"/>
    <xf numFmtId="0" fontId="42" fillId="0" borderId="0" xfId="0" applyFont="1"/>
    <xf numFmtId="43" fontId="0" fillId="0" borderId="0" xfId="0" applyNumberFormat="1"/>
    <xf numFmtId="43" fontId="0" fillId="7" borderId="0" xfId="0" applyNumberFormat="1" applyFill="1"/>
    <xf numFmtId="0" fontId="45" fillId="0" borderId="0" xfId="0" applyFont="1"/>
    <xf numFmtId="0" fontId="0" fillId="0" borderId="0" xfId="0" applyAlignment="1">
      <alignment wrapText="1" shrinkToFit="1"/>
    </xf>
    <xf numFmtId="0" fontId="45" fillId="0" borderId="0" xfId="0" applyFont="1" applyAlignment="1">
      <alignment horizontal="center"/>
    </xf>
    <xf numFmtId="0" fontId="46" fillId="0" borderId="0" xfId="0" applyFont="1"/>
    <xf numFmtId="0" fontId="47" fillId="0" borderId="0" xfId="0" applyFont="1"/>
    <xf numFmtId="0" fontId="74" fillId="0" borderId="0" xfId="0" applyFont="1"/>
    <xf numFmtId="0" fontId="44" fillId="0" borderId="0" xfId="0" applyFont="1"/>
    <xf numFmtId="0" fontId="0" fillId="26" borderId="0" xfId="0" applyFill="1"/>
    <xf numFmtId="0" fontId="10" fillId="0" borderId="0" xfId="0" applyFont="1"/>
    <xf numFmtId="0" fontId="75" fillId="0" borderId="0" xfId="0" applyFont="1"/>
    <xf numFmtId="0" fontId="42" fillId="0" borderId="0" xfId="0" applyFont="1" applyAlignment="1">
      <alignment vertical="center" wrapText="1"/>
    </xf>
    <xf numFmtId="0" fontId="72" fillId="0" borderId="0" xfId="0" applyFont="1" applyAlignment="1">
      <alignment horizontal="left" readingOrder="1"/>
    </xf>
    <xf numFmtId="0" fontId="43" fillId="0" borderId="0" xfId="0" applyFont="1"/>
    <xf numFmtId="0" fontId="76" fillId="0" borderId="0" xfId="0" applyFont="1"/>
    <xf numFmtId="0" fontId="48" fillId="0" borderId="0" xfId="0" applyFont="1"/>
    <xf numFmtId="0" fontId="77" fillId="0" borderId="0" xfId="0" applyFont="1"/>
    <xf numFmtId="0" fontId="13" fillId="0" borderId="0" xfId="0" applyFont="1"/>
    <xf numFmtId="0" fontId="0" fillId="0" borderId="16" xfId="0" applyBorder="1"/>
    <xf numFmtId="0" fontId="0" fillId="0" borderId="27" xfId="0" applyBorder="1"/>
    <xf numFmtId="0" fontId="0" fillId="0" borderId="13" xfId="0" applyBorder="1"/>
    <xf numFmtId="0" fontId="0" fillId="0" borderId="7" xfId="0" applyBorder="1"/>
    <xf numFmtId="0" fontId="0" fillId="22" borderId="0" xfId="0" applyFill="1"/>
    <xf numFmtId="0" fontId="70" fillId="0" borderId="0" xfId="0" applyFont="1"/>
    <xf numFmtId="0" fontId="78" fillId="0" borderId="0" xfId="0" applyFont="1"/>
    <xf numFmtId="178" fontId="93" fillId="0" borderId="0" xfId="0" applyNumberFormat="1" applyFont="1" applyAlignment="1">
      <alignment horizontal="left" vertical="center" wrapText="1"/>
    </xf>
    <xf numFmtId="0" fontId="93" fillId="0" borderId="0" xfId="0" applyFont="1" applyAlignment="1">
      <alignment horizontal="center" vertical="center" wrapText="1"/>
    </xf>
    <xf numFmtId="0" fontId="93" fillId="0" borderId="0" xfId="0" applyFont="1" applyAlignment="1">
      <alignment horizontal="left" vertical="center" wrapText="1"/>
    </xf>
    <xf numFmtId="0" fontId="93" fillId="0" borderId="0" xfId="0" applyFont="1" applyAlignment="1">
      <alignment vertical="center" wrapText="1"/>
    </xf>
    <xf numFmtId="0" fontId="92" fillId="11" borderId="16" xfId="0" applyFont="1" applyFill="1" applyBorder="1" applyAlignment="1">
      <alignment vertical="top" wrapText="1"/>
    </xf>
    <xf numFmtId="0" fontId="39" fillId="0" borderId="0" xfId="0" applyFont="1" applyAlignment="1">
      <alignment horizontal="center" wrapText="1"/>
    </xf>
    <xf numFmtId="0" fontId="39" fillId="0" borderId="0" xfId="0" applyFont="1" applyAlignment="1">
      <alignment wrapText="1"/>
    </xf>
    <xf numFmtId="0" fontId="94" fillId="25" borderId="0" xfId="63" applyNumberFormat="1" applyFont="1" applyFill="1" applyBorder="1" applyAlignment="1">
      <alignment horizontal="right" vertical="center" wrapText="1"/>
    </xf>
    <xf numFmtId="0" fontId="94" fillId="0" borderId="0" xfId="0" applyFont="1" applyAlignment="1">
      <alignment wrapText="1"/>
    </xf>
    <xf numFmtId="0" fontId="89" fillId="0" borderId="0" xfId="0" applyFont="1" applyAlignment="1">
      <alignment wrapText="1"/>
    </xf>
    <xf numFmtId="0" fontId="89" fillId="7" borderId="0" xfId="0" applyFont="1" applyFill="1" applyAlignment="1">
      <alignment wrapText="1"/>
    </xf>
    <xf numFmtId="172" fontId="89" fillId="7" borderId="0" xfId="0" applyNumberFormat="1" applyFont="1" applyFill="1" applyAlignment="1">
      <alignment wrapText="1"/>
    </xf>
    <xf numFmtId="179" fontId="89" fillId="7" borderId="0" xfId="0" applyNumberFormat="1" applyFont="1" applyFill="1" applyAlignment="1">
      <alignment wrapText="1"/>
    </xf>
    <xf numFmtId="0" fontId="89" fillId="7" borderId="0" xfId="0" applyFont="1" applyFill="1"/>
    <xf numFmtId="0" fontId="89" fillId="0" borderId="0" xfId="0" applyFont="1"/>
    <xf numFmtId="179" fontId="89" fillId="7" borderId="0" xfId="0" applyNumberFormat="1" applyFont="1" applyFill="1"/>
    <xf numFmtId="172" fontId="89" fillId="7" borderId="0" xfId="0" applyNumberFormat="1" applyFont="1" applyFill="1"/>
    <xf numFmtId="172" fontId="89" fillId="0" borderId="0" xfId="0" applyNumberFormat="1" applyFont="1" applyAlignment="1">
      <alignment wrapText="1"/>
    </xf>
    <xf numFmtId="166" fontId="89" fillId="0" borderId="0" xfId="0" applyNumberFormat="1" applyFont="1" applyAlignment="1">
      <alignment wrapText="1"/>
    </xf>
    <xf numFmtId="0" fontId="89" fillId="0" borderId="0" xfId="0" applyFont="1" applyAlignment="1">
      <alignment horizontal="left" vertical="center" wrapText="1"/>
    </xf>
    <xf numFmtId="9" fontId="89" fillId="0" borderId="0" xfId="58" applyFont="1" applyAlignment="1">
      <alignment wrapText="1"/>
    </xf>
    <xf numFmtId="0" fontId="89" fillId="7" borderId="0" xfId="0" applyFont="1" applyFill="1" applyAlignment="1">
      <alignment horizontal="left" vertical="center" wrapText="1"/>
    </xf>
    <xf numFmtId="0" fontId="96" fillId="0" borderId="0" xfId="0" applyFont="1" applyAlignment="1">
      <alignment wrapText="1"/>
    </xf>
    <xf numFmtId="0" fontId="89" fillId="0" borderId="0" xfId="0" applyFont="1" applyAlignment="1">
      <alignment vertical="center" wrapText="1"/>
    </xf>
    <xf numFmtId="0" fontId="39" fillId="0" borderId="0" xfId="0" applyFont="1" applyAlignment="1">
      <alignment vertical="center" wrapText="1"/>
    </xf>
    <xf numFmtId="166" fontId="39" fillId="0" borderId="0" xfId="0" applyNumberFormat="1" applyFont="1" applyAlignment="1">
      <alignment vertical="center" wrapText="1"/>
    </xf>
    <xf numFmtId="0" fontId="92" fillId="11" borderId="12" xfId="0" applyFont="1" applyFill="1" applyBorder="1" applyAlignment="1">
      <alignment vertical="center" wrapText="1"/>
    </xf>
    <xf numFmtId="0" fontId="89" fillId="7" borderId="0" xfId="0" applyFont="1" applyFill="1" applyAlignment="1">
      <alignment vertical="center" wrapText="1"/>
    </xf>
    <xf numFmtId="0" fontId="89" fillId="0" borderId="0" xfId="0" applyFont="1" applyAlignment="1">
      <alignment vertical="center"/>
    </xf>
    <xf numFmtId="179" fontId="89" fillId="0" borderId="0" xfId="0" applyNumberFormat="1" applyFont="1" applyAlignment="1">
      <alignment wrapText="1"/>
    </xf>
    <xf numFmtId="179" fontId="39" fillId="0" borderId="0" xfId="0" applyNumberFormat="1" applyFont="1" applyAlignment="1">
      <alignment wrapText="1"/>
    </xf>
    <xf numFmtId="182" fontId="89" fillId="0" borderId="0" xfId="9" applyNumberFormat="1" applyFont="1" applyAlignment="1">
      <alignment wrapText="1"/>
    </xf>
    <xf numFmtId="182" fontId="39" fillId="0" borderId="0" xfId="9" applyNumberFormat="1" applyFont="1" applyAlignment="1">
      <alignment wrapText="1"/>
    </xf>
    <xf numFmtId="0" fontId="89" fillId="21" borderId="0" xfId="0" applyFont="1" applyFill="1" applyAlignment="1">
      <alignment vertical="center" wrapText="1"/>
    </xf>
    <xf numFmtId="0" fontId="89" fillId="21" borderId="0" xfId="0" applyFont="1" applyFill="1" applyAlignment="1">
      <alignment wrapText="1"/>
    </xf>
    <xf numFmtId="172" fontId="89" fillId="7" borderId="0" xfId="0" applyNumberFormat="1" applyFont="1" applyFill="1" applyAlignment="1">
      <alignment vertical="top" wrapText="1"/>
    </xf>
    <xf numFmtId="0" fontId="89" fillId="7" borderId="0" xfId="0" applyFont="1" applyFill="1" applyAlignment="1">
      <alignment vertical="top" wrapText="1"/>
    </xf>
    <xf numFmtId="0" fontId="89" fillId="0" borderId="0" xfId="0" applyFont="1" applyAlignment="1">
      <alignment vertical="top" wrapText="1"/>
    </xf>
    <xf numFmtId="0" fontId="95" fillId="0" borderId="0" xfId="0" applyFont="1" applyAlignment="1">
      <alignment wrapText="1"/>
    </xf>
    <xf numFmtId="0" fontId="89" fillId="0" borderId="0" xfId="0" applyFont="1" applyAlignment="1">
      <alignment horizontal="center" wrapText="1"/>
    </xf>
    <xf numFmtId="0" fontId="89" fillId="7" borderId="0" xfId="0" applyFont="1" applyFill="1" applyAlignment="1">
      <alignment vertical="center"/>
    </xf>
    <xf numFmtId="179" fontId="89" fillId="7" borderId="0" xfId="0" applyNumberFormat="1" applyFont="1" applyFill="1" applyAlignment="1">
      <alignment vertical="center"/>
    </xf>
    <xf numFmtId="179" fontId="89" fillId="7" borderId="0" xfId="0" applyNumberFormat="1" applyFont="1" applyFill="1" applyAlignment="1">
      <alignment vertical="center" wrapText="1"/>
    </xf>
    <xf numFmtId="172" fontId="89" fillId="7" borderId="0" xfId="0" applyNumberFormat="1" applyFont="1" applyFill="1" applyAlignment="1">
      <alignment vertical="center"/>
    </xf>
    <xf numFmtId="0" fontId="89" fillId="0" borderId="0" xfId="0" applyFont="1" applyAlignment="1">
      <alignment vertical="top"/>
    </xf>
    <xf numFmtId="0" fontId="89" fillId="0" borderId="0" xfId="0" applyFont="1" applyAlignment="1">
      <alignment horizontal="left" vertical="center"/>
    </xf>
    <xf numFmtId="172" fontId="89" fillId="0" borderId="0" xfId="0" applyNumberFormat="1" applyFont="1" applyAlignment="1">
      <alignment vertical="center" wrapText="1"/>
    </xf>
    <xf numFmtId="0" fontId="90" fillId="0" borderId="0" xfId="0" applyFont="1" applyAlignment="1">
      <alignment wrapText="1"/>
    </xf>
    <xf numFmtId="0" fontId="90" fillId="0" borderId="0" xfId="0" applyFont="1" applyAlignment="1">
      <alignment vertical="center" wrapText="1"/>
    </xf>
    <xf numFmtId="172" fontId="90" fillId="0" borderId="0" xfId="0" applyNumberFormat="1" applyFont="1" applyAlignment="1">
      <alignment wrapText="1"/>
    </xf>
    <xf numFmtId="178" fontId="89" fillId="0" borderId="0" xfId="0" applyNumberFormat="1" applyFont="1" applyAlignment="1">
      <alignment wrapText="1"/>
    </xf>
    <xf numFmtId="178" fontId="89" fillId="0" borderId="0" xfId="0" applyNumberFormat="1" applyFont="1" applyAlignment="1">
      <alignment vertical="center" wrapText="1"/>
    </xf>
    <xf numFmtId="178" fontId="89" fillId="0" borderId="9" xfId="9" applyNumberFormat="1" applyFont="1" applyBorder="1" applyAlignment="1">
      <alignment vertical="center" wrapText="1"/>
    </xf>
    <xf numFmtId="178" fontId="89" fillId="0" borderId="22" xfId="9" applyNumberFormat="1" applyFont="1" applyBorder="1" applyAlignment="1">
      <alignment horizontal="center" wrapText="1"/>
    </xf>
    <xf numFmtId="0" fontId="89" fillId="0" borderId="34" xfId="0" applyFont="1" applyBorder="1" applyAlignment="1">
      <alignment horizontal="left" vertical="center" wrapText="1"/>
    </xf>
    <xf numFmtId="0" fontId="89" fillId="0" borderId="35" xfId="0" applyFont="1" applyBorder="1" applyAlignment="1">
      <alignment horizontal="left" vertical="center" wrapText="1"/>
    </xf>
    <xf numFmtId="178" fontId="89" fillId="0" borderId="9" xfId="9" applyNumberFormat="1" applyFont="1" applyBorder="1" applyAlignment="1">
      <alignment wrapText="1"/>
    </xf>
    <xf numFmtId="0" fontId="90" fillId="18" borderId="36" xfId="0" applyFont="1" applyFill="1" applyBorder="1" applyAlignment="1">
      <alignment horizontal="left" vertical="center" wrapText="1"/>
    </xf>
    <xf numFmtId="178" fontId="89" fillId="0" borderId="22" xfId="9" applyNumberFormat="1" applyFont="1" applyBorder="1" applyAlignment="1">
      <alignment wrapText="1"/>
    </xf>
    <xf numFmtId="0" fontId="89" fillId="24" borderId="35" xfId="0" applyFont="1" applyFill="1" applyBorder="1" applyAlignment="1">
      <alignment horizontal="left" vertical="center" wrapText="1"/>
    </xf>
    <xf numFmtId="178" fontId="89" fillId="24" borderId="9" xfId="9" applyNumberFormat="1" applyFont="1" applyFill="1" applyBorder="1" applyAlignment="1">
      <alignment vertical="center" wrapText="1"/>
    </xf>
    <xf numFmtId="178" fontId="89" fillId="24" borderId="22" xfId="9" applyNumberFormat="1" applyFont="1" applyFill="1" applyBorder="1" applyAlignment="1">
      <alignment horizontal="center" wrapText="1"/>
    </xf>
    <xf numFmtId="178" fontId="89" fillId="24" borderId="9" xfId="9" applyNumberFormat="1" applyFont="1" applyFill="1" applyBorder="1" applyAlignment="1">
      <alignment wrapText="1"/>
    </xf>
    <xf numFmtId="178" fontId="89" fillId="24" borderId="22" xfId="9" applyNumberFormat="1" applyFont="1" applyFill="1" applyBorder="1" applyAlignment="1">
      <alignment wrapText="1"/>
    </xf>
    <xf numFmtId="178" fontId="89" fillId="0" borderId="9" xfId="9" applyNumberFormat="1" applyFont="1" applyFill="1" applyBorder="1" applyAlignment="1">
      <alignment vertical="center" wrapText="1"/>
    </xf>
    <xf numFmtId="178" fontId="89" fillId="0" borderId="22" xfId="9" applyNumberFormat="1" applyFont="1" applyFill="1" applyBorder="1" applyAlignment="1">
      <alignment horizontal="center" wrapText="1"/>
    </xf>
    <xf numFmtId="178" fontId="89" fillId="0" borderId="9" xfId="9" applyNumberFormat="1" applyFont="1" applyFill="1" applyBorder="1" applyAlignment="1">
      <alignment wrapText="1"/>
    </xf>
    <xf numFmtId="178" fontId="89" fillId="0" borderId="22" xfId="9" applyNumberFormat="1" applyFont="1" applyFill="1" applyBorder="1" applyAlignment="1">
      <alignment wrapText="1"/>
    </xf>
    <xf numFmtId="3" fontId="89" fillId="0" borderId="0" xfId="65" applyNumberFormat="1" applyFont="1" applyFill="1" applyBorder="1" applyAlignment="1">
      <alignment horizontal="left" vertical="center" wrapText="1"/>
    </xf>
    <xf numFmtId="3" fontId="89" fillId="0" borderId="0" xfId="65" applyNumberFormat="1" applyFont="1" applyFill="1" applyBorder="1" applyAlignment="1">
      <alignment horizontal="left" vertical="top" wrapText="1"/>
    </xf>
    <xf numFmtId="0" fontId="94" fillId="0" borderId="0" xfId="0" applyFont="1" applyAlignment="1">
      <alignment horizontal="center" wrapText="1"/>
    </xf>
    <xf numFmtId="0" fontId="90" fillId="0" borderId="0" xfId="0" applyFont="1" applyAlignment="1">
      <alignment horizontal="left" vertical="center" wrapText="1"/>
    </xf>
    <xf numFmtId="179" fontId="98" fillId="0" borderId="0" xfId="63" applyNumberFormat="1" applyFont="1" applyFill="1" applyBorder="1" applyAlignment="1">
      <alignment horizontal="center" vertical="center" wrapText="1"/>
    </xf>
    <xf numFmtId="179" fontId="88" fillId="0" borderId="0" xfId="63" applyNumberFormat="1" applyFont="1" applyFill="1" applyBorder="1" applyAlignment="1">
      <alignment horizontal="center" vertical="center" wrapText="1"/>
    </xf>
    <xf numFmtId="179" fontId="90" fillId="0" borderId="0" xfId="63" applyNumberFormat="1" applyFont="1" applyFill="1" applyBorder="1" applyAlignment="1">
      <alignment horizontal="center" vertical="center" wrapText="1"/>
    </xf>
    <xf numFmtId="179" fontId="90" fillId="0" borderId="0" xfId="0" applyNumberFormat="1" applyFont="1" applyAlignment="1">
      <alignment horizontal="center" vertical="center" wrapText="1"/>
    </xf>
    <xf numFmtId="179" fontId="89" fillId="0" borderId="0" xfId="63" applyNumberFormat="1" applyFont="1" applyFill="1" applyBorder="1" applyAlignment="1">
      <alignment horizontal="left" vertical="center" wrapText="1"/>
    </xf>
    <xf numFmtId="179" fontId="89" fillId="0" borderId="0" xfId="0" applyNumberFormat="1" applyFont="1" applyAlignment="1">
      <alignment horizontal="left" vertical="center" wrapText="1"/>
    </xf>
    <xf numFmtId="179" fontId="89" fillId="0" borderId="0" xfId="63" applyNumberFormat="1" applyFont="1" applyFill="1" applyBorder="1" applyAlignment="1">
      <alignment horizontal="left" vertical="center"/>
    </xf>
    <xf numFmtId="179" fontId="90" fillId="0" borderId="0" xfId="0" applyNumberFormat="1" applyFont="1" applyAlignment="1">
      <alignment vertical="top" wrapText="1"/>
    </xf>
    <xf numFmtId="179" fontId="89" fillId="0" borderId="0" xfId="63" applyNumberFormat="1" applyFont="1" applyFill="1" applyBorder="1" applyAlignment="1">
      <alignment horizontal="center" vertical="center" wrapText="1"/>
    </xf>
    <xf numFmtId="0" fontId="90" fillId="0" borderId="0" xfId="0" applyFont="1" applyAlignment="1">
      <alignment horizontal="left" vertical="center"/>
    </xf>
    <xf numFmtId="3" fontId="89" fillId="0" borderId="0" xfId="65" applyNumberFormat="1" applyFont="1" applyFill="1" applyBorder="1" applyAlignment="1">
      <alignment horizontal="left" vertical="center"/>
    </xf>
    <xf numFmtId="179" fontId="89" fillId="0" borderId="0" xfId="0" applyNumberFormat="1" applyFont="1" applyAlignment="1">
      <alignment horizontal="left" vertical="center"/>
    </xf>
    <xf numFmtId="0" fontId="94" fillId="0" borderId="0" xfId="0" applyFont="1" applyAlignment="1">
      <alignment horizontal="left" vertical="center"/>
    </xf>
    <xf numFmtId="0" fontId="95" fillId="0" borderId="0" xfId="0" applyFont="1" applyAlignment="1">
      <alignment horizontal="left" vertical="center"/>
    </xf>
    <xf numFmtId="0" fontId="96" fillId="0" borderId="0" xfId="0" applyFont="1" applyAlignment="1">
      <alignment horizontal="left" vertical="center"/>
    </xf>
    <xf numFmtId="179" fontId="90" fillId="0" borderId="0" xfId="63" applyNumberFormat="1" applyFont="1" applyFill="1" applyBorder="1" applyAlignment="1">
      <alignment horizontal="left" vertical="center"/>
    </xf>
    <xf numFmtId="179" fontId="90" fillId="0" borderId="0" xfId="0" applyNumberFormat="1" applyFont="1" applyAlignment="1">
      <alignment horizontal="left" vertical="center"/>
    </xf>
    <xf numFmtId="0" fontId="39" fillId="0" borderId="0" xfId="0" applyFont="1" applyAlignment="1">
      <alignment horizontal="left" vertical="center"/>
    </xf>
    <xf numFmtId="178" fontId="89" fillId="0" borderId="37" xfId="0" applyNumberFormat="1" applyFont="1" applyBorder="1" applyAlignment="1">
      <alignment vertical="center" wrapText="1"/>
    </xf>
    <xf numFmtId="178" fontId="89" fillId="0" borderId="37" xfId="0" applyNumberFormat="1" applyFont="1" applyBorder="1" applyAlignment="1">
      <alignment wrapText="1"/>
    </xf>
    <xf numFmtId="178" fontId="89" fillId="0" borderId="37" xfId="9" applyNumberFormat="1" applyFont="1" applyFill="1" applyBorder="1" applyAlignment="1">
      <alignment wrapText="1"/>
    </xf>
    <xf numFmtId="178" fontId="89" fillId="24" borderId="37" xfId="0" applyNumberFormat="1" applyFont="1" applyFill="1" applyBorder="1" applyAlignment="1">
      <alignment vertical="center" wrapText="1"/>
    </xf>
    <xf numFmtId="178" fontId="89" fillId="24" borderId="37" xfId="0" applyNumberFormat="1" applyFont="1" applyFill="1" applyBorder="1" applyAlignment="1">
      <alignment wrapText="1"/>
    </xf>
    <xf numFmtId="178" fontId="89" fillId="24" borderId="37" xfId="9" applyNumberFormat="1" applyFont="1" applyFill="1" applyBorder="1" applyAlignment="1">
      <alignment wrapText="1"/>
    </xf>
    <xf numFmtId="178" fontId="89" fillId="0" borderId="37" xfId="9" applyNumberFormat="1" applyFont="1" applyBorder="1" applyAlignment="1">
      <alignment wrapText="1"/>
    </xf>
    <xf numFmtId="0" fontId="89" fillId="0" borderId="38" xfId="0" applyFont="1" applyBorder="1" applyAlignment="1">
      <alignment horizontal="left" vertical="center" wrapText="1"/>
    </xf>
    <xf numFmtId="0" fontId="89" fillId="24" borderId="38" xfId="0" applyFont="1" applyFill="1" applyBorder="1" applyAlignment="1">
      <alignment horizontal="left" vertical="center" wrapText="1"/>
    </xf>
    <xf numFmtId="0" fontId="90" fillId="18" borderId="38" xfId="0" applyFont="1" applyFill="1" applyBorder="1" applyAlignment="1">
      <alignment horizontal="left" vertical="center" wrapText="1"/>
    </xf>
    <xf numFmtId="178" fontId="89" fillId="0" borderId="42" xfId="0" applyNumberFormat="1" applyFont="1" applyBorder="1" applyAlignment="1">
      <alignment vertical="center" wrapText="1"/>
    </xf>
    <xf numFmtId="178" fontId="89" fillId="0" borderId="43" xfId="0" applyNumberFormat="1" applyFont="1" applyBorder="1" applyAlignment="1">
      <alignment horizontal="center" wrapText="1"/>
    </xf>
    <xf numFmtId="178" fontId="89" fillId="24" borderId="42" xfId="0" applyNumberFormat="1" applyFont="1" applyFill="1" applyBorder="1" applyAlignment="1">
      <alignment vertical="center" wrapText="1"/>
    </xf>
    <xf numFmtId="178" fontId="89" fillId="24" borderId="43" xfId="0" applyNumberFormat="1" applyFont="1" applyFill="1" applyBorder="1" applyAlignment="1">
      <alignment horizontal="center" wrapText="1"/>
    </xf>
    <xf numFmtId="178" fontId="89" fillId="0" borderId="43" xfId="0" applyNumberFormat="1" applyFont="1" applyBorder="1" applyAlignment="1">
      <alignment vertical="center" wrapText="1"/>
    </xf>
    <xf numFmtId="178" fontId="89" fillId="24" borderId="43" xfId="0" applyNumberFormat="1" applyFont="1" applyFill="1" applyBorder="1" applyAlignment="1">
      <alignment vertical="center" wrapText="1"/>
    </xf>
    <xf numFmtId="178" fontId="89" fillId="0" borderId="42" xfId="0" applyNumberFormat="1" applyFont="1" applyBorder="1" applyAlignment="1">
      <alignment wrapText="1"/>
    </xf>
    <xf numFmtId="178" fontId="89" fillId="0" borderId="43" xfId="0" applyNumberFormat="1" applyFont="1" applyBorder="1" applyAlignment="1">
      <alignment wrapText="1"/>
    </xf>
    <xf numFmtId="178" fontId="89" fillId="24" borderId="42" xfId="0" applyNumberFormat="1" applyFont="1" applyFill="1" applyBorder="1" applyAlignment="1">
      <alignment wrapText="1"/>
    </xf>
    <xf numFmtId="178" fontId="89" fillId="24" borderId="43" xfId="0" applyNumberFormat="1" applyFont="1" applyFill="1" applyBorder="1" applyAlignment="1">
      <alignment wrapText="1"/>
    </xf>
    <xf numFmtId="178" fontId="89" fillId="0" borderId="43" xfId="9" applyNumberFormat="1" applyFont="1" applyFill="1" applyBorder="1" applyAlignment="1">
      <alignment wrapText="1"/>
    </xf>
    <xf numFmtId="178" fontId="89" fillId="24" borderId="43" xfId="9" applyNumberFormat="1" applyFont="1" applyFill="1" applyBorder="1" applyAlignment="1">
      <alignment wrapText="1"/>
    </xf>
    <xf numFmtId="178" fontId="89" fillId="0" borderId="43" xfId="9" applyNumberFormat="1" applyFont="1" applyBorder="1" applyAlignment="1">
      <alignment wrapText="1"/>
    </xf>
    <xf numFmtId="182" fontId="89" fillId="0" borderId="0" xfId="9" applyNumberFormat="1" applyFont="1" applyAlignment="1">
      <alignment vertical="center" wrapText="1"/>
    </xf>
    <xf numFmtId="182" fontId="90" fillId="0" borderId="0" xfId="9" applyNumberFormat="1" applyFont="1" applyAlignment="1">
      <alignment wrapText="1"/>
    </xf>
    <xf numFmtId="182" fontId="90" fillId="0" borderId="0" xfId="9" applyNumberFormat="1" applyFont="1" applyFill="1" applyAlignment="1">
      <alignment wrapText="1"/>
    </xf>
    <xf numFmtId="182" fontId="89" fillId="0" borderId="0" xfId="9" applyNumberFormat="1" applyFont="1" applyFill="1" applyAlignment="1">
      <alignment wrapText="1"/>
    </xf>
    <xf numFmtId="0" fontId="89" fillId="0" borderId="0" xfId="0" applyFont="1" applyAlignment="1">
      <alignment horizontal="center" vertical="center" wrapText="1"/>
    </xf>
    <xf numFmtId="0" fontId="90" fillId="0" borderId="0" xfId="0" applyFont="1" applyAlignment="1">
      <alignment horizontal="center" wrapText="1"/>
    </xf>
    <xf numFmtId="0" fontId="97" fillId="0" borderId="0" xfId="0" applyFont="1" applyAlignment="1">
      <alignment horizontal="center" vertical="center" wrapText="1"/>
    </xf>
    <xf numFmtId="0" fontId="90" fillId="0" borderId="0" xfId="0" applyFont="1" applyAlignment="1">
      <alignment horizontal="center" vertical="center" wrapText="1"/>
    </xf>
    <xf numFmtId="0" fontId="91" fillId="18" borderId="17" xfId="0" applyFont="1" applyFill="1" applyBorder="1" applyAlignment="1">
      <alignment vertical="top" wrapText="1"/>
    </xf>
    <xf numFmtId="0" fontId="91" fillId="19" borderId="17" xfId="0" applyFont="1" applyFill="1" applyBorder="1" applyAlignment="1">
      <alignment vertical="top" wrapText="1"/>
    </xf>
    <xf numFmtId="0" fontId="91" fillId="19" borderId="15" xfId="0" applyFont="1" applyFill="1" applyBorder="1" applyAlignment="1">
      <alignment vertical="top" wrapText="1"/>
    </xf>
    <xf numFmtId="0" fontId="89" fillId="11" borderId="0" xfId="0" applyFont="1" applyFill="1" applyAlignment="1">
      <alignment wrapText="1"/>
    </xf>
    <xf numFmtId="0" fontId="89" fillId="11" borderId="0" xfId="0" applyFont="1" applyFill="1" applyAlignment="1">
      <alignment vertical="center" wrapText="1"/>
    </xf>
    <xf numFmtId="0" fontId="89" fillId="11" borderId="0" xfId="0" applyFont="1" applyFill="1" applyAlignment="1">
      <alignment vertical="top" wrapText="1"/>
    </xf>
    <xf numFmtId="0" fontId="98" fillId="35" borderId="18" xfId="0" applyFont="1" applyFill="1" applyBorder="1" applyAlignment="1">
      <alignment vertical="center" wrapText="1"/>
    </xf>
    <xf numFmtId="0" fontId="98" fillId="35" borderId="19" xfId="0" applyFont="1" applyFill="1" applyBorder="1" applyAlignment="1">
      <alignment vertical="center" wrapText="1"/>
    </xf>
    <xf numFmtId="0" fontId="98" fillId="35" borderId="20" xfId="0" applyFont="1" applyFill="1" applyBorder="1" applyAlignment="1">
      <alignment vertical="center" wrapText="1"/>
    </xf>
    <xf numFmtId="179" fontId="98" fillId="35" borderId="18" xfId="0" applyNumberFormat="1" applyFont="1" applyFill="1" applyBorder="1" applyAlignment="1">
      <alignment wrapText="1"/>
    </xf>
    <xf numFmtId="179" fontId="98" fillId="35" borderId="19" xfId="0" applyNumberFormat="1" applyFont="1" applyFill="1" applyBorder="1" applyAlignment="1">
      <alignment wrapText="1"/>
    </xf>
    <xf numFmtId="179" fontId="98" fillId="35" borderId="21" xfId="0" applyNumberFormat="1" applyFont="1" applyFill="1" applyBorder="1" applyAlignment="1">
      <alignment wrapText="1"/>
    </xf>
    <xf numFmtId="0" fontId="98" fillId="35" borderId="39" xfId="0" applyFont="1" applyFill="1" applyBorder="1" applyAlignment="1">
      <alignment vertical="center" wrapText="1"/>
    </xf>
    <xf numFmtId="0" fontId="98" fillId="35" borderId="40" xfId="0" applyFont="1" applyFill="1" applyBorder="1" applyAlignment="1">
      <alignment vertical="center" wrapText="1"/>
    </xf>
    <xf numFmtId="0" fontId="98" fillId="35" borderId="41" xfId="0" applyFont="1" applyFill="1" applyBorder="1" applyAlignment="1">
      <alignment vertical="center" wrapText="1"/>
    </xf>
    <xf numFmtId="179" fontId="98" fillId="35" borderId="39" xfId="0" applyNumberFormat="1" applyFont="1" applyFill="1" applyBorder="1" applyAlignment="1">
      <alignment wrapText="1"/>
    </xf>
    <xf numFmtId="179" fontId="98" fillId="35" borderId="40" xfId="0" applyNumberFormat="1" applyFont="1" applyFill="1" applyBorder="1" applyAlignment="1">
      <alignment wrapText="1"/>
    </xf>
    <xf numFmtId="179" fontId="98" fillId="35" borderId="41" xfId="0" applyNumberFormat="1" applyFont="1" applyFill="1" applyBorder="1" applyAlignment="1">
      <alignment wrapText="1"/>
    </xf>
    <xf numFmtId="0" fontId="89" fillId="7" borderId="0" xfId="0" applyFont="1" applyFill="1" applyAlignment="1">
      <alignment horizontal="left" vertical="center"/>
    </xf>
    <xf numFmtId="179" fontId="89" fillId="0" borderId="0" xfId="0" applyNumberFormat="1" applyFont="1"/>
    <xf numFmtId="0" fontId="89" fillId="0" borderId="0" xfId="0" applyFont="1" applyAlignment="1">
      <alignment horizontal="center"/>
    </xf>
    <xf numFmtId="182" fontId="89" fillId="0" borderId="0" xfId="9" applyNumberFormat="1" applyFont="1" applyAlignment="1"/>
    <xf numFmtId="0" fontId="69" fillId="0" borderId="0" xfId="0" applyFont="1" applyAlignment="1">
      <alignment horizontal="left" vertical="center"/>
    </xf>
    <xf numFmtId="0" fontId="69" fillId="0" borderId="0" xfId="0" applyFont="1" applyAlignment="1">
      <alignment horizontal="left"/>
    </xf>
    <xf numFmtId="0" fontId="100" fillId="36" borderId="0" xfId="0" applyFont="1" applyFill="1" applyAlignment="1">
      <alignment horizontal="left" vertical="center"/>
    </xf>
    <xf numFmtId="179" fontId="100" fillId="36" borderId="0" xfId="0" applyNumberFormat="1" applyFont="1" applyFill="1" applyAlignment="1">
      <alignment horizontal="left"/>
    </xf>
    <xf numFmtId="0" fontId="100" fillId="36" borderId="0" xfId="0" applyFont="1" applyFill="1" applyAlignment="1">
      <alignment horizontal="left"/>
    </xf>
    <xf numFmtId="182" fontId="100" fillId="36" borderId="0" xfId="9" applyNumberFormat="1" applyFont="1" applyFill="1" applyAlignment="1">
      <alignment horizontal="left"/>
    </xf>
    <xf numFmtId="0" fontId="100" fillId="0" borderId="0" xfId="0" applyFont="1" applyAlignment="1">
      <alignment horizontal="left"/>
    </xf>
    <xf numFmtId="0" fontId="101" fillId="36" borderId="0" xfId="0" applyFont="1" applyFill="1" applyAlignment="1">
      <alignment horizontal="left" vertical="center"/>
    </xf>
    <xf numFmtId="0" fontId="90" fillId="7" borderId="0" xfId="0" applyFont="1" applyFill="1" applyAlignment="1">
      <alignment wrapText="1"/>
    </xf>
    <xf numFmtId="0" fontId="102" fillId="24" borderId="0" xfId="0" applyFont="1" applyFill="1" applyAlignment="1">
      <alignment horizontal="center" vertical="center" wrapText="1"/>
    </xf>
    <xf numFmtId="172" fontId="98" fillId="14" borderId="0" xfId="5" applyNumberFormat="1" applyFont="1" applyFill="1" applyBorder="1" applyAlignment="1">
      <alignment horizontal="center" vertical="center" wrapText="1"/>
    </xf>
    <xf numFmtId="182" fontId="88" fillId="18" borderId="0" xfId="9" applyNumberFormat="1" applyFont="1" applyFill="1" applyBorder="1" applyAlignment="1">
      <alignment horizontal="center" vertical="center" wrapText="1"/>
    </xf>
    <xf numFmtId="172" fontId="90" fillId="21" borderId="0" xfId="5" applyNumberFormat="1" applyFont="1" applyFill="1" applyBorder="1" applyAlignment="1">
      <alignment horizontal="center" vertical="center" wrapText="1"/>
    </xf>
    <xf numFmtId="172" fontId="89" fillId="0" borderId="0" xfId="5" applyNumberFormat="1" applyFont="1" applyFill="1" applyBorder="1" applyAlignment="1">
      <alignment horizontal="center" vertical="center" wrapText="1"/>
    </xf>
    <xf numFmtId="172" fontId="89" fillId="7" borderId="0" xfId="5" applyNumberFormat="1" applyFont="1" applyFill="1" applyBorder="1" applyAlignment="1">
      <alignment horizontal="center" vertical="center" wrapText="1"/>
    </xf>
    <xf numFmtId="172" fontId="89" fillId="23" borderId="0" xfId="5" applyNumberFormat="1" applyFont="1" applyFill="1" applyBorder="1" applyAlignment="1">
      <alignment horizontal="center" vertical="center" wrapText="1"/>
    </xf>
    <xf numFmtId="172" fontId="89" fillId="7" borderId="0" xfId="65" applyNumberFormat="1" applyFont="1" applyFill="1" applyBorder="1" applyAlignment="1">
      <alignment horizontal="center" vertical="top" wrapText="1"/>
    </xf>
    <xf numFmtId="172" fontId="89" fillId="7" borderId="0" xfId="65" applyNumberFormat="1" applyFont="1" applyFill="1" applyBorder="1" applyAlignment="1">
      <alignment horizontal="center" vertical="center" wrapText="1"/>
    </xf>
    <xf numFmtId="172" fontId="89" fillId="0" borderId="0" xfId="65" applyNumberFormat="1" applyFont="1" applyFill="1" applyBorder="1" applyAlignment="1">
      <alignment horizontal="center" vertical="center" wrapText="1"/>
    </xf>
    <xf numFmtId="172" fontId="88" fillId="18" borderId="0" xfId="5" applyNumberFormat="1" applyFont="1" applyFill="1" applyBorder="1" applyAlignment="1">
      <alignment horizontal="center" vertical="center" wrapText="1"/>
    </xf>
    <xf numFmtId="172" fontId="89" fillId="0" borderId="0" xfId="5" applyNumberFormat="1" applyFont="1" applyFill="1" applyBorder="1" applyAlignment="1">
      <alignment horizontal="center" vertical="center"/>
    </xf>
    <xf numFmtId="172" fontId="89" fillId="7" borderId="0" xfId="5" applyNumberFormat="1" applyFont="1" applyFill="1" applyBorder="1" applyAlignment="1">
      <alignment horizontal="center" vertical="center"/>
    </xf>
    <xf numFmtId="172" fontId="90" fillId="21" borderId="0" xfId="5" applyNumberFormat="1" applyFont="1" applyFill="1" applyBorder="1" applyAlignment="1">
      <alignment vertical="top" wrapText="1"/>
    </xf>
    <xf numFmtId="172" fontId="88" fillId="14" borderId="0" xfId="5" applyNumberFormat="1" applyFont="1" applyFill="1" applyBorder="1" applyAlignment="1">
      <alignment horizontal="center" vertical="center" wrapText="1"/>
    </xf>
    <xf numFmtId="172" fontId="90" fillId="34" borderId="0" xfId="5" applyNumberFormat="1" applyFont="1" applyFill="1" applyBorder="1" applyAlignment="1">
      <alignment horizontal="center" vertical="center" wrapText="1"/>
    </xf>
    <xf numFmtId="172" fontId="90" fillId="0" borderId="0" xfId="5" applyNumberFormat="1" applyFont="1" applyFill="1" applyBorder="1" applyAlignment="1">
      <alignment horizontal="center" vertical="center" wrapText="1"/>
    </xf>
    <xf numFmtId="172" fontId="90" fillId="11" borderId="0" xfId="5" applyNumberFormat="1" applyFont="1" applyFill="1" applyBorder="1" applyAlignment="1">
      <alignment horizontal="center" vertical="center" wrapText="1"/>
    </xf>
    <xf numFmtId="0" fontId="102" fillId="0" borderId="0" xfId="0" applyFont="1" applyAlignment="1">
      <alignment horizontal="left" vertical="center"/>
    </xf>
    <xf numFmtId="179" fontId="69" fillId="0" borderId="0" xfId="0" applyNumberFormat="1" applyFont="1" applyAlignment="1">
      <alignment horizontal="left"/>
    </xf>
    <xf numFmtId="182" fontId="69" fillId="0" borderId="0" xfId="9" applyNumberFormat="1" applyFont="1" applyFill="1" applyAlignment="1">
      <alignment horizontal="left"/>
    </xf>
    <xf numFmtId="0" fontId="73" fillId="0" borderId="0" xfId="0" applyFont="1" applyAlignment="1">
      <alignment horizontal="left"/>
    </xf>
    <xf numFmtId="0" fontId="71" fillId="0" borderId="0" xfId="0" applyFont="1" applyAlignment="1">
      <alignment wrapText="1"/>
    </xf>
    <xf numFmtId="9" fontId="73" fillId="0" borderId="0" xfId="58" applyFont="1" applyAlignment="1">
      <alignment wrapText="1"/>
    </xf>
    <xf numFmtId="179" fontId="98" fillId="0" borderId="0" xfId="63" applyNumberFormat="1" applyFont="1" applyFill="1" applyBorder="1" applyAlignment="1">
      <alignment horizontal="left" vertical="center"/>
    </xf>
    <xf numFmtId="0" fontId="95" fillId="11" borderId="0" xfId="0" applyFont="1" applyFill="1" applyAlignment="1">
      <alignment wrapText="1"/>
    </xf>
    <xf numFmtId="0" fontId="98" fillId="0" borderId="0" xfId="0" applyFont="1" applyAlignment="1">
      <alignment vertical="center" wrapText="1"/>
    </xf>
    <xf numFmtId="179" fontId="88" fillId="0" borderId="0" xfId="63" applyNumberFormat="1" applyFont="1" applyFill="1" applyBorder="1" applyAlignment="1">
      <alignment horizontal="left" vertical="center"/>
    </xf>
    <xf numFmtId="0" fontId="96" fillId="7" borderId="0" xfId="0" applyFont="1" applyFill="1" applyAlignment="1">
      <alignment wrapText="1"/>
    </xf>
    <xf numFmtId="172" fontId="96" fillId="0" borderId="0" xfId="0" applyNumberFormat="1" applyFont="1" applyAlignment="1">
      <alignment wrapText="1"/>
    </xf>
    <xf numFmtId="0" fontId="88" fillId="18" borderId="9" xfId="0" applyFont="1" applyFill="1" applyBorder="1" applyAlignment="1">
      <alignment vertical="center" wrapText="1"/>
    </xf>
    <xf numFmtId="0" fontId="88" fillId="18" borderId="22" xfId="0" applyFont="1" applyFill="1" applyBorder="1" applyAlignment="1">
      <alignment horizontal="center" vertical="center" wrapText="1"/>
    </xf>
    <xf numFmtId="178" fontId="88" fillId="18" borderId="23" xfId="9" applyNumberFormat="1" applyFont="1" applyFill="1" applyBorder="1" applyAlignment="1">
      <alignment vertical="center" wrapText="1"/>
    </xf>
    <xf numFmtId="178" fontId="88" fillId="18" borderId="25" xfId="9" applyNumberFormat="1" applyFont="1" applyFill="1" applyBorder="1" applyAlignment="1">
      <alignment vertical="center" wrapText="1"/>
    </xf>
    <xf numFmtId="178" fontId="88" fillId="18" borderId="26" xfId="9" applyNumberFormat="1" applyFont="1" applyFill="1" applyBorder="1" applyAlignment="1">
      <alignment horizontal="center" wrapText="1"/>
    </xf>
    <xf numFmtId="178" fontId="88" fillId="18" borderId="24" xfId="9" applyNumberFormat="1" applyFont="1" applyFill="1" applyBorder="1" applyAlignment="1">
      <alignment horizontal="center" wrapText="1"/>
    </xf>
    <xf numFmtId="178" fontId="88" fillId="18" borderId="23" xfId="9" applyNumberFormat="1" applyFont="1" applyFill="1" applyBorder="1" applyAlignment="1">
      <alignment wrapText="1"/>
    </xf>
    <xf numFmtId="178" fontId="88" fillId="18" borderId="25" xfId="9" applyNumberFormat="1" applyFont="1" applyFill="1" applyBorder="1" applyAlignment="1">
      <alignment wrapText="1"/>
    </xf>
    <xf numFmtId="178" fontId="88" fillId="18" borderId="26" xfId="9" applyNumberFormat="1" applyFont="1" applyFill="1" applyBorder="1" applyAlignment="1">
      <alignment wrapText="1"/>
    </xf>
    <xf numFmtId="0" fontId="88" fillId="18" borderId="42" xfId="0" applyFont="1" applyFill="1" applyBorder="1" applyAlignment="1">
      <alignment vertical="center" wrapText="1"/>
    </xf>
    <xf numFmtId="179" fontId="88" fillId="18" borderId="37" xfId="0" applyNumberFormat="1" applyFont="1" applyFill="1" applyBorder="1" applyAlignment="1">
      <alignment vertical="center" wrapText="1"/>
    </xf>
    <xf numFmtId="0" fontId="88" fillId="18" borderId="37" xfId="0" applyFont="1" applyFill="1" applyBorder="1" applyAlignment="1">
      <alignment vertical="center" wrapText="1"/>
    </xf>
    <xf numFmtId="0" fontId="88" fillId="18" borderId="43" xfId="0" applyFont="1" applyFill="1" applyBorder="1" applyAlignment="1">
      <alignment horizontal="center" vertical="center" wrapText="1"/>
    </xf>
    <xf numFmtId="178" fontId="88" fillId="18" borderId="44" xfId="9" applyNumberFormat="1" applyFont="1" applyFill="1" applyBorder="1" applyAlignment="1">
      <alignment vertical="center" wrapText="1"/>
    </xf>
    <xf numFmtId="178" fontId="88" fillId="18" borderId="45" xfId="9" applyNumberFormat="1" applyFont="1" applyFill="1" applyBorder="1" applyAlignment="1">
      <alignment vertical="center" wrapText="1"/>
    </xf>
    <xf numFmtId="178" fontId="88" fillId="18" borderId="46" xfId="9" applyNumberFormat="1" applyFont="1" applyFill="1" applyBorder="1" applyAlignment="1">
      <alignment horizontal="center" wrapText="1"/>
    </xf>
    <xf numFmtId="178" fontId="88" fillId="18" borderId="44" xfId="9" applyNumberFormat="1" applyFont="1" applyFill="1" applyBorder="1" applyAlignment="1">
      <alignment wrapText="1"/>
    </xf>
    <xf numFmtId="178" fontId="88" fillId="18" borderId="45" xfId="9" applyNumberFormat="1" applyFont="1" applyFill="1" applyBorder="1" applyAlignment="1">
      <alignment wrapText="1"/>
    </xf>
    <xf numFmtId="178" fontId="88" fillId="18" borderId="46" xfId="9" applyNumberFormat="1" applyFont="1" applyFill="1" applyBorder="1" applyAlignment="1">
      <alignment wrapText="1"/>
    </xf>
    <xf numFmtId="183" fontId="88" fillId="0" borderId="0" xfId="58" applyNumberFormat="1" applyFont="1" applyAlignment="1">
      <alignment horizontal="left" wrapText="1"/>
    </xf>
    <xf numFmtId="183" fontId="88" fillId="0" borderId="0" xfId="0" applyNumberFormat="1" applyFont="1" applyAlignment="1">
      <alignment horizontal="left" wrapText="1"/>
    </xf>
    <xf numFmtId="183" fontId="96" fillId="0" borderId="0" xfId="0" applyNumberFormat="1" applyFont="1" applyAlignment="1">
      <alignment horizontal="left" wrapText="1"/>
    </xf>
    <xf numFmtId="0" fontId="96" fillId="0" borderId="0" xfId="0" applyFont="1" applyAlignment="1">
      <alignment vertical="center" wrapText="1"/>
    </xf>
    <xf numFmtId="178" fontId="96" fillId="0" borderId="0" xfId="58" applyNumberFormat="1" applyFont="1" applyAlignment="1">
      <alignment wrapText="1"/>
    </xf>
    <xf numFmtId="0" fontId="96" fillId="0" borderId="0" xfId="0" applyFont="1" applyAlignment="1">
      <alignment horizontal="center" wrapText="1"/>
    </xf>
    <xf numFmtId="182" fontId="96" fillId="0" borderId="0" xfId="9" applyNumberFormat="1" applyFont="1" applyAlignment="1">
      <alignment wrapText="1"/>
    </xf>
    <xf numFmtId="9" fontId="96" fillId="0" borderId="0" xfId="58" applyFont="1" applyAlignment="1">
      <alignment wrapText="1"/>
    </xf>
    <xf numFmtId="0" fontId="96" fillId="0" borderId="0" xfId="0" applyFont="1" applyAlignment="1">
      <alignment horizontal="center" vertical="center"/>
    </xf>
    <xf numFmtId="0" fontId="39" fillId="0" borderId="7" xfId="0" applyFont="1" applyBorder="1" applyAlignment="1">
      <alignment wrapText="1"/>
    </xf>
    <xf numFmtId="0" fontId="89" fillId="0" borderId="7" xfId="0" applyFont="1" applyBorder="1" applyAlignment="1">
      <alignment wrapText="1"/>
    </xf>
    <xf numFmtId="179" fontId="89" fillId="0" borderId="7" xfId="63" applyNumberFormat="1" applyFont="1" applyFill="1" applyBorder="1" applyAlignment="1">
      <alignment horizontal="center" vertical="center" wrapText="1"/>
    </xf>
    <xf numFmtId="0" fontId="105" fillId="0" borderId="0" xfId="0" applyFont="1" applyAlignment="1">
      <alignment vertical="center" wrapText="1"/>
    </xf>
    <xf numFmtId="178" fontId="106" fillId="0" borderId="0" xfId="0" applyNumberFormat="1" applyFont="1" applyAlignment="1">
      <alignment wrapText="1"/>
    </xf>
    <xf numFmtId="183" fontId="105" fillId="0" borderId="0" xfId="58" applyNumberFormat="1" applyFont="1" applyBorder="1" applyAlignment="1">
      <alignment wrapText="1"/>
    </xf>
    <xf numFmtId="178" fontId="96" fillId="0" borderId="0" xfId="0" applyNumberFormat="1" applyFont="1" applyAlignment="1">
      <alignment vertical="center" wrapText="1"/>
    </xf>
    <xf numFmtId="0" fontId="91" fillId="19" borderId="14" xfId="0" applyFont="1" applyFill="1" applyBorder="1" applyAlignment="1">
      <alignment vertical="center" wrapText="1"/>
    </xf>
    <xf numFmtId="170" fontId="10" fillId="0" borderId="53" xfId="10" applyNumberFormat="1" applyFont="1" applyBorder="1" applyAlignment="1" applyProtection="1">
      <alignment horizontal="center" vertical="center" wrapText="1"/>
      <protection locked="0"/>
    </xf>
    <xf numFmtId="170" fontId="10" fillId="11" borderId="53" xfId="10" applyNumberFormat="1" applyFont="1" applyFill="1" applyBorder="1" applyAlignment="1" applyProtection="1">
      <alignment horizontal="center" vertical="center" wrapText="1"/>
      <protection locked="0"/>
    </xf>
    <xf numFmtId="169" fontId="10" fillId="11" borderId="53" xfId="6" applyNumberFormat="1" applyFont="1" applyFill="1" applyBorder="1" applyAlignment="1" applyProtection="1">
      <alignment horizontal="right" vertical="center" wrapText="1"/>
      <protection locked="0"/>
    </xf>
    <xf numFmtId="9" fontId="10" fillId="0" borderId="53" xfId="59" applyFont="1" applyBorder="1" applyAlignment="1" applyProtection="1">
      <alignment horizontal="right" vertical="center" wrapText="1"/>
      <protection locked="0"/>
    </xf>
    <xf numFmtId="170" fontId="54" fillId="8" borderId="53" xfId="10" applyNumberFormat="1" applyFont="1" applyFill="1" applyBorder="1" applyAlignment="1" applyProtection="1">
      <alignment horizontal="center" vertical="center" wrapText="1"/>
      <protection locked="0"/>
    </xf>
    <xf numFmtId="0" fontId="12" fillId="7" borderId="48" xfId="40" applyFont="1" applyFill="1" applyBorder="1" applyAlignment="1" applyProtection="1">
      <alignment horizontal="left" vertical="center" wrapText="1"/>
      <protection locked="0"/>
    </xf>
    <xf numFmtId="0" fontId="12" fillId="7" borderId="51" xfId="40" applyFont="1" applyFill="1" applyBorder="1" applyAlignment="1" applyProtection="1">
      <alignment horizontal="left" vertical="center" wrapText="1"/>
      <protection locked="0"/>
    </xf>
    <xf numFmtId="169" fontId="12" fillId="7" borderId="51" xfId="40" applyNumberFormat="1" applyFont="1" applyFill="1" applyBorder="1" applyAlignment="1" applyProtection="1">
      <alignment horizontal="left" vertical="center" wrapText="1"/>
      <protection locked="0"/>
    </xf>
    <xf numFmtId="9" fontId="12" fillId="7" borderId="51" xfId="40" applyNumberFormat="1" applyFont="1" applyFill="1" applyBorder="1" applyAlignment="1" applyProtection="1">
      <alignment horizontal="right" vertical="center"/>
      <protection locked="0"/>
    </xf>
    <xf numFmtId="170" fontId="12" fillId="7" borderId="51" xfId="10" applyNumberFormat="1" applyFont="1" applyFill="1" applyBorder="1" applyAlignment="1" applyProtection="1">
      <alignment horizontal="center" vertical="center" wrapText="1"/>
      <protection locked="0"/>
    </xf>
    <xf numFmtId="0" fontId="12" fillId="7" borderId="48" xfId="40" applyFont="1" applyFill="1" applyBorder="1" applyAlignment="1" applyProtection="1">
      <alignment horizontal="right" vertical="center" wrapText="1"/>
      <protection locked="0"/>
    </xf>
    <xf numFmtId="0" fontId="12" fillId="7" borderId="51" xfId="40" applyFont="1" applyFill="1" applyBorder="1" applyAlignment="1" applyProtection="1">
      <alignment horizontal="right" vertical="center" wrapText="1"/>
      <protection locked="0"/>
    </xf>
    <xf numFmtId="169" fontId="12" fillId="7" borderId="51" xfId="6" applyNumberFormat="1" applyFont="1" applyFill="1" applyBorder="1" applyAlignment="1" applyProtection="1">
      <alignment horizontal="right" vertical="center" wrapText="1"/>
      <protection locked="0"/>
    </xf>
    <xf numFmtId="9" fontId="12" fillId="7" borderId="51" xfId="40" applyNumberFormat="1" applyFont="1" applyFill="1" applyBorder="1" applyAlignment="1" applyProtection="1">
      <alignment horizontal="right" vertical="center" wrapText="1"/>
      <protection locked="0"/>
    </xf>
    <xf numFmtId="0" fontId="12" fillId="7" borderId="48" xfId="5" applyNumberFormat="1" applyFont="1" applyFill="1" applyBorder="1" applyAlignment="1" applyProtection="1">
      <alignment horizontal="left" vertical="center" wrapText="1"/>
      <protection locked="0"/>
    </xf>
    <xf numFmtId="0" fontId="12" fillId="7" borderId="51" xfId="5" applyNumberFormat="1" applyFont="1" applyFill="1" applyBorder="1" applyAlignment="1" applyProtection="1">
      <alignment horizontal="left" vertical="center" wrapText="1"/>
      <protection locked="0"/>
    </xf>
    <xf numFmtId="0" fontId="12" fillId="7" borderId="51" xfId="40" applyFont="1" applyFill="1" applyBorder="1" applyAlignment="1" applyProtection="1">
      <alignment horizontal="right" vertical="center"/>
      <protection locked="0"/>
    </xf>
    <xf numFmtId="0" fontId="12" fillId="7" borderId="51" xfId="10" applyNumberFormat="1" applyFont="1" applyFill="1" applyBorder="1" applyAlignment="1" applyProtection="1">
      <alignment horizontal="center" vertical="center" wrapText="1"/>
      <protection locked="0"/>
    </xf>
    <xf numFmtId="0" fontId="12" fillId="7" borderId="48" xfId="5" applyNumberFormat="1" applyFont="1" applyFill="1" applyBorder="1" applyAlignment="1" applyProtection="1">
      <alignment horizontal="right" vertical="center" wrapText="1"/>
      <protection locked="0"/>
    </xf>
    <xf numFmtId="0" fontId="12" fillId="7" borderId="51" xfId="5" applyNumberFormat="1" applyFont="1" applyFill="1" applyBorder="1" applyAlignment="1" applyProtection="1">
      <alignment horizontal="right" vertical="center" wrapText="1"/>
      <protection locked="0"/>
    </xf>
    <xf numFmtId="0" fontId="12" fillId="7" borderId="51" xfId="6" applyNumberFormat="1" applyFont="1" applyFill="1" applyBorder="1" applyAlignment="1" applyProtection="1">
      <alignment horizontal="right" vertical="center" wrapText="1"/>
      <protection locked="0"/>
    </xf>
    <xf numFmtId="0" fontId="91" fillId="18" borderId="49" xfId="0" applyFont="1" applyFill="1" applyBorder="1" applyAlignment="1">
      <alignment vertical="top" wrapText="1"/>
    </xf>
    <xf numFmtId="0" fontId="91" fillId="19" borderId="49" xfId="0" applyFont="1" applyFill="1" applyBorder="1" applyAlignment="1">
      <alignment vertical="top" wrapText="1"/>
    </xf>
    <xf numFmtId="0" fontId="88" fillId="18" borderId="47" xfId="0" applyFont="1" applyFill="1" applyBorder="1" applyAlignment="1">
      <alignment horizontal="center" vertical="center" wrapText="1"/>
    </xf>
    <xf numFmtId="178" fontId="89" fillId="0" borderId="47" xfId="9" applyNumberFormat="1" applyFont="1" applyBorder="1" applyAlignment="1">
      <alignment horizontal="center" wrapText="1"/>
    </xf>
    <xf numFmtId="178" fontId="89" fillId="24" borderId="47" xfId="9" applyNumberFormat="1" applyFont="1" applyFill="1" applyBorder="1" applyAlignment="1">
      <alignment horizontal="center" wrapText="1"/>
    </xf>
    <xf numFmtId="178" fontId="89" fillId="0" borderId="47" xfId="9" applyNumberFormat="1" applyFont="1" applyFill="1" applyBorder="1" applyAlignment="1">
      <alignment horizontal="center" wrapText="1"/>
    </xf>
    <xf numFmtId="0" fontId="0" fillId="0" borderId="52" xfId="0" applyBorder="1"/>
    <xf numFmtId="0" fontId="0" fillId="0" borderId="49" xfId="0" applyBorder="1"/>
    <xf numFmtId="0" fontId="0" fillId="0" borderId="48" xfId="0" applyBorder="1"/>
    <xf numFmtId="0" fontId="0" fillId="0" borderId="51" xfId="0" applyBorder="1"/>
    <xf numFmtId="0" fontId="89" fillId="0" borderId="54" xfId="0" applyFont="1" applyBorder="1" applyAlignment="1">
      <alignment horizontal="center" vertical="center" wrapText="1"/>
    </xf>
    <xf numFmtId="0" fontId="89" fillId="0" borderId="54" xfId="0" applyFont="1" applyBorder="1" applyAlignment="1">
      <alignment horizontal="left" vertical="center" wrapText="1"/>
    </xf>
    <xf numFmtId="179" fontId="89" fillId="0" borderId="54" xfId="9" applyNumberFormat="1" applyFont="1" applyFill="1" applyBorder="1" applyAlignment="1">
      <alignment horizontal="center" vertical="center" wrapText="1"/>
    </xf>
    <xf numFmtId="1" fontId="89" fillId="0" borderId="54" xfId="42" applyNumberFormat="1" applyFont="1" applyBorder="1" applyAlignment="1">
      <alignment horizontal="right" vertical="center" wrapText="1"/>
    </xf>
    <xf numFmtId="1" fontId="89" fillId="0" borderId="54" xfId="42" applyNumberFormat="1" applyFont="1" applyBorder="1" applyAlignment="1">
      <alignment horizontal="center" vertical="center" wrapText="1"/>
    </xf>
    <xf numFmtId="9" fontId="89" fillId="7" borderId="54" xfId="58" applyFont="1" applyFill="1" applyBorder="1" applyAlignment="1">
      <alignment horizontal="center" vertical="center"/>
    </xf>
    <xf numFmtId="182" fontId="89" fillId="0" borderId="54" xfId="9" applyNumberFormat="1" applyFont="1" applyFill="1" applyBorder="1" applyAlignment="1">
      <alignment horizontal="center" vertical="center"/>
    </xf>
    <xf numFmtId="172" fontId="89" fillId="7" borderId="54" xfId="5" applyNumberFormat="1" applyFont="1" applyFill="1" applyBorder="1" applyAlignment="1">
      <alignment horizontal="center" vertical="center"/>
    </xf>
    <xf numFmtId="182" fontId="89" fillId="0" borderId="54" xfId="9" applyNumberFormat="1" applyFont="1" applyFill="1" applyBorder="1" applyAlignment="1">
      <alignment horizontal="center" vertical="center" wrapText="1"/>
    </xf>
    <xf numFmtId="3" fontId="89" fillId="0" borderId="54" xfId="65" applyNumberFormat="1" applyFont="1" applyFill="1" applyBorder="1" applyAlignment="1">
      <alignment horizontal="left" vertical="center" wrapText="1"/>
    </xf>
    <xf numFmtId="176" fontId="89" fillId="0" borderId="54" xfId="9" applyNumberFormat="1" applyFont="1" applyFill="1" applyBorder="1" applyAlignment="1">
      <alignment horizontal="center" vertical="center" wrapText="1"/>
    </xf>
    <xf numFmtId="172" fontId="89" fillId="0" borderId="54" xfId="5" applyNumberFormat="1" applyFont="1" applyFill="1" applyBorder="1" applyAlignment="1">
      <alignment horizontal="center" vertical="center"/>
    </xf>
    <xf numFmtId="0" fontId="89" fillId="7" borderId="54" xfId="0" applyFont="1" applyFill="1" applyBorder="1" applyAlignment="1">
      <alignment vertical="center" wrapText="1"/>
    </xf>
    <xf numFmtId="170" fontId="54" fillId="8" borderId="54" xfId="59" applyNumberFormat="1" applyFont="1" applyFill="1" applyBorder="1" applyAlignment="1" applyProtection="1">
      <alignment horizontal="right" vertical="center"/>
      <protection locked="0"/>
    </xf>
    <xf numFmtId="0" fontId="54" fillId="8" borderId="54" xfId="10" applyNumberFormat="1" applyFont="1" applyFill="1" applyBorder="1" applyAlignment="1" applyProtection="1">
      <alignment horizontal="center" vertical="top" wrapText="1"/>
      <protection locked="0"/>
    </xf>
    <xf numFmtId="14" fontId="59" fillId="8" borderId="54" xfId="40" applyNumberFormat="1" applyFont="1" applyFill="1" applyBorder="1" applyAlignment="1" applyProtection="1">
      <alignment horizontal="center" vertical="center" wrapText="1"/>
      <protection locked="0"/>
    </xf>
    <xf numFmtId="170" fontId="54" fillId="8" borderId="54" xfId="40" applyNumberFormat="1" applyFont="1" applyFill="1" applyBorder="1" applyAlignment="1" applyProtection="1">
      <alignment horizontal="left" vertical="center"/>
      <protection locked="0"/>
    </xf>
    <xf numFmtId="0" fontId="54" fillId="8" borderId="54" xfId="40" applyFont="1" applyFill="1" applyBorder="1" applyAlignment="1" applyProtection="1">
      <alignment horizontal="center" vertical="top" wrapText="1"/>
      <protection locked="0"/>
    </xf>
    <xf numFmtId="170" fontId="54" fillId="8" borderId="54" xfId="10" applyNumberFormat="1" applyFont="1" applyFill="1" applyBorder="1" applyAlignment="1" applyProtection="1">
      <alignment horizontal="center" vertical="top" wrapText="1"/>
      <protection locked="0"/>
    </xf>
    <xf numFmtId="172" fontId="54" fillId="8" borderId="54" xfId="6" applyNumberFormat="1" applyFont="1" applyFill="1" applyBorder="1" applyAlignment="1" applyProtection="1">
      <alignment horizontal="center" vertical="top" wrapText="1"/>
      <protection locked="0"/>
    </xf>
    <xf numFmtId="169" fontId="54" fillId="8" borderId="54" xfId="6" applyNumberFormat="1" applyFont="1" applyFill="1" applyBorder="1" applyAlignment="1" applyProtection="1">
      <alignment horizontal="center" vertical="top" wrapText="1"/>
      <protection locked="0"/>
    </xf>
    <xf numFmtId="9" fontId="58" fillId="8" borderId="54" xfId="6" applyNumberFormat="1" applyFont="1" applyFill="1" applyBorder="1" applyAlignment="1" applyProtection="1">
      <alignment horizontal="center" vertical="top" wrapText="1"/>
      <protection locked="0"/>
    </xf>
    <xf numFmtId="170" fontId="60" fillId="8" borderId="54" xfId="10" applyNumberFormat="1" applyFont="1" applyFill="1" applyBorder="1" applyAlignment="1" applyProtection="1">
      <alignment horizontal="center" vertical="top" wrapText="1"/>
      <protection locked="0"/>
    </xf>
    <xf numFmtId="0" fontId="10" fillId="0" borderId="54" xfId="40" applyFont="1" applyBorder="1" applyAlignment="1" applyProtection="1">
      <alignment horizontal="left" vertical="center" wrapText="1"/>
      <protection locked="0"/>
    </xf>
    <xf numFmtId="170" fontId="10" fillId="0" borderId="54" xfId="10" applyNumberFormat="1" applyFont="1" applyBorder="1" applyAlignment="1" applyProtection="1">
      <alignment horizontal="center" vertical="center" wrapText="1"/>
      <protection locked="0"/>
    </xf>
    <xf numFmtId="169" fontId="10" fillId="0" borderId="54" xfId="6" applyNumberFormat="1" applyFont="1" applyBorder="1" applyAlignment="1" applyProtection="1">
      <alignment horizontal="right" vertical="center" wrapText="1"/>
      <protection locked="0"/>
    </xf>
    <xf numFmtId="9" fontId="10" fillId="0" borderId="54" xfId="59" applyFont="1" applyBorder="1" applyAlignment="1" applyProtection="1">
      <alignment horizontal="right" vertical="center" wrapText="1"/>
      <protection locked="0"/>
    </xf>
    <xf numFmtId="170" fontId="10" fillId="0" borderId="54" xfId="55" applyNumberFormat="1" applyFont="1" applyBorder="1" applyAlignment="1" applyProtection="1">
      <alignment horizontal="center" vertical="center" wrapText="1"/>
      <protection locked="0"/>
    </xf>
    <xf numFmtId="170" fontId="10" fillId="0" borderId="54" xfId="37" applyNumberFormat="1" applyFont="1" applyFill="1" applyBorder="1" applyAlignment="1" applyProtection="1">
      <alignment horizontal="center" vertical="center" wrapText="1"/>
      <protection locked="0"/>
    </xf>
    <xf numFmtId="170" fontId="55" fillId="0" borderId="54" xfId="10" applyNumberFormat="1" applyFont="1" applyBorder="1" applyAlignment="1" applyProtection="1">
      <alignment horizontal="center" vertical="center" wrapText="1"/>
    </xf>
    <xf numFmtId="170" fontId="55" fillId="0" borderId="54" xfId="37" applyNumberFormat="1" applyFont="1" applyFill="1" applyBorder="1" applyAlignment="1" applyProtection="1">
      <alignment horizontal="center" vertical="center" wrapText="1"/>
      <protection locked="0"/>
    </xf>
    <xf numFmtId="170" fontId="61" fillId="0" borderId="54" xfId="10" applyNumberFormat="1" applyFont="1" applyBorder="1" applyAlignment="1" applyProtection="1">
      <alignment horizontal="center" vertical="center" wrapText="1"/>
      <protection locked="0"/>
    </xf>
    <xf numFmtId="169" fontId="61" fillId="0" borderId="54" xfId="6" applyNumberFormat="1" applyFont="1" applyBorder="1" applyAlignment="1" applyProtection="1">
      <alignment horizontal="right" vertical="center" wrapText="1"/>
      <protection locked="0"/>
    </xf>
    <xf numFmtId="170" fontId="10" fillId="11" borderId="54" xfId="10" applyNumberFormat="1" applyFont="1" applyFill="1" applyBorder="1" applyAlignment="1" applyProtection="1">
      <alignment horizontal="center" vertical="center" wrapText="1"/>
      <protection locked="0"/>
    </xf>
    <xf numFmtId="169" fontId="10" fillId="11" borderId="54" xfId="6" applyNumberFormat="1" applyFont="1" applyFill="1" applyBorder="1" applyAlignment="1" applyProtection="1">
      <alignment horizontal="right" vertical="center" wrapText="1"/>
      <protection locked="0"/>
    </xf>
    <xf numFmtId="173" fontId="10" fillId="11" borderId="54" xfId="10" applyNumberFormat="1" applyFont="1" applyFill="1" applyBorder="1" applyAlignment="1" applyProtection="1">
      <alignment horizontal="center" vertical="center" wrapText="1"/>
      <protection locked="0"/>
    </xf>
    <xf numFmtId="173" fontId="10" fillId="0" borderId="54" xfId="10" applyNumberFormat="1" applyFont="1" applyBorder="1" applyAlignment="1" applyProtection="1">
      <alignment horizontal="center" vertical="center" wrapText="1"/>
      <protection locked="0"/>
    </xf>
    <xf numFmtId="0" fontId="56" fillId="0" borderId="54" xfId="40" applyFont="1" applyBorder="1" applyAlignment="1" applyProtection="1">
      <alignment horizontal="left" vertical="center" wrapText="1"/>
      <protection locked="0"/>
    </xf>
    <xf numFmtId="170" fontId="61" fillId="0" borderId="54" xfId="55" applyNumberFormat="1" applyFont="1" applyBorder="1" applyAlignment="1" applyProtection="1">
      <alignment horizontal="center" vertical="center" wrapText="1"/>
      <protection locked="0"/>
    </xf>
    <xf numFmtId="9" fontId="10" fillId="0" borderId="54" xfId="10" applyNumberFormat="1" applyFont="1" applyBorder="1" applyAlignment="1" applyProtection="1">
      <alignment horizontal="center" vertical="center" wrapText="1"/>
      <protection locked="0"/>
    </xf>
    <xf numFmtId="170" fontId="54" fillId="8" borderId="54" xfId="10" applyNumberFormat="1" applyFont="1" applyFill="1" applyBorder="1" applyAlignment="1" applyProtection="1">
      <alignment horizontal="center" vertical="center" wrapText="1"/>
      <protection locked="0"/>
    </xf>
    <xf numFmtId="170" fontId="55" fillId="0" borderId="54" xfId="10" applyNumberFormat="1" applyFont="1" applyBorder="1" applyAlignment="1" applyProtection="1">
      <alignment horizontal="center" vertical="center" wrapText="1"/>
      <protection locked="0"/>
    </xf>
    <xf numFmtId="169" fontId="62" fillId="0" borderId="54" xfId="6" applyNumberFormat="1" applyFont="1" applyBorder="1" applyAlignment="1" applyProtection="1">
      <alignment horizontal="right" vertical="center" wrapText="1"/>
      <protection locked="0"/>
    </xf>
    <xf numFmtId="174" fontId="10" fillId="0" borderId="54" xfId="6" applyNumberFormat="1" applyFont="1" applyBorder="1" applyAlignment="1" applyProtection="1">
      <alignment horizontal="right" vertical="center" wrapText="1"/>
      <protection locked="0"/>
    </xf>
    <xf numFmtId="170" fontId="54" fillId="8" borderId="54" xfId="37" applyNumberFormat="1" applyFont="1" applyFill="1" applyBorder="1" applyAlignment="1" applyProtection="1">
      <alignment horizontal="center" vertical="center" wrapText="1"/>
      <protection locked="0"/>
    </xf>
    <xf numFmtId="0" fontId="10" fillId="7" borderId="54" xfId="40" applyFont="1" applyFill="1" applyBorder="1" applyAlignment="1" applyProtection="1">
      <alignment horizontal="left" vertical="center" wrapText="1"/>
      <protection locked="0"/>
    </xf>
    <xf numFmtId="9" fontId="10" fillId="7" borderId="54" xfId="59" applyFont="1" applyFill="1" applyBorder="1" applyAlignment="1" applyProtection="1">
      <alignment horizontal="center" vertical="center" wrapText="1"/>
      <protection locked="0"/>
    </xf>
    <xf numFmtId="170" fontId="10" fillId="7" borderId="54" xfId="10" applyNumberFormat="1" applyFont="1" applyFill="1" applyBorder="1" applyAlignment="1" applyProtection="1">
      <alignment horizontal="center" vertical="center" wrapText="1"/>
      <protection locked="0"/>
    </xf>
    <xf numFmtId="169" fontId="10" fillId="7" borderId="54" xfId="6" applyNumberFormat="1" applyFont="1" applyFill="1" applyBorder="1" applyAlignment="1" applyProtection="1">
      <alignment horizontal="right" vertical="center" wrapText="1"/>
      <protection locked="0"/>
    </xf>
    <xf numFmtId="9" fontId="10" fillId="7" borderId="54" xfId="59" applyFont="1" applyFill="1" applyBorder="1" applyAlignment="1" applyProtection="1">
      <alignment horizontal="right" vertical="center" wrapText="1"/>
      <protection locked="0"/>
    </xf>
    <xf numFmtId="166" fontId="54" fillId="8" borderId="54" xfId="5" applyFont="1" applyFill="1" applyBorder="1" applyAlignment="1" applyProtection="1">
      <alignment horizontal="center" vertical="center" wrapText="1"/>
      <protection locked="0"/>
    </xf>
    <xf numFmtId="166" fontId="10" fillId="0" borderId="54" xfId="5" applyFont="1" applyBorder="1" applyAlignment="1" applyProtection="1">
      <alignment horizontal="left" vertical="center" wrapText="1"/>
      <protection locked="0"/>
    </xf>
    <xf numFmtId="0" fontId="10" fillId="0" borderId="54" xfId="5" applyNumberFormat="1" applyFont="1" applyBorder="1" applyAlignment="1" applyProtection="1">
      <alignment horizontal="left" vertical="center" wrapText="1"/>
      <protection locked="0"/>
    </xf>
    <xf numFmtId="9" fontId="10" fillId="0" borderId="54" xfId="5" applyNumberFormat="1" applyFont="1" applyBorder="1" applyAlignment="1" applyProtection="1">
      <alignment horizontal="left" vertical="center" wrapText="1"/>
      <protection locked="0"/>
    </xf>
    <xf numFmtId="0" fontId="54" fillId="8" borderId="54" xfId="5" applyNumberFormat="1" applyFont="1" applyFill="1" applyBorder="1" applyAlignment="1" applyProtection="1">
      <alignment horizontal="center" vertical="center" wrapText="1"/>
      <protection locked="0"/>
    </xf>
    <xf numFmtId="0" fontId="10" fillId="7" borderId="54" xfId="5" applyNumberFormat="1" applyFont="1" applyFill="1" applyBorder="1" applyAlignment="1" applyProtection="1">
      <alignment horizontal="left" vertical="center" wrapText="1"/>
      <protection locked="0"/>
    </xf>
    <xf numFmtId="0" fontId="95" fillId="0" borderId="54" xfId="0" applyFont="1" applyBorder="1" applyAlignment="1">
      <alignment horizontal="center" vertical="center" wrapText="1"/>
    </xf>
    <xf numFmtId="0" fontId="98" fillId="14" borderId="54" xfId="0" applyFont="1" applyFill="1" applyBorder="1" applyAlignment="1">
      <alignment horizontal="left" vertical="center" wrapText="1"/>
    </xf>
    <xf numFmtId="0" fontId="98" fillId="14" borderId="54" xfId="0" applyFont="1" applyFill="1" applyBorder="1" applyAlignment="1">
      <alignment horizontal="center" vertical="center" wrapText="1"/>
    </xf>
    <xf numFmtId="179" fontId="98" fillId="14" borderId="54" xfId="64" applyNumberFormat="1" applyFont="1" applyFill="1" applyBorder="1" applyAlignment="1">
      <alignment horizontal="center" vertical="center" wrapText="1"/>
    </xf>
    <xf numFmtId="0" fontId="98" fillId="14" borderId="54" xfId="63" applyNumberFormat="1" applyFont="1" applyFill="1" applyBorder="1" applyAlignment="1">
      <alignment horizontal="center" vertical="center" wrapText="1"/>
    </xf>
    <xf numFmtId="9" fontId="98" fillId="14" borderId="54" xfId="58" applyFont="1" applyFill="1" applyBorder="1" applyAlignment="1">
      <alignment horizontal="center" vertical="center" wrapText="1"/>
    </xf>
    <xf numFmtId="182" fontId="98" fillId="14" borderId="54" xfId="9" applyNumberFormat="1" applyFont="1" applyFill="1" applyBorder="1" applyAlignment="1">
      <alignment horizontal="center" vertical="center" wrapText="1"/>
    </xf>
    <xf numFmtId="172" fontId="98" fillId="14" borderId="54" xfId="5" applyNumberFormat="1" applyFont="1" applyFill="1" applyBorder="1" applyAlignment="1">
      <alignment horizontal="center" vertical="center" wrapText="1"/>
    </xf>
    <xf numFmtId="179" fontId="98" fillId="14" borderId="54" xfId="63" applyNumberFormat="1" applyFont="1" applyFill="1" applyBorder="1" applyAlignment="1">
      <alignment horizontal="center" vertical="center" wrapText="1"/>
    </xf>
    <xf numFmtId="0" fontId="88" fillId="18" borderId="54" xfId="0" applyFont="1" applyFill="1" applyBorder="1" applyAlignment="1">
      <alignment horizontal="center" vertical="center" wrapText="1"/>
    </xf>
    <xf numFmtId="0" fontId="98" fillId="18" borderId="54" xfId="0" applyFont="1" applyFill="1" applyBorder="1" applyAlignment="1">
      <alignment horizontal="left" vertical="center" wrapText="1"/>
    </xf>
    <xf numFmtId="179" fontId="88" fillId="18" borderId="54" xfId="64" applyNumberFormat="1" applyFont="1" applyFill="1" applyBorder="1" applyAlignment="1">
      <alignment horizontal="center" vertical="center" wrapText="1"/>
    </xf>
    <xf numFmtId="0" fontId="88" fillId="18" borderId="54" xfId="63" applyNumberFormat="1" applyFont="1" applyFill="1" applyBorder="1" applyAlignment="1">
      <alignment horizontal="center" vertical="center" wrapText="1"/>
    </xf>
    <xf numFmtId="9" fontId="88" fillId="18" borderId="54" xfId="58" applyFont="1" applyFill="1" applyBorder="1" applyAlignment="1">
      <alignment horizontal="center" vertical="center" wrapText="1"/>
    </xf>
    <xf numFmtId="182" fontId="88" fillId="18" borderId="54" xfId="9" applyNumberFormat="1" applyFont="1" applyFill="1" applyBorder="1" applyAlignment="1">
      <alignment horizontal="center" vertical="center" wrapText="1"/>
    </xf>
    <xf numFmtId="179" fontId="88" fillId="18" borderId="54" xfId="63" applyNumberFormat="1" applyFont="1" applyFill="1" applyBorder="1" applyAlignment="1">
      <alignment horizontal="center" vertical="center" wrapText="1"/>
    </xf>
    <xf numFmtId="0" fontId="90" fillId="21" borderId="54" xfId="0" applyFont="1" applyFill="1" applyBorder="1" applyAlignment="1">
      <alignment horizontal="center" vertical="center" wrapText="1"/>
    </xf>
    <xf numFmtId="182" fontId="90" fillId="21" borderId="54" xfId="9" applyNumberFormat="1" applyFont="1" applyFill="1" applyBorder="1" applyAlignment="1">
      <alignment horizontal="center" vertical="center" wrapText="1"/>
    </xf>
    <xf numFmtId="172" fontId="90" fillId="21" borderId="54" xfId="5" applyNumberFormat="1" applyFont="1" applyFill="1" applyBorder="1" applyAlignment="1">
      <alignment horizontal="center" vertical="center" wrapText="1"/>
    </xf>
    <xf numFmtId="179" fontId="90" fillId="21" borderId="54" xfId="63" applyNumberFormat="1" applyFont="1" applyFill="1" applyBorder="1" applyAlignment="1">
      <alignment horizontal="center" vertical="center" wrapText="1"/>
    </xf>
    <xf numFmtId="0" fontId="90" fillId="21" borderId="54" xfId="0" applyFont="1" applyFill="1" applyBorder="1" applyAlignment="1">
      <alignment vertical="center" wrapText="1"/>
    </xf>
    <xf numFmtId="9" fontId="90" fillId="21" borderId="54" xfId="58" applyFont="1" applyFill="1" applyBorder="1" applyAlignment="1">
      <alignment horizontal="center" vertical="center" wrapText="1"/>
    </xf>
    <xf numFmtId="9" fontId="89" fillId="7" borderId="54" xfId="58" applyFont="1" applyFill="1" applyBorder="1" applyAlignment="1">
      <alignment horizontal="center" vertical="center" wrapText="1"/>
    </xf>
    <xf numFmtId="172" fontId="89" fillId="7" borderId="54" xfId="5" applyNumberFormat="1" applyFont="1" applyFill="1" applyBorder="1" applyAlignment="1">
      <alignment horizontal="center" vertical="center" wrapText="1"/>
    </xf>
    <xf numFmtId="0" fontId="89" fillId="23" borderId="54" xfId="0" applyFont="1" applyFill="1" applyBorder="1" applyAlignment="1">
      <alignment horizontal="center" vertical="center" wrapText="1"/>
    </xf>
    <xf numFmtId="0" fontId="89" fillId="23" borderId="54" xfId="0" applyFont="1" applyFill="1" applyBorder="1" applyAlignment="1">
      <alignment horizontal="left" vertical="center" wrapText="1"/>
    </xf>
    <xf numFmtId="179" fontId="89" fillId="23" borderId="54" xfId="64" applyNumberFormat="1" applyFont="1" applyFill="1" applyBorder="1" applyAlignment="1">
      <alignment horizontal="center" vertical="center" wrapText="1"/>
    </xf>
    <xf numFmtId="1" fontId="89" fillId="23" borderId="54" xfId="42" applyNumberFormat="1" applyFont="1" applyFill="1" applyBorder="1" applyAlignment="1">
      <alignment horizontal="right" vertical="center" wrapText="1"/>
    </xf>
    <xf numFmtId="0" fontId="89" fillId="23" borderId="54" xfId="63" applyNumberFormat="1" applyFont="1" applyFill="1" applyBorder="1" applyAlignment="1">
      <alignment horizontal="center" vertical="center" wrapText="1"/>
    </xf>
    <xf numFmtId="9" fontId="89" fillId="23" borderId="54" xfId="58" applyFont="1" applyFill="1" applyBorder="1" applyAlignment="1">
      <alignment horizontal="center" vertical="center" wrapText="1"/>
    </xf>
    <xf numFmtId="182" fontId="89" fillId="23" borderId="54" xfId="9" applyNumberFormat="1" applyFont="1" applyFill="1" applyBorder="1" applyAlignment="1">
      <alignment horizontal="center" vertical="center" wrapText="1"/>
    </xf>
    <xf numFmtId="172" fontId="89" fillId="23" borderId="54" xfId="5" applyNumberFormat="1" applyFont="1" applyFill="1" applyBorder="1" applyAlignment="1">
      <alignment horizontal="center" vertical="center" wrapText="1"/>
    </xf>
    <xf numFmtId="0" fontId="89" fillId="23" borderId="54" xfId="0" applyFont="1" applyFill="1" applyBorder="1" applyAlignment="1">
      <alignment wrapText="1"/>
    </xf>
    <xf numFmtId="0" fontId="89" fillId="0" borderId="54" xfId="0" applyFont="1" applyBorder="1" applyAlignment="1">
      <alignment wrapText="1"/>
    </xf>
    <xf numFmtId="0" fontId="89" fillId="23" borderId="54" xfId="0" applyFont="1" applyFill="1" applyBorder="1" applyAlignment="1">
      <alignment vertical="center" wrapText="1"/>
    </xf>
    <xf numFmtId="0" fontId="89" fillId="0" borderId="54" xfId="0" applyFont="1" applyBorder="1" applyAlignment="1">
      <alignment vertical="center" wrapText="1"/>
    </xf>
    <xf numFmtId="0" fontId="89" fillId="7" borderId="54" xfId="0" applyFont="1" applyFill="1" applyBorder="1" applyAlignment="1">
      <alignment horizontal="left" vertical="center" wrapText="1"/>
    </xf>
    <xf numFmtId="179" fontId="89" fillId="7" borderId="54" xfId="64" applyNumberFormat="1" applyFont="1" applyFill="1" applyBorder="1" applyAlignment="1">
      <alignment horizontal="center" vertical="center" wrapText="1"/>
    </xf>
    <xf numFmtId="0" fontId="89" fillId="0" borderId="54" xfId="63" applyNumberFormat="1" applyFont="1" applyFill="1" applyBorder="1" applyAlignment="1">
      <alignment horizontal="center" vertical="center" wrapText="1"/>
    </xf>
    <xf numFmtId="9" fontId="89" fillId="0" borderId="54" xfId="58" applyFont="1" applyFill="1" applyBorder="1" applyAlignment="1">
      <alignment horizontal="center" vertical="center" wrapText="1"/>
    </xf>
    <xf numFmtId="182" fontId="89" fillId="7" borderId="54" xfId="9" applyNumberFormat="1" applyFont="1" applyFill="1" applyBorder="1" applyAlignment="1">
      <alignment horizontal="center" vertical="center" wrapText="1"/>
    </xf>
    <xf numFmtId="166" fontId="89" fillId="0" borderId="54" xfId="5" applyFont="1" applyFill="1" applyBorder="1" applyAlignment="1">
      <alignment horizontal="center" vertical="center" wrapText="1"/>
    </xf>
    <xf numFmtId="172" fontId="89" fillId="0" borderId="54" xfId="5" applyNumberFormat="1" applyFont="1" applyFill="1" applyBorder="1" applyAlignment="1">
      <alignment horizontal="center" vertical="center" wrapText="1"/>
    </xf>
    <xf numFmtId="3" fontId="89" fillId="0" borderId="54" xfId="65" applyNumberFormat="1" applyFont="1" applyFill="1" applyBorder="1" applyAlignment="1">
      <alignment horizontal="left" vertical="top" wrapText="1"/>
    </xf>
    <xf numFmtId="179" fontId="90" fillId="21" borderId="54" xfId="0" applyNumberFormat="1" applyFont="1" applyFill="1" applyBorder="1" applyAlignment="1">
      <alignment horizontal="center" vertical="center" wrapText="1"/>
    </xf>
    <xf numFmtId="0" fontId="89" fillId="0" borderId="54" xfId="0" applyFont="1" applyBorder="1" applyAlignment="1">
      <alignment horizontal="center" vertical="top" wrapText="1"/>
    </xf>
    <xf numFmtId="0" fontId="89" fillId="0" borderId="54" xfId="0" applyFont="1" applyBorder="1" applyAlignment="1">
      <alignment horizontal="left" vertical="top" wrapText="1"/>
    </xf>
    <xf numFmtId="179" fontId="89" fillId="0" borderId="54" xfId="64" applyNumberFormat="1" applyFont="1" applyFill="1" applyBorder="1" applyAlignment="1">
      <alignment horizontal="center" vertical="center" wrapText="1"/>
    </xf>
    <xf numFmtId="1" fontId="89" fillId="0" borderId="54" xfId="42" applyNumberFormat="1" applyFont="1" applyBorder="1" applyAlignment="1">
      <alignment horizontal="center" vertical="top" wrapText="1"/>
    </xf>
    <xf numFmtId="166" fontId="89" fillId="7" borderId="54" xfId="5" applyFont="1" applyFill="1" applyBorder="1" applyAlignment="1">
      <alignment horizontal="center" vertical="center" wrapText="1"/>
    </xf>
    <xf numFmtId="1" fontId="89" fillId="0" borderId="54" xfId="42" applyNumberFormat="1" applyFont="1" applyBorder="1" applyAlignment="1">
      <alignment horizontal="right" vertical="top" wrapText="1"/>
    </xf>
    <xf numFmtId="0" fontId="89" fillId="7" borderId="54" xfId="63" applyNumberFormat="1" applyFont="1" applyFill="1" applyBorder="1" applyAlignment="1">
      <alignment horizontal="center" vertical="center" wrapText="1"/>
    </xf>
    <xf numFmtId="176" fontId="89" fillId="0" borderId="54" xfId="9" applyNumberFormat="1" applyFont="1" applyFill="1" applyBorder="1" applyAlignment="1">
      <alignment horizontal="center" vertical="top" wrapText="1"/>
    </xf>
    <xf numFmtId="0" fontId="89" fillId="0" borderId="54" xfId="42" applyFont="1" applyBorder="1" applyAlignment="1" applyProtection="1">
      <alignment horizontal="left" vertical="center" wrapText="1"/>
      <protection locked="0"/>
    </xf>
    <xf numFmtId="179" fontId="89" fillId="7" borderId="54" xfId="63" applyNumberFormat="1" applyFont="1" applyFill="1" applyBorder="1" applyAlignment="1">
      <alignment horizontal="left" vertical="center" wrapText="1"/>
    </xf>
    <xf numFmtId="179" fontId="89" fillId="0" borderId="54" xfId="63" applyNumberFormat="1" applyFont="1" applyFill="1" applyBorder="1" applyAlignment="1">
      <alignment horizontal="left" vertical="center" wrapText="1"/>
    </xf>
    <xf numFmtId="180" fontId="89" fillId="7" borderId="54" xfId="64" applyNumberFormat="1" applyFont="1" applyFill="1" applyBorder="1" applyAlignment="1">
      <alignment horizontal="center" vertical="center" wrapText="1"/>
    </xf>
    <xf numFmtId="0" fontId="99" fillId="0" borderId="54" xfId="0" applyFont="1" applyBorder="1" applyAlignment="1">
      <alignment horizontal="left" vertical="top" wrapText="1"/>
    </xf>
    <xf numFmtId="179" fontId="89" fillId="7" borderId="54" xfId="64" applyNumberFormat="1" applyFont="1" applyFill="1" applyBorder="1" applyAlignment="1">
      <alignment horizontal="center" vertical="top" wrapText="1"/>
    </xf>
    <xf numFmtId="0" fontId="89" fillId="0" borderId="54" xfId="63" applyNumberFormat="1" applyFont="1" applyFill="1" applyBorder="1" applyAlignment="1">
      <alignment horizontal="center" vertical="top" wrapText="1"/>
    </xf>
    <xf numFmtId="0" fontId="89" fillId="7" borderId="54" xfId="63" applyNumberFormat="1" applyFont="1" applyFill="1" applyBorder="1" applyAlignment="1">
      <alignment horizontal="center" vertical="top" wrapText="1"/>
    </xf>
    <xf numFmtId="9" fontId="89" fillId="7" borderId="54" xfId="59" applyFont="1" applyFill="1" applyBorder="1" applyAlignment="1">
      <alignment horizontal="center" vertical="top" wrapText="1"/>
    </xf>
    <xf numFmtId="182" fontId="89" fillId="7" borderId="54" xfId="9" applyNumberFormat="1" applyFont="1" applyFill="1" applyBorder="1" applyAlignment="1">
      <alignment horizontal="center" vertical="top" wrapText="1"/>
    </xf>
    <xf numFmtId="172" fontId="89" fillId="7" borderId="54" xfId="65" applyNumberFormat="1" applyFont="1" applyFill="1" applyBorder="1" applyAlignment="1">
      <alignment horizontal="center" vertical="top" wrapText="1"/>
    </xf>
    <xf numFmtId="9" fontId="89" fillId="7" borderId="54" xfId="59" applyFont="1" applyFill="1" applyBorder="1" applyAlignment="1">
      <alignment horizontal="center" vertical="center" wrapText="1"/>
    </xf>
    <xf numFmtId="172" fontId="89" fillId="7" borderId="54" xfId="65" applyNumberFormat="1" applyFont="1" applyFill="1" applyBorder="1" applyAlignment="1">
      <alignment horizontal="center" vertical="center" wrapText="1"/>
    </xf>
    <xf numFmtId="0" fontId="89" fillId="7" borderId="54" xfId="0" applyFont="1" applyFill="1" applyBorder="1" applyAlignment="1">
      <alignment horizontal="center" vertical="top" wrapText="1"/>
    </xf>
    <xf numFmtId="172" fontId="89" fillId="0" borderId="54" xfId="65" applyNumberFormat="1" applyFont="1" applyFill="1" applyBorder="1" applyAlignment="1">
      <alignment horizontal="center" vertical="center" wrapText="1"/>
    </xf>
    <xf numFmtId="9" fontId="89" fillId="0" borderId="54" xfId="59" applyFont="1" applyFill="1" applyBorder="1" applyAlignment="1">
      <alignment horizontal="center" vertical="center" wrapText="1"/>
    </xf>
    <xf numFmtId="0" fontId="96" fillId="18" borderId="54" xfId="0" applyFont="1" applyFill="1" applyBorder="1" applyAlignment="1">
      <alignment horizontal="center" vertical="center" wrapText="1"/>
    </xf>
    <xf numFmtId="172" fontId="88" fillId="18" borderId="54" xfId="5" applyNumberFormat="1" applyFont="1" applyFill="1" applyBorder="1" applyAlignment="1">
      <alignment horizontal="center" vertical="center" wrapText="1"/>
    </xf>
    <xf numFmtId="0" fontId="89" fillId="0" borderId="54" xfId="42" applyFont="1" applyBorder="1" applyAlignment="1" applyProtection="1">
      <alignment horizontal="left" vertical="top" wrapText="1"/>
      <protection locked="0"/>
    </xf>
    <xf numFmtId="179" fontId="89" fillId="0" borderId="54" xfId="9" applyNumberFormat="1" applyFont="1" applyFill="1" applyBorder="1" applyAlignment="1">
      <alignment horizontal="center" vertical="top" wrapText="1"/>
    </xf>
    <xf numFmtId="180" fontId="89" fillId="0" borderId="54" xfId="9" applyNumberFormat="1" applyFont="1" applyFill="1" applyBorder="1" applyAlignment="1">
      <alignment horizontal="center" vertical="top" wrapText="1"/>
    </xf>
    <xf numFmtId="0" fontId="89" fillId="21" borderId="54" xfId="0" applyFont="1" applyFill="1" applyBorder="1" applyAlignment="1">
      <alignment vertical="center" wrapText="1"/>
    </xf>
    <xf numFmtId="0" fontId="89" fillId="21" borderId="54" xfId="0" applyFont="1" applyFill="1" applyBorder="1" applyAlignment="1">
      <alignment wrapText="1"/>
    </xf>
    <xf numFmtId="0" fontId="99" fillId="0" borderId="54" xfId="0" applyFont="1" applyBorder="1" applyAlignment="1">
      <alignment horizontal="left" vertical="center" wrapText="1"/>
    </xf>
    <xf numFmtId="180" fontId="89" fillId="0" borderId="54" xfId="9" applyNumberFormat="1" applyFont="1" applyFill="1" applyBorder="1" applyAlignment="1">
      <alignment horizontal="center" vertical="center" wrapText="1"/>
    </xf>
    <xf numFmtId="172" fontId="90" fillId="11" borderId="54" xfId="5" applyNumberFormat="1" applyFont="1" applyFill="1" applyBorder="1" applyAlignment="1">
      <alignment horizontal="center" vertical="center" wrapText="1"/>
    </xf>
    <xf numFmtId="179" fontId="89" fillId="21" borderId="54" xfId="0" applyNumberFormat="1" applyFont="1" applyFill="1" applyBorder="1" applyAlignment="1">
      <alignment horizontal="left" vertical="center" wrapText="1"/>
    </xf>
    <xf numFmtId="179" fontId="89" fillId="7" borderId="54" xfId="63" applyNumberFormat="1" applyFont="1" applyFill="1" applyBorder="1" applyAlignment="1">
      <alignment horizontal="left" vertical="center"/>
    </xf>
    <xf numFmtId="179" fontId="89" fillId="0" borderId="54" xfId="63" applyNumberFormat="1" applyFont="1" applyFill="1" applyBorder="1" applyAlignment="1">
      <alignment horizontal="left" vertical="center"/>
    </xf>
    <xf numFmtId="0" fontId="90" fillId="21" borderId="54" xfId="0" applyFont="1" applyFill="1" applyBorder="1" applyAlignment="1">
      <alignment horizontal="center" vertical="top" wrapText="1"/>
    </xf>
    <xf numFmtId="182" fontId="90" fillId="21" borderId="54" xfId="9" applyNumberFormat="1" applyFont="1" applyFill="1" applyBorder="1" applyAlignment="1">
      <alignment vertical="top" wrapText="1"/>
    </xf>
    <xf numFmtId="172" fontId="90" fillId="21" borderId="54" xfId="5" applyNumberFormat="1" applyFont="1" applyFill="1" applyBorder="1" applyAlignment="1">
      <alignment vertical="top" wrapText="1"/>
    </xf>
    <xf numFmtId="179" fontId="89" fillId="21" borderId="54" xfId="0" applyNumberFormat="1" applyFont="1" applyFill="1" applyBorder="1" applyAlignment="1">
      <alignment vertical="top" wrapText="1"/>
    </xf>
    <xf numFmtId="0" fontId="89" fillId="21" borderId="54" xfId="0" applyFont="1" applyFill="1" applyBorder="1" applyAlignment="1">
      <alignment vertical="top" wrapText="1"/>
    </xf>
    <xf numFmtId="0" fontId="90" fillId="21" borderId="54" xfId="0" applyFont="1" applyFill="1" applyBorder="1" applyAlignment="1">
      <alignment vertical="top" wrapText="1"/>
    </xf>
    <xf numFmtId="179" fontId="90" fillId="21" borderId="54" xfId="0" applyNumberFormat="1" applyFont="1" applyFill="1" applyBorder="1" applyAlignment="1">
      <alignment vertical="top" wrapText="1"/>
    </xf>
    <xf numFmtId="9" fontId="90" fillId="21" borderId="54" xfId="58" applyFont="1" applyFill="1" applyBorder="1" applyAlignment="1">
      <alignment horizontal="center" vertical="top" wrapText="1"/>
    </xf>
    <xf numFmtId="180" fontId="89" fillId="0" borderId="54" xfId="9" applyNumberFormat="1" applyFont="1" applyBorder="1" applyAlignment="1">
      <alignment horizontal="center" vertical="center" wrapText="1"/>
    </xf>
    <xf numFmtId="1" fontId="89" fillId="11" borderId="54" xfId="42" applyNumberFormat="1" applyFont="1" applyFill="1" applyBorder="1" applyAlignment="1">
      <alignment horizontal="right" vertical="top" wrapText="1"/>
    </xf>
    <xf numFmtId="179" fontId="89" fillId="7" borderId="54" xfId="9" applyNumberFormat="1" applyFont="1" applyFill="1" applyBorder="1" applyAlignment="1">
      <alignment horizontal="center" vertical="top" wrapText="1"/>
    </xf>
    <xf numFmtId="1" fontId="89" fillId="7" borderId="54" xfId="42" applyNumberFormat="1" applyFont="1" applyFill="1" applyBorder="1" applyAlignment="1">
      <alignment horizontal="right" vertical="center" wrapText="1"/>
    </xf>
    <xf numFmtId="1" fontId="89" fillId="7" borderId="54" xfId="42" applyNumberFormat="1" applyFont="1" applyFill="1" applyBorder="1" applyAlignment="1">
      <alignment horizontal="center" vertical="top" wrapText="1"/>
    </xf>
    <xf numFmtId="166" fontId="89" fillId="0" borderId="54" xfId="5" applyFont="1" applyFill="1" applyBorder="1" applyAlignment="1">
      <alignment horizontal="center" vertical="top" wrapText="1"/>
    </xf>
    <xf numFmtId="1" fontId="67" fillId="0" borderId="54" xfId="40" applyNumberFormat="1" applyFont="1" applyBorder="1" applyAlignment="1">
      <alignment horizontal="right" vertical="center" wrapText="1"/>
    </xf>
    <xf numFmtId="0" fontId="89" fillId="7" borderId="54" xfId="40" applyFont="1" applyFill="1" applyBorder="1" applyAlignment="1">
      <alignment horizontal="center" vertical="center" wrapText="1"/>
    </xf>
    <xf numFmtId="0" fontId="89" fillId="7" borderId="54" xfId="40" applyFont="1" applyFill="1" applyBorder="1" applyAlignment="1">
      <alignment vertical="center" wrapText="1"/>
    </xf>
    <xf numFmtId="179" fontId="89" fillId="7" borderId="54" xfId="63" applyNumberFormat="1" applyFont="1" applyFill="1" applyBorder="1" applyAlignment="1">
      <alignment horizontal="center" vertical="center" wrapText="1"/>
    </xf>
    <xf numFmtId="179" fontId="89" fillId="0" borderId="54" xfId="63" applyNumberFormat="1" applyFont="1" applyFill="1" applyBorder="1" applyAlignment="1">
      <alignment horizontal="center" vertical="center" wrapText="1"/>
    </xf>
    <xf numFmtId="179" fontId="89" fillId="0" borderId="54" xfId="42" applyNumberFormat="1" applyFont="1" applyBorder="1" applyAlignment="1">
      <alignment horizontal="right" vertical="center" wrapText="1"/>
    </xf>
    <xf numFmtId="180" fontId="89" fillId="0" borderId="54" xfId="42" applyNumberFormat="1" applyFont="1" applyBorder="1" applyAlignment="1">
      <alignment horizontal="right" vertical="center" wrapText="1"/>
    </xf>
    <xf numFmtId="182" fontId="90" fillId="0" borderId="54" xfId="9" applyNumberFormat="1" applyFont="1" applyFill="1" applyBorder="1" applyAlignment="1">
      <alignment horizontal="center" vertical="center" wrapText="1"/>
    </xf>
    <xf numFmtId="181" fontId="89" fillId="0" borderId="54" xfId="9" applyNumberFormat="1" applyFont="1" applyFill="1" applyBorder="1" applyAlignment="1">
      <alignment horizontal="center" vertical="top" wrapText="1"/>
    </xf>
    <xf numFmtId="179" fontId="67" fillId="0" borderId="54" xfId="9" applyNumberFormat="1" applyFont="1" applyFill="1" applyBorder="1" applyAlignment="1">
      <alignment horizontal="center" vertical="center" wrapText="1"/>
    </xf>
    <xf numFmtId="1" fontId="67" fillId="0" borderId="54" xfId="40" applyNumberFormat="1" applyFont="1" applyBorder="1" applyAlignment="1">
      <alignment horizontal="center" vertical="center" wrapText="1"/>
    </xf>
    <xf numFmtId="180" fontId="67" fillId="0" borderId="54" xfId="9" applyNumberFormat="1" applyFont="1" applyFill="1" applyBorder="1" applyAlignment="1">
      <alignment horizontal="center" vertical="center" wrapText="1"/>
    </xf>
    <xf numFmtId="1" fontId="89" fillId="7" borderId="54" xfId="42" applyNumberFormat="1" applyFont="1" applyFill="1" applyBorder="1" applyAlignment="1">
      <alignment horizontal="center" vertical="center" wrapText="1"/>
    </xf>
    <xf numFmtId="179" fontId="89" fillId="0" borderId="54" xfId="9" applyNumberFormat="1" applyFont="1" applyBorder="1" applyAlignment="1">
      <alignment horizontal="center" vertical="center" wrapText="1"/>
    </xf>
    <xf numFmtId="0" fontId="88" fillId="14" borderId="54" xfId="0" applyFont="1" applyFill="1" applyBorder="1" applyAlignment="1">
      <alignment horizontal="center" vertical="center" wrapText="1"/>
    </xf>
    <xf numFmtId="0" fontId="88" fillId="14" borderId="54" xfId="0" applyFont="1" applyFill="1" applyBorder="1" applyAlignment="1">
      <alignment horizontal="left" vertical="center" wrapText="1"/>
    </xf>
    <xf numFmtId="179" fontId="88" fillId="14" borderId="54" xfId="64" applyNumberFormat="1" applyFont="1" applyFill="1" applyBorder="1" applyAlignment="1">
      <alignment horizontal="center" vertical="center" wrapText="1"/>
    </xf>
    <xf numFmtId="0" fontId="88" fillId="14" borderId="54" xfId="63" applyNumberFormat="1" applyFont="1" applyFill="1" applyBorder="1" applyAlignment="1">
      <alignment horizontal="center" vertical="center" wrapText="1"/>
    </xf>
    <xf numFmtId="9" fontId="88" fillId="14" borderId="54" xfId="58" applyFont="1" applyFill="1" applyBorder="1" applyAlignment="1">
      <alignment horizontal="center" vertical="center" wrapText="1"/>
    </xf>
    <xf numFmtId="182" fontId="88" fillId="14" borderId="54" xfId="9" applyNumberFormat="1" applyFont="1" applyFill="1" applyBorder="1" applyAlignment="1">
      <alignment horizontal="center" vertical="center" wrapText="1"/>
    </xf>
    <xf numFmtId="172" fontId="88" fillId="14" borderId="54" xfId="5" applyNumberFormat="1" applyFont="1" applyFill="1" applyBorder="1" applyAlignment="1">
      <alignment horizontal="center" vertical="center" wrapText="1"/>
    </xf>
    <xf numFmtId="179" fontId="88" fillId="14" borderId="54" xfId="63" applyNumberFormat="1" applyFont="1" applyFill="1" applyBorder="1" applyAlignment="1">
      <alignment horizontal="center" vertical="center" wrapText="1"/>
    </xf>
    <xf numFmtId="0" fontId="89" fillId="7" borderId="54" xfId="40" applyFont="1" applyFill="1" applyBorder="1" applyAlignment="1">
      <alignment horizontal="center" vertical="top" wrapText="1"/>
    </xf>
    <xf numFmtId="0" fontId="89" fillId="7" borderId="54" xfId="40" applyFont="1" applyFill="1" applyBorder="1" applyAlignment="1">
      <alignment vertical="top" wrapText="1"/>
    </xf>
    <xf numFmtId="2" fontId="89" fillId="0" borderId="54" xfId="42" applyNumberFormat="1" applyFont="1" applyBorder="1" applyAlignment="1">
      <alignment horizontal="right" vertical="center" wrapText="1"/>
    </xf>
    <xf numFmtId="168" fontId="89" fillId="0" borderId="54" xfId="42" applyNumberFormat="1" applyFont="1" applyBorder="1" applyAlignment="1">
      <alignment horizontal="center" vertical="center" wrapText="1"/>
    </xf>
    <xf numFmtId="0" fontId="89" fillId="7" borderId="54" xfId="40" applyFont="1" applyFill="1" applyBorder="1" applyAlignment="1">
      <alignment horizontal="center" vertical="top"/>
    </xf>
    <xf numFmtId="168" fontId="89" fillId="0" borderId="54" xfId="42" applyNumberFormat="1" applyFont="1" applyBorder="1" applyAlignment="1">
      <alignment horizontal="center" vertical="top" wrapText="1"/>
    </xf>
    <xf numFmtId="0" fontId="89" fillId="0" borderId="54" xfId="40" applyFont="1" applyBorder="1" applyAlignment="1">
      <alignment horizontal="center" vertical="center" wrapText="1"/>
    </xf>
    <xf numFmtId="0" fontId="89" fillId="0" borderId="54" xfId="42" applyFont="1" applyBorder="1" applyAlignment="1">
      <alignment horizontal="center" vertical="center" wrapText="1"/>
    </xf>
    <xf numFmtId="0" fontId="89" fillId="7" borderId="54" xfId="42" applyFont="1" applyFill="1" applyBorder="1" applyAlignment="1" applyProtection="1">
      <alignment horizontal="left" vertical="center" wrapText="1"/>
      <protection locked="0"/>
    </xf>
    <xf numFmtId="0" fontId="89" fillId="7" borderId="54" xfId="42" applyFont="1" applyFill="1" applyBorder="1" applyAlignment="1">
      <alignment horizontal="center" vertical="center" wrapText="1"/>
    </xf>
    <xf numFmtId="0" fontId="89" fillId="0" borderId="54" xfId="42" applyFont="1" applyBorder="1" applyAlignment="1">
      <alignment horizontal="left" vertical="center" wrapText="1"/>
    </xf>
    <xf numFmtId="168" fontId="89" fillId="0" borderId="54" xfId="42" applyNumberFormat="1" applyFont="1" applyBorder="1" applyAlignment="1">
      <alignment horizontal="right" vertical="center" wrapText="1"/>
    </xf>
    <xf numFmtId="0" fontId="89" fillId="7" borderId="54" xfId="42" applyFont="1" applyFill="1" applyBorder="1" applyAlignment="1">
      <alignment horizontal="left" vertical="center" wrapText="1"/>
    </xf>
    <xf numFmtId="0" fontId="89" fillId="7" borderId="54" xfId="40" applyFont="1" applyFill="1" applyBorder="1" applyAlignment="1">
      <alignment horizontal="center" vertical="center"/>
    </xf>
    <xf numFmtId="0" fontId="90" fillId="0" borderId="54" xfId="0" applyFont="1" applyBorder="1" applyAlignment="1">
      <alignment horizontal="center" vertical="center" wrapText="1"/>
    </xf>
    <xf numFmtId="0" fontId="90" fillId="33" borderId="54" xfId="0" applyFont="1" applyFill="1" applyBorder="1" applyAlignment="1">
      <alignment horizontal="center" vertical="center" wrapText="1"/>
    </xf>
    <xf numFmtId="179" fontId="90" fillId="33" borderId="54" xfId="0" applyNumberFormat="1" applyFont="1" applyFill="1" applyBorder="1" applyAlignment="1">
      <alignment horizontal="center" vertical="center" wrapText="1"/>
    </xf>
    <xf numFmtId="9" fontId="90" fillId="33" borderId="54" xfId="58" applyFont="1" applyFill="1" applyBorder="1" applyAlignment="1">
      <alignment horizontal="center" vertical="center" wrapText="1"/>
    </xf>
    <xf numFmtId="182" fontId="90" fillId="34" borderId="54" xfId="9" applyNumberFormat="1" applyFont="1" applyFill="1" applyBorder="1" applyAlignment="1">
      <alignment horizontal="center" vertical="center" wrapText="1"/>
    </xf>
    <xf numFmtId="172" fontId="90" fillId="34" borderId="54" xfId="5" applyNumberFormat="1" applyFont="1" applyFill="1" applyBorder="1" applyAlignment="1">
      <alignment horizontal="center" vertical="center" wrapText="1"/>
    </xf>
    <xf numFmtId="179" fontId="90" fillId="34" borderId="54" xfId="63" applyNumberFormat="1" applyFont="1" applyFill="1" applyBorder="1" applyAlignment="1">
      <alignment horizontal="center" vertical="center" wrapText="1"/>
    </xf>
    <xf numFmtId="172" fontId="90" fillId="0" borderId="54" xfId="5" applyNumberFormat="1" applyFont="1" applyFill="1" applyBorder="1" applyAlignment="1">
      <alignment horizontal="center" vertical="center" wrapText="1"/>
    </xf>
    <xf numFmtId="0" fontId="96" fillId="0" borderId="54" xfId="0" applyFont="1" applyBorder="1" applyAlignment="1">
      <alignment horizontal="center" vertical="center"/>
    </xf>
    <xf numFmtId="179" fontId="89" fillId="11" borderId="54" xfId="63" applyNumberFormat="1" applyFont="1" applyFill="1" applyBorder="1" applyAlignment="1">
      <alignment horizontal="center" vertical="center" wrapText="1"/>
    </xf>
    <xf numFmtId="182" fontId="90" fillId="11" borderId="54" xfId="9" applyNumberFormat="1" applyFont="1" applyFill="1" applyBorder="1" applyAlignment="1">
      <alignment horizontal="center" vertical="center" wrapText="1"/>
    </xf>
    <xf numFmtId="184" fontId="90" fillId="11" borderId="54" xfId="5" applyNumberFormat="1" applyFont="1" applyFill="1" applyBorder="1" applyAlignment="1">
      <alignment horizontal="center" vertical="center" wrapText="1"/>
    </xf>
    <xf numFmtId="179" fontId="88" fillId="18" borderId="54" xfId="0" applyNumberFormat="1" applyFont="1" applyFill="1" applyBorder="1" applyAlignment="1">
      <alignment vertical="center" wrapText="1"/>
    </xf>
    <xf numFmtId="0" fontId="88" fillId="18" borderId="54" xfId="0" applyFont="1" applyFill="1" applyBorder="1" applyAlignment="1">
      <alignment vertical="center" wrapText="1"/>
    </xf>
    <xf numFmtId="178" fontId="89" fillId="0" borderId="54" xfId="9" applyNumberFormat="1" applyFont="1" applyBorder="1" applyAlignment="1">
      <alignment vertical="center" wrapText="1"/>
    </xf>
    <xf numFmtId="178" fontId="89" fillId="0" borderId="54" xfId="9" applyNumberFormat="1" applyFont="1" applyBorder="1" applyAlignment="1">
      <alignment wrapText="1"/>
    </xf>
    <xf numFmtId="178" fontId="89" fillId="24" borderId="54" xfId="9" applyNumberFormat="1" applyFont="1" applyFill="1" applyBorder="1" applyAlignment="1">
      <alignment vertical="center" wrapText="1"/>
    </xf>
    <xf numFmtId="178" fontId="89" fillId="24" borderId="54" xfId="9" applyNumberFormat="1" applyFont="1" applyFill="1" applyBorder="1" applyAlignment="1">
      <alignment wrapText="1"/>
    </xf>
    <xf numFmtId="178" fontId="89" fillId="0" borderId="54" xfId="9" applyNumberFormat="1" applyFont="1" applyFill="1" applyBorder="1" applyAlignment="1">
      <alignment vertical="center" wrapText="1"/>
    </xf>
    <xf numFmtId="178" fontId="89" fillId="0" borderId="54" xfId="9" applyNumberFormat="1" applyFont="1" applyFill="1" applyBorder="1" applyAlignment="1">
      <alignment wrapText="1"/>
    </xf>
    <xf numFmtId="180" fontId="89" fillId="0" borderId="54" xfId="64" applyNumberFormat="1" applyFont="1" applyFill="1" applyBorder="1" applyAlignment="1">
      <alignment horizontal="center" vertical="center" wrapText="1"/>
    </xf>
    <xf numFmtId="0" fontId="89" fillId="7" borderId="54" xfId="0" applyFont="1" applyFill="1" applyBorder="1" applyAlignment="1">
      <alignment wrapText="1"/>
    </xf>
    <xf numFmtId="166" fontId="89" fillId="0" borderId="54" xfId="5" applyFont="1" applyFill="1" applyBorder="1" applyAlignment="1">
      <alignment horizontal="center" vertical="center"/>
    </xf>
    <xf numFmtId="9" fontId="89" fillId="0" borderId="54" xfId="58" applyFont="1" applyFill="1" applyBorder="1" applyAlignment="1">
      <alignment horizontal="center" vertical="center"/>
    </xf>
    <xf numFmtId="176" fontId="67" fillId="0" borderId="54" xfId="9" applyNumberFormat="1" applyFont="1" applyFill="1" applyBorder="1" applyAlignment="1">
      <alignment horizontal="center" vertical="center" wrapText="1"/>
    </xf>
    <xf numFmtId="0" fontId="54" fillId="20" borderId="47" xfId="69" applyFont="1" applyFill="1" applyBorder="1" applyAlignment="1">
      <alignment horizontal="centerContinuous" vertical="center"/>
    </xf>
    <xf numFmtId="0" fontId="59" fillId="20" borderId="48" xfId="69" applyFont="1" applyFill="1" applyBorder="1" applyAlignment="1">
      <alignment horizontal="centerContinuous" vertical="center"/>
    </xf>
    <xf numFmtId="0" fontId="59" fillId="20" borderId="49" xfId="69" applyFont="1" applyFill="1" applyBorder="1" applyAlignment="1">
      <alignment horizontal="centerContinuous" vertical="center"/>
    </xf>
    <xf numFmtId="0" fontId="79" fillId="0" borderId="0" xfId="69" applyFont="1" applyAlignment="1">
      <alignment horizontal="center"/>
    </xf>
    <xf numFmtId="0" fontId="79" fillId="0" borderId="0" xfId="69" applyFont="1"/>
    <xf numFmtId="0" fontId="54" fillId="20" borderId="54" xfId="69" applyFont="1" applyFill="1" applyBorder="1" applyAlignment="1">
      <alignment horizontal="center" vertical="center"/>
    </xf>
    <xf numFmtId="0" fontId="54" fillId="20" borderId="54" xfId="69" applyFont="1" applyFill="1" applyBorder="1" applyAlignment="1">
      <alignment horizontal="left" vertical="center"/>
    </xf>
    <xf numFmtId="176" fontId="54" fillId="20" borderId="54" xfId="69" applyNumberFormat="1" applyFont="1" applyFill="1" applyBorder="1" applyAlignment="1">
      <alignment horizontal="center" vertical="center"/>
    </xf>
    <xf numFmtId="0" fontId="54" fillId="20" borderId="47" xfId="69" applyFont="1" applyFill="1" applyBorder="1" applyAlignment="1">
      <alignment horizontal="left" vertical="center"/>
    </xf>
    <xf numFmtId="0" fontId="54" fillId="20" borderId="48" xfId="69" applyFont="1" applyFill="1" applyBorder="1" applyAlignment="1">
      <alignment horizontal="left" vertical="center"/>
    </xf>
    <xf numFmtId="0" fontId="54" fillId="20" borderId="49" xfId="69" applyFont="1" applyFill="1" applyBorder="1" applyAlignment="1">
      <alignment horizontal="left" vertical="center"/>
    </xf>
    <xf numFmtId="0" fontId="79" fillId="0" borderId="54" xfId="69" applyFont="1" applyBorder="1" applyAlignment="1">
      <alignment horizontal="center" vertical="center"/>
    </xf>
    <xf numFmtId="0" fontId="79" fillId="0" borderId="54" xfId="69" applyFont="1" applyBorder="1" applyAlignment="1">
      <alignment horizontal="left" vertical="center" wrapText="1"/>
    </xf>
    <xf numFmtId="176" fontId="79" fillId="0" borderId="54" xfId="69" applyNumberFormat="1" applyFont="1" applyBorder="1" applyAlignment="1">
      <alignment horizontal="center" vertical="center"/>
    </xf>
    <xf numFmtId="0" fontId="61" fillId="0" borderId="54" xfId="69" applyFont="1" applyBorder="1" applyAlignment="1">
      <alignment vertical="center" wrapText="1"/>
    </xf>
    <xf numFmtId="0" fontId="54" fillId="20" borderId="48" xfId="69" applyFont="1" applyFill="1" applyBorder="1" applyAlignment="1">
      <alignment vertical="center"/>
    </xf>
    <xf numFmtId="0" fontId="54" fillId="20" borderId="48" xfId="69" applyFont="1" applyFill="1" applyBorder="1" applyAlignment="1">
      <alignment horizontal="center" vertical="center"/>
    </xf>
    <xf numFmtId="185" fontId="54" fillId="20" borderId="48" xfId="69" applyNumberFormat="1" applyFont="1" applyFill="1" applyBorder="1" applyAlignment="1">
      <alignment horizontal="center" vertical="center"/>
    </xf>
    <xf numFmtId="0" fontId="54" fillId="20" borderId="54" xfId="69" applyFont="1" applyFill="1" applyBorder="1" applyAlignment="1">
      <alignment vertical="center"/>
    </xf>
    <xf numFmtId="176" fontId="54" fillId="20" borderId="48" xfId="69" applyNumberFormat="1" applyFont="1" applyFill="1" applyBorder="1" applyAlignment="1">
      <alignment horizontal="center" vertical="center"/>
    </xf>
    <xf numFmtId="0" fontId="54" fillId="20" borderId="49" xfId="69" applyFont="1" applyFill="1" applyBorder="1" applyAlignment="1">
      <alignment vertical="center"/>
    </xf>
    <xf numFmtId="0" fontId="10" fillId="0" borderId="54" xfId="69" applyFont="1" applyBorder="1"/>
    <xf numFmtId="0" fontId="103" fillId="0" borderId="54" xfId="69" applyFont="1" applyBorder="1" applyAlignment="1">
      <alignment horizontal="left" vertical="center"/>
    </xf>
    <xf numFmtId="0" fontId="79" fillId="0" borderId="54" xfId="69" applyFont="1" applyBorder="1" applyAlignment="1">
      <alignment horizontal="left" vertical="center"/>
    </xf>
    <xf numFmtId="0" fontId="10" fillId="0" borderId="54" xfId="69" applyFont="1" applyBorder="1" applyAlignment="1">
      <alignment vertical="center" wrapText="1"/>
    </xf>
    <xf numFmtId="0" fontId="79" fillId="0" borderId="54" xfId="69" applyFont="1" applyBorder="1" applyAlignment="1">
      <alignment vertical="center" wrapText="1"/>
    </xf>
    <xf numFmtId="0" fontId="79" fillId="0" borderId="47" xfId="69" applyFont="1" applyBorder="1" applyAlignment="1">
      <alignment horizontal="left" vertical="center"/>
    </xf>
    <xf numFmtId="0" fontId="79" fillId="0" borderId="48" xfId="69" applyFont="1" applyBorder="1" applyAlignment="1">
      <alignment horizontal="center" vertical="center"/>
    </xf>
    <xf numFmtId="185" fontId="79" fillId="0" borderId="49" xfId="69" applyNumberFormat="1" applyFont="1" applyBorder="1" applyAlignment="1">
      <alignment horizontal="center" vertical="center"/>
    </xf>
    <xf numFmtId="176" fontId="59" fillId="20" borderId="48" xfId="69" applyNumberFormat="1" applyFont="1" applyFill="1" applyBorder="1" applyAlignment="1">
      <alignment horizontal="centerContinuous" vertical="center"/>
    </xf>
    <xf numFmtId="0" fontId="54" fillId="20" borderId="49" xfId="69" applyFont="1" applyFill="1" applyBorder="1" applyAlignment="1">
      <alignment horizontal="centerContinuous" vertical="center"/>
    </xf>
    <xf numFmtId="0" fontId="79" fillId="0" borderId="0" xfId="69" applyFont="1" applyAlignment="1">
      <alignment vertical="center"/>
    </xf>
    <xf numFmtId="0" fontId="79" fillId="0" borderId="0" xfId="69" applyFont="1" applyAlignment="1">
      <alignment horizontal="center" vertical="center"/>
    </xf>
    <xf numFmtId="0" fontId="54" fillId="37" borderId="47" xfId="69" applyFont="1" applyFill="1" applyBorder="1" applyAlignment="1">
      <alignment vertical="center"/>
    </xf>
    <xf numFmtId="0" fontId="54" fillId="37" borderId="48" xfId="69" applyFont="1" applyFill="1" applyBorder="1" applyAlignment="1">
      <alignment vertical="center"/>
    </xf>
    <xf numFmtId="176" fontId="54" fillId="37" borderId="48" xfId="69" applyNumberFormat="1" applyFont="1" applyFill="1" applyBorder="1" applyAlignment="1">
      <alignment vertical="center"/>
    </xf>
    <xf numFmtId="0" fontId="54" fillId="37" borderId="49" xfId="69" applyFont="1" applyFill="1" applyBorder="1" applyAlignment="1">
      <alignment vertical="center"/>
    </xf>
    <xf numFmtId="0" fontId="79" fillId="0" borderId="54" xfId="69" applyFont="1" applyBorder="1" applyAlignment="1">
      <alignment vertical="center"/>
    </xf>
    <xf numFmtId="176" fontId="79" fillId="0" borderId="47" xfId="69" applyNumberFormat="1" applyFont="1" applyBorder="1" applyAlignment="1">
      <alignment horizontal="center" vertical="center"/>
    </xf>
    <xf numFmtId="176" fontId="79" fillId="0" borderId="0" xfId="69" applyNumberFormat="1" applyFont="1" applyAlignment="1">
      <alignment horizontal="center" vertical="center"/>
    </xf>
    <xf numFmtId="0" fontId="54" fillId="20" borderId="48" xfId="69" applyFont="1" applyFill="1" applyBorder="1" applyAlignment="1">
      <alignment horizontal="centerContinuous" vertical="center"/>
    </xf>
    <xf numFmtId="185" fontId="79" fillId="0" borderId="54" xfId="69" applyNumberFormat="1" applyFont="1" applyBorder="1" applyAlignment="1">
      <alignment horizontal="center" vertical="center"/>
    </xf>
    <xf numFmtId="0" fontId="54" fillId="20" borderId="47" xfId="69" applyFont="1" applyFill="1" applyBorder="1" applyAlignment="1">
      <alignment vertical="center"/>
    </xf>
    <xf numFmtId="0" fontId="10" fillId="0" borderId="54" xfId="69" applyFont="1" applyBorder="1" applyAlignment="1">
      <alignment horizontal="left" vertical="center"/>
    </xf>
    <xf numFmtId="0" fontId="10" fillId="0" borderId="54" xfId="69" applyFont="1" applyBorder="1" applyAlignment="1">
      <alignment horizontal="center" vertical="center"/>
    </xf>
    <xf numFmtId="185" fontId="10" fillId="0" borderId="54" xfId="69" applyNumberFormat="1" applyFont="1" applyBorder="1" applyAlignment="1">
      <alignment horizontal="center" vertical="center"/>
    </xf>
    <xf numFmtId="176" fontId="10" fillId="0" borderId="54" xfId="69" applyNumberFormat="1" applyFont="1" applyBorder="1" applyAlignment="1">
      <alignment horizontal="center" vertical="center"/>
    </xf>
    <xf numFmtId="0" fontId="79" fillId="0" borderId="49" xfId="69" applyFont="1" applyBorder="1" applyAlignment="1">
      <alignment horizontal="center" vertical="center"/>
    </xf>
    <xf numFmtId="0" fontId="79" fillId="7" borderId="0" xfId="69" applyFont="1" applyFill="1"/>
    <xf numFmtId="0" fontId="79" fillId="0" borderId="54" xfId="69" applyFont="1" applyBorder="1" applyAlignment="1">
      <alignment horizontal="center"/>
    </xf>
    <xf numFmtId="0" fontId="79" fillId="0" borderId="54" xfId="69" applyFont="1" applyBorder="1"/>
    <xf numFmtId="0" fontId="79" fillId="7" borderId="54" xfId="69" applyFont="1" applyFill="1" applyBorder="1"/>
    <xf numFmtId="0" fontId="10" fillId="0" borderId="54" xfId="69" applyFont="1" applyBorder="1" applyAlignment="1">
      <alignment horizontal="center"/>
    </xf>
    <xf numFmtId="0" fontId="79" fillId="0" borderId="47" xfId="69" applyFont="1" applyBorder="1" applyAlignment="1">
      <alignment horizontal="left"/>
    </xf>
    <xf numFmtId="0" fontId="79" fillId="0" borderId="48" xfId="69" applyFont="1" applyBorder="1"/>
    <xf numFmtId="0" fontId="54" fillId="20" borderId="48" xfId="69" applyFont="1" applyFill="1" applyBorder="1" applyAlignment="1">
      <alignment horizontal="centerContinuous" vertical="center" wrapText="1"/>
    </xf>
    <xf numFmtId="0" fontId="61" fillId="20" borderId="48" xfId="69" applyFont="1" applyFill="1" applyBorder="1" applyAlignment="1">
      <alignment horizontal="centerContinuous" vertical="center" wrapText="1"/>
    </xf>
    <xf numFmtId="0" fontId="109" fillId="20" borderId="48" xfId="69" applyFont="1" applyFill="1" applyBorder="1" applyAlignment="1">
      <alignment horizontal="centerContinuous" vertical="center" wrapText="1"/>
    </xf>
    <xf numFmtId="0" fontId="61" fillId="20" borderId="49" xfId="69" applyFont="1" applyFill="1" applyBorder="1" applyAlignment="1">
      <alignment horizontal="centerContinuous" vertical="center" wrapText="1"/>
    </xf>
    <xf numFmtId="0" fontId="54" fillId="0" borderId="48" xfId="69" applyFont="1" applyBorder="1" applyAlignment="1">
      <alignment horizontal="centerContinuous" vertical="center" wrapText="1"/>
    </xf>
    <xf numFmtId="0" fontId="61" fillId="0" borderId="48" xfId="69" applyFont="1" applyBorder="1" applyAlignment="1">
      <alignment horizontal="centerContinuous" vertical="center" wrapText="1"/>
    </xf>
    <xf numFmtId="0" fontId="109" fillId="0" borderId="48" xfId="69" applyFont="1" applyBorder="1" applyAlignment="1">
      <alignment horizontal="centerContinuous" vertical="center" wrapText="1"/>
    </xf>
    <xf numFmtId="0" fontId="61" fillId="0" borderId="49" xfId="69" applyFont="1" applyBorder="1" applyAlignment="1">
      <alignment horizontal="centerContinuous" vertical="center" wrapText="1"/>
    </xf>
    <xf numFmtId="176" fontId="54" fillId="20" borderId="47" xfId="69" applyNumberFormat="1" applyFont="1" applyFill="1" applyBorder="1" applyAlignment="1">
      <alignment horizontal="center" vertical="center"/>
    </xf>
    <xf numFmtId="49" fontId="110" fillId="7" borderId="54" xfId="69" applyNumberFormat="1" applyFont="1" applyFill="1" applyBorder="1" applyAlignment="1">
      <alignment horizontal="center" vertical="top"/>
    </xf>
    <xf numFmtId="176" fontId="10" fillId="0" borderId="54" xfId="69" applyNumberFormat="1" applyFont="1" applyBorder="1" applyAlignment="1">
      <alignment horizontal="center"/>
    </xf>
    <xf numFmtId="0" fontId="10" fillId="0" borderId="54" xfId="69" applyFont="1" applyBorder="1" applyAlignment="1">
      <alignment vertical="center"/>
    </xf>
    <xf numFmtId="0" fontId="53" fillId="0" borderId="54" xfId="69" applyFont="1" applyBorder="1" applyAlignment="1">
      <alignment horizontal="center" vertical="center"/>
    </xf>
    <xf numFmtId="0" fontId="79" fillId="27" borderId="0" xfId="69" applyFont="1" applyFill="1"/>
    <xf numFmtId="0" fontId="10" fillId="0" borderId="54" xfId="69" applyFont="1" applyBorder="1" applyAlignment="1">
      <alignment horizontal="left"/>
    </xf>
    <xf numFmtId="1" fontId="54" fillId="20" borderId="48" xfId="69" applyNumberFormat="1" applyFont="1" applyFill="1" applyBorder="1" applyAlignment="1">
      <alignment horizontal="center" vertical="center"/>
    </xf>
    <xf numFmtId="0" fontId="53" fillId="0" borderId="48" xfId="69" applyFont="1" applyBorder="1" applyAlignment="1">
      <alignment horizontal="center" vertical="center"/>
    </xf>
    <xf numFmtId="185" fontId="53" fillId="0" borderId="49" xfId="69" applyNumberFormat="1" applyFont="1" applyBorder="1" applyAlignment="1">
      <alignment horizontal="center" vertical="center"/>
    </xf>
    <xf numFmtId="0" fontId="9" fillId="0" borderId="54" xfId="69" applyFont="1" applyBorder="1" applyAlignment="1">
      <alignment vertical="center"/>
    </xf>
    <xf numFmtId="0" fontId="10" fillId="7" borderId="54" xfId="69" applyFont="1" applyFill="1" applyBorder="1" applyAlignment="1">
      <alignment horizontal="center"/>
    </xf>
    <xf numFmtId="0" fontId="79" fillId="0" borderId="47" xfId="69" applyFont="1" applyBorder="1"/>
    <xf numFmtId="1" fontId="79" fillId="0" borderId="54" xfId="69" applyNumberFormat="1" applyFont="1" applyBorder="1" applyAlignment="1">
      <alignment horizontal="center" vertical="center"/>
    </xf>
    <xf numFmtId="176" fontId="54" fillId="20" borderId="49" xfId="69" applyNumberFormat="1" applyFont="1" applyFill="1" applyBorder="1" applyAlignment="1">
      <alignment horizontal="center" vertical="center"/>
    </xf>
    <xf numFmtId="0" fontId="10" fillId="0" borderId="54" xfId="70" applyFont="1" applyBorder="1" applyAlignment="1">
      <alignment horizontal="center" vertical="center"/>
    </xf>
    <xf numFmtId="0" fontId="10" fillId="0" borderId="54" xfId="70" applyFont="1" applyBorder="1"/>
    <xf numFmtId="0" fontId="79" fillId="0" borderId="54" xfId="70" applyFont="1" applyBorder="1" applyAlignment="1">
      <alignment horizontal="center" vertical="center"/>
    </xf>
    <xf numFmtId="1" fontId="10" fillId="0" borderId="54" xfId="70" applyNumberFormat="1" applyFont="1" applyBorder="1" applyAlignment="1">
      <alignment horizontal="center" vertical="center"/>
    </xf>
    <xf numFmtId="185" fontId="10" fillId="0" borderId="54" xfId="70" applyNumberFormat="1" applyFont="1" applyBorder="1" applyAlignment="1">
      <alignment horizontal="center" vertical="center"/>
    </xf>
    <xf numFmtId="176" fontId="10" fillId="0" borderId="54" xfId="70" applyNumberFormat="1" applyFont="1" applyBorder="1" applyAlignment="1">
      <alignment horizontal="center" vertical="center"/>
    </xf>
    <xf numFmtId="0" fontId="10" fillId="0" borderId="54" xfId="70" applyFont="1" applyBorder="1" applyAlignment="1">
      <alignment vertical="center"/>
    </xf>
    <xf numFmtId="0" fontId="10" fillId="0" borderId="54" xfId="70" applyFont="1" applyBorder="1" applyAlignment="1">
      <alignment horizontal="left" vertical="center"/>
    </xf>
    <xf numFmtId="0" fontId="10" fillId="0" borderId="54" xfId="70" applyFont="1" applyBorder="1" applyAlignment="1">
      <alignment vertical="center" wrapText="1"/>
    </xf>
    <xf numFmtId="0" fontId="10" fillId="0" borderId="54" xfId="70" applyFont="1" applyBorder="1" applyAlignment="1">
      <alignment wrapText="1"/>
    </xf>
    <xf numFmtId="0" fontId="10" fillId="0" borderId="54" xfId="70" applyFont="1" applyBorder="1" applyAlignment="1">
      <alignment horizontal="center"/>
    </xf>
    <xf numFmtId="0" fontId="79" fillId="0" borderId="54" xfId="70" applyFont="1" applyBorder="1"/>
    <xf numFmtId="0" fontId="79" fillId="0" borderId="54" xfId="70" applyFont="1" applyBorder="1" applyAlignment="1">
      <alignment horizontal="left" vertical="center"/>
    </xf>
    <xf numFmtId="1" fontId="79" fillId="0" borderId="54" xfId="70" applyNumberFormat="1" applyFont="1" applyBorder="1" applyAlignment="1">
      <alignment horizontal="center" vertical="center"/>
    </xf>
    <xf numFmtId="185" fontId="79" fillId="0" borderId="54" xfId="70" applyNumberFormat="1" applyFont="1" applyBorder="1" applyAlignment="1">
      <alignment horizontal="center" vertical="center"/>
    </xf>
    <xf numFmtId="176" fontId="10" fillId="0" borderId="54" xfId="70" applyNumberFormat="1" applyFont="1" applyBorder="1" applyAlignment="1">
      <alignment horizontal="center"/>
    </xf>
    <xf numFmtId="0" fontId="10" fillId="0" borderId="0" xfId="70" applyFont="1" applyAlignment="1">
      <alignment horizontal="left" vertical="center"/>
    </xf>
    <xf numFmtId="0" fontId="10" fillId="0" borderId="0" xfId="70" applyFont="1" applyAlignment="1">
      <alignment vertical="center"/>
    </xf>
    <xf numFmtId="0" fontId="79" fillId="0" borderId="49" xfId="69" applyFont="1" applyBorder="1"/>
    <xf numFmtId="0" fontId="113" fillId="20" borderId="48" xfId="69" applyFont="1" applyFill="1" applyBorder="1" applyAlignment="1">
      <alignment horizontal="centerContinuous" vertical="center"/>
    </xf>
    <xf numFmtId="0" fontId="60" fillId="20" borderId="48" xfId="69" applyFont="1" applyFill="1" applyBorder="1" applyAlignment="1">
      <alignment horizontal="centerContinuous" vertical="center"/>
    </xf>
    <xf numFmtId="0" fontId="113" fillId="20" borderId="49" xfId="69" applyFont="1" applyFill="1" applyBorder="1" applyAlignment="1">
      <alignment horizontal="centerContinuous" vertical="center"/>
    </xf>
    <xf numFmtId="0" fontId="53" fillId="0" borderId="0" xfId="69" applyFont="1"/>
    <xf numFmtId="3" fontId="79" fillId="0" borderId="54" xfId="69" applyNumberFormat="1" applyFont="1" applyBorder="1" applyAlignment="1">
      <alignment horizontal="center" vertical="center"/>
    </xf>
    <xf numFmtId="0" fontId="79" fillId="7" borderId="54" xfId="69" applyFont="1" applyFill="1" applyBorder="1" applyAlignment="1">
      <alignment horizontal="center"/>
    </xf>
    <xf numFmtId="0" fontId="79" fillId="7" borderId="47" xfId="69" applyFont="1" applyFill="1" applyBorder="1"/>
    <xf numFmtId="0" fontId="79" fillId="7" borderId="48" xfId="69" applyFont="1" applyFill="1" applyBorder="1" applyAlignment="1">
      <alignment horizontal="center"/>
    </xf>
    <xf numFmtId="0" fontId="79" fillId="7" borderId="49" xfId="69" applyFont="1" applyFill="1" applyBorder="1" applyAlignment="1">
      <alignment horizontal="center"/>
    </xf>
    <xf numFmtId="0" fontId="79" fillId="7" borderId="54" xfId="69" applyFont="1" applyFill="1" applyBorder="1" applyAlignment="1">
      <alignment horizontal="left" vertical="center"/>
    </xf>
    <xf numFmtId="0" fontId="79" fillId="7" borderId="54" xfId="69" applyFont="1" applyFill="1" applyBorder="1" applyAlignment="1">
      <alignment horizontal="center" vertical="center"/>
    </xf>
    <xf numFmtId="185" fontId="79" fillId="7" borderId="54" xfId="69" applyNumberFormat="1" applyFont="1" applyFill="1" applyBorder="1" applyAlignment="1">
      <alignment horizontal="center" vertical="center"/>
    </xf>
    <xf numFmtId="176" fontId="79" fillId="7" borderId="54" xfId="69" applyNumberFormat="1" applyFont="1" applyFill="1" applyBorder="1" applyAlignment="1">
      <alignment horizontal="center" vertical="center"/>
    </xf>
    <xf numFmtId="0" fontId="79" fillId="7" borderId="54" xfId="69" applyFont="1" applyFill="1" applyBorder="1" applyAlignment="1">
      <alignment vertical="center"/>
    </xf>
    <xf numFmtId="0" fontId="79" fillId="0" borderId="47" xfId="69" applyFont="1" applyBorder="1" applyAlignment="1">
      <alignment vertical="center"/>
    </xf>
    <xf numFmtId="0" fontId="79" fillId="0" borderId="48" xfId="69" applyFont="1" applyBorder="1" applyAlignment="1">
      <alignment vertical="center"/>
    </xf>
    <xf numFmtId="0" fontId="79" fillId="0" borderId="49" xfId="69" applyFont="1" applyBorder="1" applyAlignment="1">
      <alignment vertical="center"/>
    </xf>
    <xf numFmtId="0" fontId="53" fillId="0" borderId="48" xfId="69" applyFont="1" applyBorder="1"/>
    <xf numFmtId="0" fontId="53" fillId="0" borderId="48" xfId="69" applyFont="1" applyBorder="1" applyAlignment="1">
      <alignment horizontal="center"/>
    </xf>
    <xf numFmtId="3" fontId="10" fillId="0" borderId="54" xfId="69" applyNumberFormat="1" applyFont="1" applyBorder="1" applyAlignment="1">
      <alignment horizontal="center" vertical="center"/>
    </xf>
    <xf numFmtId="176" fontId="79" fillId="0" borderId="0" xfId="69" applyNumberFormat="1" applyFont="1"/>
    <xf numFmtId="0" fontId="60" fillId="20" borderId="49" xfId="69" applyFont="1" applyFill="1" applyBorder="1" applyAlignment="1">
      <alignment horizontal="centerContinuous" vertical="center"/>
    </xf>
    <xf numFmtId="2" fontId="79" fillId="0" borderId="54" xfId="69" applyNumberFormat="1" applyFont="1" applyBorder="1" applyAlignment="1">
      <alignment horizontal="center" vertical="center"/>
    </xf>
    <xf numFmtId="0" fontId="103" fillId="0" borderId="48" xfId="69" applyFont="1" applyBorder="1" applyAlignment="1" applyProtection="1">
      <alignment horizontal="center" vertical="center"/>
      <protection locked="0"/>
    </xf>
    <xf numFmtId="43" fontId="79" fillId="0" borderId="0" xfId="69" applyNumberFormat="1" applyFont="1"/>
    <xf numFmtId="168" fontId="79" fillId="0" borderId="54" xfId="69" applyNumberFormat="1" applyFont="1" applyBorder="1" applyAlignment="1">
      <alignment horizontal="center" vertical="center"/>
    </xf>
    <xf numFmtId="1" fontId="79" fillId="0" borderId="48" xfId="69" applyNumberFormat="1" applyFont="1" applyBorder="1" applyAlignment="1">
      <alignment horizontal="center" vertical="center"/>
    </xf>
    <xf numFmtId="0" fontId="79" fillId="0" borderId="53" xfId="69" applyFont="1" applyBorder="1" applyAlignment="1">
      <alignment horizontal="center" vertical="center"/>
    </xf>
    <xf numFmtId="0" fontId="79" fillId="0" borderId="53" xfId="69" applyFont="1" applyBorder="1" applyAlignment="1">
      <alignment horizontal="left" vertical="center"/>
    </xf>
    <xf numFmtId="2" fontId="79" fillId="0" borderId="53" xfId="69" applyNumberFormat="1" applyFont="1" applyBorder="1" applyAlignment="1">
      <alignment horizontal="center" vertical="center"/>
    </xf>
    <xf numFmtId="176" fontId="79" fillId="0" borderId="53" xfId="69" applyNumberFormat="1" applyFont="1" applyBorder="1" applyAlignment="1">
      <alignment horizontal="center" vertical="center"/>
    </xf>
    <xf numFmtId="0" fontId="54" fillId="20" borderId="11" xfId="69" applyFont="1" applyFill="1" applyBorder="1" applyAlignment="1">
      <alignment horizontal="left" vertical="center"/>
    </xf>
    <xf numFmtId="0" fontId="54" fillId="20" borderId="13" xfId="69" applyFont="1" applyFill="1" applyBorder="1" applyAlignment="1">
      <alignment horizontal="left" vertical="center"/>
    </xf>
    <xf numFmtId="176" fontId="79" fillId="0" borderId="49" xfId="69" applyNumberFormat="1" applyFont="1" applyBorder="1" applyAlignment="1">
      <alignment horizontal="center" vertical="center"/>
    </xf>
    <xf numFmtId="0" fontId="54" fillId="20" borderId="50" xfId="69" applyFont="1" applyFill="1" applyBorder="1" applyAlignment="1">
      <alignment vertical="center"/>
    </xf>
    <xf numFmtId="0" fontId="54" fillId="20" borderId="51" xfId="69" applyFont="1" applyFill="1" applyBorder="1" applyAlignment="1">
      <alignment horizontal="center" vertical="center"/>
    </xf>
    <xf numFmtId="0" fontId="54" fillId="20" borderId="51" xfId="69" applyFont="1" applyFill="1" applyBorder="1" applyAlignment="1">
      <alignment vertical="center"/>
    </xf>
    <xf numFmtId="176" fontId="54" fillId="20" borderId="52" xfId="69" applyNumberFormat="1" applyFont="1" applyFill="1" applyBorder="1" applyAlignment="1">
      <alignment horizontal="center" vertical="center"/>
    </xf>
    <xf numFmtId="0" fontId="10" fillId="0" borderId="50" xfId="69" applyFont="1" applyBorder="1" applyAlignment="1">
      <alignment vertical="center"/>
    </xf>
    <xf numFmtId="0" fontId="10" fillId="0" borderId="51" xfId="69" applyFont="1" applyBorder="1" applyAlignment="1">
      <alignment horizontal="center" vertical="center"/>
    </xf>
    <xf numFmtId="176" fontId="79" fillId="0" borderId="52" xfId="69" applyNumberFormat="1" applyFont="1" applyBorder="1" applyAlignment="1">
      <alignment horizontal="center" vertical="center"/>
    </xf>
    <xf numFmtId="0" fontId="2" fillId="0" borderId="0" xfId="70" applyFont="1"/>
    <xf numFmtId="0" fontId="103" fillId="0" borderId="8" xfId="70" applyFont="1" applyBorder="1"/>
    <xf numFmtId="0" fontId="115" fillId="0" borderId="13" xfId="70" applyFont="1" applyBorder="1" applyAlignment="1">
      <alignment horizontal="center"/>
    </xf>
    <xf numFmtId="176" fontId="103" fillId="0" borderId="0" xfId="70" applyNumberFormat="1" applyFont="1"/>
    <xf numFmtId="0" fontId="2" fillId="0" borderId="54" xfId="69" applyFont="1" applyBorder="1" applyAlignment="1">
      <alignment horizontal="center"/>
    </xf>
    <xf numFmtId="0" fontId="2" fillId="0" borderId="54" xfId="69" applyFont="1" applyBorder="1"/>
    <xf numFmtId="0" fontId="2" fillId="0" borderId="54" xfId="69" applyFont="1" applyBorder="1" applyAlignment="1">
      <alignment horizontal="center" vertical="center"/>
    </xf>
    <xf numFmtId="185" fontId="2" fillId="0" borderId="54" xfId="69" applyNumberFormat="1" applyFont="1" applyBorder="1" applyAlignment="1">
      <alignment horizontal="center" vertical="center"/>
    </xf>
    <xf numFmtId="176" fontId="2" fillId="0" borderId="54" xfId="69" applyNumberFormat="1" applyFont="1" applyBorder="1" applyAlignment="1">
      <alignment horizontal="center" vertical="center"/>
    </xf>
    <xf numFmtId="0" fontId="68" fillId="0" borderId="9" xfId="70" applyFont="1" applyBorder="1"/>
    <xf numFmtId="0" fontId="68" fillId="0" borderId="47" xfId="70" applyFont="1" applyBorder="1"/>
    <xf numFmtId="0" fontId="68" fillId="0" borderId="48" xfId="70" applyFont="1" applyBorder="1"/>
    <xf numFmtId="0" fontId="68" fillId="0" borderId="49" xfId="70" applyFont="1" applyBorder="1"/>
    <xf numFmtId="3" fontId="2" fillId="0" borderId="54" xfId="69" applyNumberFormat="1" applyFont="1" applyBorder="1" applyAlignment="1">
      <alignment horizontal="center" vertical="center"/>
    </xf>
    <xf numFmtId="0" fontId="2" fillId="0" borderId="0" xfId="69" applyFont="1"/>
    <xf numFmtId="0" fontId="2" fillId="7" borderId="54" xfId="69" applyFont="1" applyFill="1" applyBorder="1" applyAlignment="1">
      <alignment horizontal="center" vertical="center"/>
    </xf>
    <xf numFmtId="0" fontId="2" fillId="0" borderId="54" xfId="69" applyFont="1" applyBorder="1" applyAlignment="1">
      <alignment horizontal="left" vertical="center"/>
    </xf>
    <xf numFmtId="1" fontId="2" fillId="0" borderId="54" xfId="69" applyNumberFormat="1" applyFont="1" applyBorder="1" applyAlignment="1">
      <alignment horizontal="center" vertical="center"/>
    </xf>
    <xf numFmtId="0" fontId="2" fillId="7" borderId="54" xfId="69" applyFont="1" applyFill="1" applyBorder="1" applyAlignment="1">
      <alignment horizontal="left" vertical="center"/>
    </xf>
    <xf numFmtId="1" fontId="2" fillId="7" borderId="54" xfId="69" applyNumberFormat="1" applyFont="1" applyFill="1" applyBorder="1" applyAlignment="1">
      <alignment horizontal="center" vertical="center"/>
    </xf>
    <xf numFmtId="185" fontId="2" fillId="7" borderId="54" xfId="69" applyNumberFormat="1" applyFont="1" applyFill="1" applyBorder="1" applyAlignment="1">
      <alignment horizontal="center" vertical="center"/>
    </xf>
    <xf numFmtId="0" fontId="2" fillId="7" borderId="54" xfId="69" applyFont="1" applyFill="1" applyBorder="1" applyAlignment="1">
      <alignment vertical="center"/>
    </xf>
    <xf numFmtId="168" fontId="2" fillId="7" borderId="54" xfId="69" applyNumberFormat="1" applyFont="1" applyFill="1" applyBorder="1" applyAlignment="1">
      <alignment horizontal="center" vertical="center"/>
    </xf>
    <xf numFmtId="0" fontId="2" fillId="0" borderId="47" xfId="69" applyFont="1" applyBorder="1" applyAlignment="1">
      <alignment horizontal="left" vertical="center"/>
    </xf>
    <xf numFmtId="0" fontId="2" fillId="0" borderId="48" xfId="69" applyFont="1" applyBorder="1" applyAlignment="1">
      <alignment horizontal="center" vertical="center"/>
    </xf>
    <xf numFmtId="1" fontId="2" fillId="0" borderId="48" xfId="69" applyNumberFormat="1" applyFont="1" applyBorder="1" applyAlignment="1">
      <alignment horizontal="center" vertical="center"/>
    </xf>
    <xf numFmtId="185" fontId="2" fillId="0" borderId="49" xfId="69" applyNumberFormat="1" applyFont="1" applyBorder="1" applyAlignment="1">
      <alignment horizontal="center" vertical="center"/>
    </xf>
    <xf numFmtId="0" fontId="84" fillId="29" borderId="29" xfId="0" applyFont="1" applyFill="1" applyBorder="1" applyAlignment="1">
      <alignment horizontal="justify" vertical="center" wrapText="1"/>
    </xf>
    <xf numFmtId="0" fontId="85" fillId="0" borderId="29" xfId="0" applyFont="1" applyBorder="1" applyAlignment="1">
      <alignment wrapText="1"/>
    </xf>
    <xf numFmtId="0" fontId="63" fillId="30" borderId="29" xfId="0" applyFont="1" applyFill="1" applyBorder="1" applyAlignment="1">
      <alignment horizontal="justify" vertical="center" wrapText="1"/>
    </xf>
    <xf numFmtId="0" fontId="63" fillId="0" borderId="29" xfId="0" applyFont="1" applyBorder="1" applyAlignment="1">
      <alignment wrapText="1"/>
    </xf>
    <xf numFmtId="0" fontId="63" fillId="28" borderId="29" xfId="0" applyFont="1" applyFill="1" applyBorder="1" applyAlignment="1">
      <alignment horizontal="left" vertical="center" wrapText="1"/>
    </xf>
    <xf numFmtId="0" fontId="64" fillId="16" borderId="29" xfId="0" applyFont="1" applyFill="1" applyBorder="1" applyAlignment="1">
      <alignment horizontal="center" vertical="center" wrapText="1"/>
    </xf>
    <xf numFmtId="0" fontId="64" fillId="16" borderId="32" xfId="0" applyFont="1" applyFill="1" applyBorder="1" applyAlignment="1">
      <alignment horizontal="center" vertical="center" wrapText="1"/>
    </xf>
    <xf numFmtId="0" fontId="64" fillId="16" borderId="33" xfId="0" applyFont="1" applyFill="1" applyBorder="1" applyAlignment="1">
      <alignment horizontal="center" vertical="center" wrapText="1"/>
    </xf>
    <xf numFmtId="0" fontId="80" fillId="0" borderId="0" xfId="29" applyFont="1" applyAlignment="1">
      <alignment horizontal="justify" vertical="center" wrapText="1"/>
    </xf>
    <xf numFmtId="0" fontId="63" fillId="0" borderId="0" xfId="0" applyFont="1" applyAlignment="1">
      <alignment wrapText="1"/>
    </xf>
    <xf numFmtId="0" fontId="63" fillId="0" borderId="0" xfId="0" applyFont="1" applyAlignment="1">
      <alignment horizontal="justify" vertical="center" wrapText="1"/>
    </xf>
    <xf numFmtId="0" fontId="82" fillId="14" borderId="29" xfId="0" applyFont="1" applyFill="1" applyBorder="1" applyAlignment="1">
      <alignment horizontal="left" vertical="center" wrapText="1"/>
    </xf>
    <xf numFmtId="0" fontId="83" fillId="14" borderId="29" xfId="0" applyFont="1" applyFill="1" applyBorder="1" applyAlignment="1">
      <alignment horizontal="left" vertical="center" wrapText="1"/>
    </xf>
    <xf numFmtId="0" fontId="83" fillId="14" borderId="30" xfId="0" applyFont="1" applyFill="1" applyBorder="1" applyAlignment="1">
      <alignment horizontal="left" vertical="center" wrapText="1"/>
    </xf>
    <xf numFmtId="0" fontId="83" fillId="14" borderId="31" xfId="0" applyFont="1" applyFill="1" applyBorder="1" applyAlignment="1">
      <alignment horizontal="left" vertical="center" wrapText="1"/>
    </xf>
    <xf numFmtId="0" fontId="81" fillId="0" borderId="0" xfId="0" applyFont="1" applyAlignment="1">
      <alignment horizontal="justify" vertical="center" wrapText="1"/>
    </xf>
    <xf numFmtId="0" fontId="54" fillId="8" borderId="47" xfId="40" applyFont="1" applyFill="1" applyBorder="1" applyAlignment="1" applyProtection="1">
      <alignment horizontal="right" vertical="center"/>
      <protection locked="0"/>
    </xf>
    <xf numFmtId="0" fontId="54" fillId="8" borderId="48" xfId="40" applyFont="1" applyFill="1" applyBorder="1" applyAlignment="1" applyProtection="1">
      <alignment horizontal="right" vertical="center"/>
      <protection locked="0"/>
    </xf>
    <xf numFmtId="0" fontId="54" fillId="8" borderId="49" xfId="40" applyFont="1" applyFill="1" applyBorder="1" applyAlignment="1" applyProtection="1">
      <alignment horizontal="right" vertical="center"/>
      <protection locked="0"/>
    </xf>
    <xf numFmtId="49" fontId="86" fillId="8" borderId="50" xfId="40" applyNumberFormat="1" applyFont="1" applyFill="1" applyBorder="1" applyAlignment="1" applyProtection="1">
      <alignment horizontal="center" vertical="top" wrapText="1"/>
      <protection locked="0"/>
    </xf>
    <xf numFmtId="49" fontId="86" fillId="8" borderId="51" xfId="40" applyNumberFormat="1" applyFont="1" applyFill="1" applyBorder="1" applyAlignment="1" applyProtection="1">
      <alignment horizontal="center" vertical="top"/>
      <protection locked="0"/>
    </xf>
    <xf numFmtId="49" fontId="86" fillId="8" borderId="52" xfId="40" applyNumberFormat="1" applyFont="1" applyFill="1" applyBorder="1" applyAlignment="1" applyProtection="1">
      <alignment horizontal="center" vertical="top"/>
      <protection locked="0"/>
    </xf>
    <xf numFmtId="0" fontId="54" fillId="8" borderId="47" xfId="40" applyFont="1" applyFill="1" applyBorder="1" applyAlignment="1" applyProtection="1">
      <alignment horizontal="center" wrapText="1"/>
      <protection locked="0"/>
    </xf>
    <xf numFmtId="0" fontId="54" fillId="8" borderId="48" xfId="40" applyFont="1" applyFill="1" applyBorder="1" applyAlignment="1" applyProtection="1">
      <alignment horizontal="center" wrapText="1"/>
      <protection locked="0"/>
    </xf>
    <xf numFmtId="0" fontId="54" fillId="8" borderId="49" xfId="40" applyFont="1" applyFill="1" applyBorder="1" applyAlignment="1" applyProtection="1">
      <alignment horizontal="center" wrapText="1"/>
      <protection locked="0"/>
    </xf>
    <xf numFmtId="0" fontId="55" fillId="0" borderId="47" xfId="40" applyFont="1" applyBorder="1" applyAlignment="1" applyProtection="1">
      <alignment horizontal="right" vertical="center"/>
      <protection locked="0"/>
    </xf>
    <xf numFmtId="0" fontId="55" fillId="0" borderId="48" xfId="40" applyFont="1" applyBorder="1" applyAlignment="1" applyProtection="1">
      <alignment horizontal="right" vertical="center"/>
      <protection locked="0"/>
    </xf>
    <xf numFmtId="0" fontId="55" fillId="0" borderId="49" xfId="40" applyFont="1" applyBorder="1" applyAlignment="1" applyProtection="1">
      <alignment horizontal="right" vertical="center"/>
      <protection locked="0"/>
    </xf>
    <xf numFmtId="0" fontId="55" fillId="0" borderId="0" xfId="40" applyFont="1" applyAlignment="1" applyProtection="1">
      <alignment horizontal="left" vertical="center"/>
      <protection locked="0"/>
    </xf>
    <xf numFmtId="9" fontId="54" fillId="8" borderId="47" xfId="40" applyNumberFormat="1" applyFont="1" applyFill="1" applyBorder="1" applyAlignment="1" applyProtection="1">
      <alignment horizontal="right" vertical="center"/>
      <protection locked="0"/>
    </xf>
    <xf numFmtId="9" fontId="54" fillId="8" borderId="48" xfId="40" applyNumberFormat="1" applyFont="1" applyFill="1" applyBorder="1" applyAlignment="1" applyProtection="1">
      <alignment horizontal="right" vertical="center"/>
      <protection locked="0"/>
    </xf>
    <xf numFmtId="9" fontId="54" fillId="8" borderId="49" xfId="40" applyNumberFormat="1" applyFont="1" applyFill="1" applyBorder="1" applyAlignment="1" applyProtection="1">
      <alignment horizontal="right" vertical="center"/>
      <protection locked="0"/>
    </xf>
    <xf numFmtId="0" fontId="54" fillId="8" borderId="50" xfId="40" applyFont="1" applyFill="1" applyBorder="1" applyAlignment="1" applyProtection="1">
      <alignment horizontal="center" vertical="center" wrapText="1"/>
      <protection locked="0"/>
    </xf>
    <xf numFmtId="0" fontId="54" fillId="8" borderId="51" xfId="40" applyFont="1" applyFill="1" applyBorder="1" applyAlignment="1" applyProtection="1">
      <alignment horizontal="center" vertical="center" wrapText="1"/>
      <protection locked="0"/>
    </xf>
    <xf numFmtId="0" fontId="54" fillId="8" borderId="52" xfId="40" applyFont="1" applyFill="1" applyBorder="1" applyAlignment="1" applyProtection="1">
      <alignment horizontal="center" vertical="center" wrapText="1"/>
      <protection locked="0"/>
    </xf>
    <xf numFmtId="0" fontId="54" fillId="8" borderId="11" xfId="40" applyFont="1" applyFill="1" applyBorder="1" applyAlignment="1" applyProtection="1">
      <alignment horizontal="center" vertical="center" wrapText="1"/>
      <protection locked="0"/>
    </xf>
    <xf numFmtId="0" fontId="54" fillId="8" borderId="13" xfId="40" applyFont="1" applyFill="1" applyBorder="1" applyAlignment="1" applyProtection="1">
      <alignment horizontal="center" vertical="center" wrapText="1"/>
      <protection locked="0"/>
    </xf>
    <xf numFmtId="0" fontId="54" fillId="8" borderId="10" xfId="40" applyFont="1" applyFill="1" applyBorder="1" applyAlignment="1" applyProtection="1">
      <alignment horizontal="center" vertical="center" wrapText="1"/>
      <protection locked="0"/>
    </xf>
    <xf numFmtId="49" fontId="87" fillId="8" borderId="11" xfId="40" applyNumberFormat="1" applyFont="1" applyFill="1" applyBorder="1" applyAlignment="1" applyProtection="1">
      <alignment horizontal="left" vertical="top" wrapText="1"/>
      <protection locked="0"/>
    </xf>
    <xf numFmtId="49" fontId="87" fillId="8" borderId="13" xfId="40" applyNumberFormat="1" applyFont="1" applyFill="1" applyBorder="1" applyAlignment="1" applyProtection="1">
      <alignment horizontal="left" vertical="top"/>
      <protection locked="0"/>
    </xf>
    <xf numFmtId="49" fontId="87" fillId="8" borderId="10" xfId="40" applyNumberFormat="1" applyFont="1" applyFill="1" applyBorder="1" applyAlignment="1" applyProtection="1">
      <alignment horizontal="left" vertical="top"/>
      <protection locked="0"/>
    </xf>
    <xf numFmtId="0" fontId="55" fillId="0" borderId="0" xfId="40" applyFont="1" applyAlignment="1" applyProtection="1">
      <alignment horizontal="left" vertical="center" wrapText="1"/>
      <protection locked="0"/>
    </xf>
    <xf numFmtId="49" fontId="87" fillId="8" borderId="13" xfId="40" applyNumberFormat="1" applyFont="1" applyFill="1" applyBorder="1" applyAlignment="1" applyProtection="1">
      <alignment horizontal="left" vertical="top" wrapText="1"/>
      <protection locked="0"/>
    </xf>
    <xf numFmtId="49" fontId="87" fillId="8" borderId="10" xfId="40" applyNumberFormat="1" applyFont="1" applyFill="1" applyBorder="1" applyAlignment="1" applyProtection="1">
      <alignment horizontal="left" vertical="top" wrapText="1"/>
      <protection locked="0"/>
    </xf>
    <xf numFmtId="0" fontId="55" fillId="0" borderId="11" xfId="40" applyFont="1" applyBorder="1" applyAlignment="1" applyProtection="1">
      <alignment horizontal="right" vertical="center"/>
      <protection locked="0"/>
    </xf>
    <xf numFmtId="0" fontId="55" fillId="0" borderId="13" xfId="40" applyFont="1" applyBorder="1" applyAlignment="1" applyProtection="1">
      <alignment horizontal="right" vertical="center"/>
      <protection locked="0"/>
    </xf>
    <xf numFmtId="0" fontId="55" fillId="0" borderId="10" xfId="40" applyFont="1" applyBorder="1" applyAlignment="1" applyProtection="1">
      <alignment horizontal="right" vertical="center"/>
      <protection locked="0"/>
    </xf>
    <xf numFmtId="0" fontId="54" fillId="8" borderId="47" xfId="40" applyFont="1" applyFill="1" applyBorder="1" applyAlignment="1" applyProtection="1">
      <alignment horizontal="center" vertical="center"/>
      <protection locked="0"/>
    </xf>
    <xf numFmtId="0" fontId="9" fillId="0" borderId="48" xfId="40" applyBorder="1" applyAlignment="1">
      <alignment horizontal="center" vertical="center"/>
    </xf>
    <xf numFmtId="0" fontId="9" fillId="0" borderId="49" xfId="40" applyBorder="1" applyAlignment="1">
      <alignment horizontal="center" vertical="center"/>
    </xf>
    <xf numFmtId="0" fontId="11" fillId="7" borderId="0" xfId="40" applyFont="1" applyFill="1" applyAlignment="1" applyProtection="1">
      <alignment horizontal="left" vertical="center"/>
      <protection locked="0"/>
    </xf>
    <xf numFmtId="0" fontId="10" fillId="7" borderId="0" xfId="40" applyFont="1" applyFill="1" applyAlignment="1" applyProtection="1">
      <alignment horizontal="left" vertical="center"/>
      <protection locked="0"/>
    </xf>
    <xf numFmtId="9" fontId="11" fillId="7" borderId="0" xfId="40" applyNumberFormat="1" applyFont="1" applyFill="1" applyAlignment="1" applyProtection="1">
      <alignment horizontal="left" vertical="center"/>
      <protection locked="0"/>
    </xf>
    <xf numFmtId="0" fontId="11" fillId="7" borderId="0" xfId="40" applyFont="1" applyFill="1" applyAlignment="1" applyProtection="1">
      <alignment horizontal="center" vertical="center"/>
      <protection locked="0"/>
    </xf>
    <xf numFmtId="0" fontId="13" fillId="7" borderId="0" xfId="40" applyFont="1" applyFill="1" applyAlignment="1" applyProtection="1">
      <alignment horizontal="left" vertical="center"/>
      <protection locked="0"/>
    </xf>
    <xf numFmtId="0" fontId="10" fillId="0" borderId="47" xfId="10" applyNumberFormat="1" applyFont="1" applyBorder="1" applyAlignment="1" applyProtection="1">
      <alignment vertical="center" wrapText="1"/>
      <protection locked="0"/>
    </xf>
    <xf numFmtId="0" fontId="9" fillId="0" borderId="48" xfId="40" applyBorder="1"/>
    <xf numFmtId="0" fontId="9" fillId="0" borderId="49" xfId="40" applyBorder="1"/>
    <xf numFmtId="0" fontId="54" fillId="8" borderId="48" xfId="40" applyFont="1" applyFill="1" applyBorder="1" applyAlignment="1" applyProtection="1">
      <alignment horizontal="center" vertical="center"/>
      <protection locked="0"/>
    </xf>
    <xf numFmtId="0" fontId="54" fillId="8" borderId="49" xfId="40" applyFont="1" applyFill="1" applyBorder="1" applyAlignment="1" applyProtection="1">
      <alignment horizontal="center" vertical="center"/>
      <protection locked="0"/>
    </xf>
    <xf numFmtId="0" fontId="54" fillId="8" borderId="47" xfId="6" applyNumberFormat="1" applyFont="1" applyFill="1" applyBorder="1" applyAlignment="1" applyProtection="1">
      <alignment horizontal="center" vertical="center" wrapText="1"/>
      <protection locked="0"/>
    </xf>
    <xf numFmtId="0" fontId="9" fillId="0" borderId="0" xfId="40"/>
    <xf numFmtId="0" fontId="9" fillId="7" borderId="0" xfId="40" applyFill="1"/>
    <xf numFmtId="175" fontId="10" fillId="0" borderId="47" xfId="10" applyNumberFormat="1" applyFont="1" applyBorder="1" applyAlignment="1" applyProtection="1">
      <alignment horizontal="left" vertical="center" wrapText="1"/>
      <protection locked="0"/>
    </xf>
    <xf numFmtId="0" fontId="9" fillId="0" borderId="48" xfId="40" applyBorder="1" applyAlignment="1">
      <alignment horizontal="left"/>
    </xf>
    <xf numFmtId="0" fontId="9" fillId="0" borderId="49" xfId="40" applyBorder="1" applyAlignment="1">
      <alignment horizontal="left"/>
    </xf>
    <xf numFmtId="0" fontId="55" fillId="7" borderId="0" xfId="40" applyFont="1" applyFill="1" applyAlignment="1" applyProtection="1">
      <alignment horizontal="left" vertical="center"/>
      <protection locked="0"/>
    </xf>
    <xf numFmtId="172" fontId="54" fillId="8" borderId="47" xfId="6" applyNumberFormat="1" applyFont="1" applyFill="1" applyBorder="1" applyAlignment="1" applyProtection="1">
      <alignment horizontal="center" vertical="center" wrapText="1"/>
      <protection locked="0"/>
    </xf>
    <xf numFmtId="0" fontId="55" fillId="0" borderId="48" xfId="40" applyFont="1" applyBorder="1" applyAlignment="1" applyProtection="1">
      <alignment horizontal="left" vertical="center"/>
      <protection locked="0"/>
    </xf>
    <xf numFmtId="170" fontId="10" fillId="0" borderId="47" xfId="10" applyNumberFormat="1" applyFont="1" applyBorder="1" applyAlignment="1" applyProtection="1">
      <alignment horizontal="center" vertical="center" wrapText="1"/>
      <protection locked="0"/>
    </xf>
    <xf numFmtId="49" fontId="54" fillId="8" borderId="54" xfId="40" applyNumberFormat="1" applyFont="1" applyFill="1" applyBorder="1" applyAlignment="1" applyProtection="1">
      <alignment horizontal="center" vertical="center"/>
      <protection locked="0"/>
    </xf>
    <xf numFmtId="179" fontId="90" fillId="32" borderId="53" xfId="0" applyNumberFormat="1" applyFont="1" applyFill="1" applyBorder="1" applyAlignment="1">
      <alignment horizontal="center" vertical="center" wrapText="1"/>
    </xf>
    <xf numFmtId="179" fontId="90" fillId="32" borderId="6" xfId="0" applyNumberFormat="1" applyFont="1" applyFill="1" applyBorder="1" applyAlignment="1">
      <alignment horizontal="center" vertical="center" wrapText="1"/>
    </xf>
    <xf numFmtId="182" fontId="90" fillId="32" borderId="53" xfId="9" applyNumberFormat="1" applyFont="1" applyFill="1" applyBorder="1" applyAlignment="1">
      <alignment horizontal="center" vertical="center" wrapText="1"/>
    </xf>
    <xf numFmtId="182" fontId="90" fillId="32" borderId="6" xfId="9" applyNumberFormat="1" applyFont="1" applyFill="1" applyBorder="1" applyAlignment="1">
      <alignment horizontal="center" vertical="center" wrapText="1"/>
    </xf>
    <xf numFmtId="0" fontId="90" fillId="21" borderId="47" xfId="0" applyFont="1" applyFill="1" applyBorder="1" applyAlignment="1">
      <alignment horizontal="left" vertical="center" wrapText="1"/>
    </xf>
    <xf numFmtId="0" fontId="90" fillId="21" borderId="48" xfId="0" applyFont="1" applyFill="1" applyBorder="1" applyAlignment="1">
      <alignment horizontal="left" vertical="center" wrapText="1"/>
    </xf>
    <xf numFmtId="0" fontId="90" fillId="21" borderId="49" xfId="0" applyFont="1" applyFill="1" applyBorder="1" applyAlignment="1">
      <alignment horizontal="left" vertical="center" wrapText="1"/>
    </xf>
    <xf numFmtId="9" fontId="90" fillId="32" borderId="53" xfId="58" applyFont="1" applyFill="1" applyBorder="1" applyAlignment="1">
      <alignment horizontal="center" vertical="center" wrapText="1"/>
    </xf>
    <xf numFmtId="9" fontId="90" fillId="32" borderId="6" xfId="58" applyFont="1" applyFill="1" applyBorder="1" applyAlignment="1">
      <alignment horizontal="center" vertical="center" wrapText="1"/>
    </xf>
    <xf numFmtId="0" fontId="89" fillId="0" borderId="53" xfId="0" applyFont="1" applyBorder="1" applyAlignment="1">
      <alignment horizontal="center" vertical="center" wrapText="1"/>
    </xf>
    <xf numFmtId="0" fontId="89" fillId="0" borderId="6" xfId="0" applyFont="1" applyBorder="1" applyAlignment="1">
      <alignment horizontal="center" vertical="center" wrapText="1"/>
    </xf>
    <xf numFmtId="0" fontId="90" fillId="0" borderId="53" xfId="0" applyFont="1" applyBorder="1" applyAlignment="1">
      <alignment horizontal="center" vertical="center" wrapText="1"/>
    </xf>
    <xf numFmtId="0" fontId="90" fillId="0" borderId="6" xfId="0" applyFont="1" applyBorder="1" applyAlignment="1">
      <alignment horizontal="center" vertical="center" wrapText="1"/>
    </xf>
    <xf numFmtId="0" fontId="90" fillId="32" borderId="53" xfId="0" applyFont="1" applyFill="1" applyBorder="1" applyAlignment="1">
      <alignment horizontal="center" vertical="center" wrapText="1"/>
    </xf>
    <xf numFmtId="0" fontId="90" fillId="32" borderId="6" xfId="0" applyFont="1" applyFill="1" applyBorder="1" applyAlignment="1">
      <alignment horizontal="center" vertical="center" wrapText="1"/>
    </xf>
    <xf numFmtId="0" fontId="90" fillId="0" borderId="53" xfId="0" applyFont="1" applyBorder="1" applyAlignment="1">
      <alignment horizontal="left" vertical="center" wrapText="1"/>
    </xf>
    <xf numFmtId="0" fontId="90" fillId="0" borderId="6" xfId="0" applyFont="1" applyBorder="1" applyAlignment="1">
      <alignment horizontal="left" vertical="center" wrapText="1"/>
    </xf>
    <xf numFmtId="0" fontId="102" fillId="24" borderId="11" xfId="0" applyFont="1" applyFill="1" applyBorder="1" applyAlignment="1">
      <alignment horizontal="center" vertical="center" wrapText="1"/>
    </xf>
    <xf numFmtId="0" fontId="102" fillId="24" borderId="13" xfId="0" applyFont="1" applyFill="1" applyBorder="1" applyAlignment="1">
      <alignment horizontal="center" vertical="center" wrapText="1"/>
    </xf>
    <xf numFmtId="0" fontId="102" fillId="24" borderId="47" xfId="0" applyFont="1" applyFill="1" applyBorder="1" applyAlignment="1">
      <alignment horizontal="center" vertical="center" wrapText="1"/>
    </xf>
    <xf numFmtId="0" fontId="102" fillId="24" borderId="48" xfId="0" applyFont="1" applyFill="1" applyBorder="1" applyAlignment="1">
      <alignment horizontal="center" vertical="center" wrapText="1"/>
    </xf>
    <xf numFmtId="0" fontId="102" fillId="24" borderId="49" xfId="0" applyFont="1" applyFill="1" applyBorder="1" applyAlignment="1">
      <alignment horizontal="center" vertical="center" wrapText="1"/>
    </xf>
    <xf numFmtId="0" fontId="102" fillId="24" borderId="54" xfId="0" applyFont="1" applyFill="1" applyBorder="1" applyAlignment="1">
      <alignment horizontal="center" vertical="center" wrapText="1"/>
    </xf>
    <xf numFmtId="0" fontId="90" fillId="21" borderId="47" xfId="0" applyFont="1" applyFill="1" applyBorder="1" applyAlignment="1">
      <alignment horizontal="left" vertical="center"/>
    </xf>
    <xf numFmtId="0" fontId="90" fillId="21" borderId="48" xfId="0" applyFont="1" applyFill="1" applyBorder="1" applyAlignment="1">
      <alignment horizontal="left" vertical="center"/>
    </xf>
    <xf numFmtId="0" fontId="90" fillId="21" borderId="49" xfId="0" applyFont="1" applyFill="1" applyBorder="1" applyAlignment="1">
      <alignment horizontal="left" vertical="center"/>
    </xf>
    <xf numFmtId="0" fontId="54" fillId="20" borderId="47" xfId="69" applyFont="1" applyFill="1" applyBorder="1" applyAlignment="1">
      <alignment horizontal="left" vertical="center"/>
    </xf>
    <xf numFmtId="0" fontId="54" fillId="20" borderId="48" xfId="69" applyFont="1" applyFill="1" applyBorder="1" applyAlignment="1">
      <alignment horizontal="left" vertical="center"/>
    </xf>
    <xf numFmtId="0" fontId="60" fillId="20" borderId="48" xfId="69" applyFont="1" applyFill="1" applyBorder="1" applyAlignment="1">
      <alignment horizontal="center" vertical="center"/>
    </xf>
    <xf numFmtId="0" fontId="60" fillId="20" borderId="49" xfId="69" applyFont="1" applyFill="1" applyBorder="1" applyAlignment="1">
      <alignment horizontal="center" vertical="center"/>
    </xf>
    <xf numFmtId="0" fontId="13" fillId="31" borderId="0" xfId="0" applyFont="1" applyFill="1" applyAlignment="1">
      <alignment horizontal="center" vertical="center" wrapText="1" shrinkToFit="1"/>
    </xf>
    <xf numFmtId="0" fontId="13" fillId="31" borderId="28" xfId="0" applyFont="1" applyFill="1" applyBorder="1" applyAlignment="1">
      <alignment horizontal="center" vertical="center" wrapText="1" shrinkToFit="1"/>
    </xf>
    <xf numFmtId="0" fontId="42" fillId="0" borderId="0" xfId="0" applyFont="1" applyAlignment="1">
      <alignment horizontal="left"/>
    </xf>
    <xf numFmtId="0" fontId="42" fillId="0" borderId="0" xfId="0" applyFont="1" applyAlignment="1">
      <alignment horizontal="center" vertical="center" wrapText="1"/>
    </xf>
    <xf numFmtId="0" fontId="13" fillId="31" borderId="16" xfId="0" applyFont="1" applyFill="1" applyBorder="1" applyAlignment="1">
      <alignment horizontal="center" vertical="center" wrapText="1" shrinkToFit="1"/>
    </xf>
    <xf numFmtId="0" fontId="13" fillId="31" borderId="12" xfId="0" applyFont="1" applyFill="1" applyBorder="1" applyAlignment="1">
      <alignment horizontal="center" vertical="center" wrapText="1" shrinkToFit="1"/>
    </xf>
    <xf numFmtId="0" fontId="13" fillId="31" borderId="27" xfId="0" applyFont="1" applyFill="1" applyBorder="1" applyAlignment="1">
      <alignment horizontal="center" vertical="center" wrapText="1" shrinkToFit="1"/>
    </xf>
    <xf numFmtId="0" fontId="0" fillId="0" borderId="0" xfId="0"/>
  </cellXfs>
  <cellStyles count="73">
    <cellStyle name="Bad" xfId="1"/>
    <cellStyle name="Bad 2" xfId="2"/>
    <cellStyle name="Check Cell" xfId="3"/>
    <cellStyle name="Check Cell 2" xfId="4"/>
    <cellStyle name="Comma 2" xfId="6"/>
    <cellStyle name="Comma 3" xfId="7"/>
    <cellStyle name="Comma 4" xfId="63"/>
    <cellStyle name="Comma 4 2" xfId="68"/>
    <cellStyle name="Comma 5" xfId="65"/>
    <cellStyle name="Comma 7 2" xfId="8"/>
    <cellStyle name="Currency 2" xfId="10"/>
    <cellStyle name="Currency 2 2" xfId="11"/>
    <cellStyle name="Currency 3" xfId="12"/>
    <cellStyle name="Currency 3 2" xfId="13"/>
    <cellStyle name="Currency 3 3" xfId="14"/>
    <cellStyle name="Euro" xfId="15"/>
    <cellStyle name="Excel Built-in Normal" xfId="16"/>
    <cellStyle name="Explanatory Text" xfId="17"/>
    <cellStyle name="Explanatory Text 2" xfId="18"/>
    <cellStyle name="Good" xfId="19"/>
    <cellStyle name="Good 2" xfId="20"/>
    <cellStyle name="Heading 1" xfId="21"/>
    <cellStyle name="Heading 1 2" xfId="22"/>
    <cellStyle name="Heading 2" xfId="23"/>
    <cellStyle name="Heading 2 2" xfId="24"/>
    <cellStyle name="Heading 3" xfId="25"/>
    <cellStyle name="Heading 3 2" xfId="26"/>
    <cellStyle name="Heading 4" xfId="27"/>
    <cellStyle name="Heading 4 2" xfId="28"/>
    <cellStyle name="Lien hypertexte" xfId="29" builtinId="8"/>
    <cellStyle name="Lien hypertexte 2" xfId="30"/>
    <cellStyle name="Milliers" xfId="5" builtinId="3"/>
    <cellStyle name="Milliers 10" xfId="64"/>
    <cellStyle name="Milliers 2" xfId="31"/>
    <cellStyle name="Milliers 2 2" xfId="32"/>
    <cellStyle name="Milliers 3" xfId="33"/>
    <cellStyle name="Monétaire" xfId="9" builtinId="4"/>
    <cellStyle name="Monétaire 2" xfId="34"/>
    <cellStyle name="Monétaire 2 2" xfId="35"/>
    <cellStyle name="Monétaire 2 3" xfId="36"/>
    <cellStyle name="Monétaire_UNICEF Budget Format (Emergency)" xfId="37"/>
    <cellStyle name="Neutral" xfId="38"/>
    <cellStyle name="Neutral 2" xfId="39"/>
    <cellStyle name="Normal" xfId="0" builtinId="0"/>
    <cellStyle name="Normal 10" xfId="72"/>
    <cellStyle name="Normal 10 10 2 5" xfId="66"/>
    <cellStyle name="Normal 2" xfId="40"/>
    <cellStyle name="Normal 2 2" xfId="41"/>
    <cellStyle name="Normal 2 2 2" xfId="42"/>
    <cellStyle name="Normal 2 2 2 2 4" xfId="43"/>
    <cellStyle name="Normal 2 3" xfId="44"/>
    <cellStyle name="Normal 2 4" xfId="71"/>
    <cellStyle name="Normal 3" xfId="45"/>
    <cellStyle name="Normal 3 2" xfId="46"/>
    <cellStyle name="Normal 3 3" xfId="69"/>
    <cellStyle name="Normal 4" xfId="47"/>
    <cellStyle name="Normal 4 2" xfId="48"/>
    <cellStyle name="Normal 5" xfId="49"/>
    <cellStyle name="Normal 5 2" xfId="50"/>
    <cellStyle name="Normal 5 3" xfId="51"/>
    <cellStyle name="Normal 6" xfId="52"/>
    <cellStyle name="Normal 7" xfId="53"/>
    <cellStyle name="Normal 8" xfId="54"/>
    <cellStyle name="Normal 9" xfId="70"/>
    <cellStyle name="Normal_UNICEF Budget Format (Emergency)" xfId="55"/>
    <cellStyle name="Output" xfId="56"/>
    <cellStyle name="Output 2" xfId="57"/>
    <cellStyle name="Percent 2" xfId="59"/>
    <cellStyle name="Percent 3" xfId="67"/>
    <cellStyle name="Pourcentage" xfId="58" builtinId="5"/>
    <cellStyle name="Pourcentage 2" xfId="60"/>
    <cellStyle name="Title" xfId="61"/>
    <cellStyle name="Title 2" xfId="62"/>
  </cellStyles>
  <dxfs count="0"/>
  <tableStyles count="0" defaultTableStyle="TableStyleMedium2" defaultPivotStyle="PivotStyleLight16"/>
  <colors>
    <mruColors>
      <color rgb="FF00FFCC"/>
      <color rgb="FFE2CCB6"/>
      <color rgb="FF000000"/>
      <color rgb="FFFF9900"/>
      <color rgb="FFDDDDFF"/>
      <color rgb="FF5F5F8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externalLink" Target="externalLinks/externalLink9.xml"/><Relationship Id="rId47" Type="http://schemas.openxmlformats.org/officeDocument/2006/relationships/sharedStrings" Target="sharedStrings.xml"/><Relationship Id="rId50"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5.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externalLink" Target="externalLinks/externalLink7.xml"/><Relationship Id="rId45" Type="http://schemas.openxmlformats.org/officeDocument/2006/relationships/theme" Target="theme/theme1.xml"/><Relationship Id="rId53"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49"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1.xml"/><Relationship Id="rId52"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externalLink" Target="externalLinks/externalLink10.xml"/><Relationship Id="rId48"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8.png"/><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2.jpeg"/><Relationship Id="rId7" Type="http://schemas.openxmlformats.org/officeDocument/2006/relationships/image" Target="../media/image22.jpeg"/><Relationship Id="rId2" Type="http://schemas.openxmlformats.org/officeDocument/2006/relationships/image" Target="../media/image4.jpeg"/><Relationship Id="rId1" Type="http://schemas.openxmlformats.org/officeDocument/2006/relationships/image" Target="../media/image2.jpeg"/><Relationship Id="rId6" Type="http://schemas.openxmlformats.org/officeDocument/2006/relationships/image" Target="../media/image21.png"/><Relationship Id="rId5" Type="http://schemas.openxmlformats.org/officeDocument/2006/relationships/image" Target="../media/image11.jpeg"/><Relationship Id="rId4" Type="http://schemas.openxmlformats.org/officeDocument/2006/relationships/image" Target="../media/image8.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4.png"/><Relationship Id="rId7" Type="http://schemas.openxmlformats.org/officeDocument/2006/relationships/image" Target="../media/image2.jpeg"/><Relationship Id="rId2" Type="http://schemas.openxmlformats.org/officeDocument/2006/relationships/image" Target="../media/image23.png"/><Relationship Id="rId1" Type="http://schemas.openxmlformats.org/officeDocument/2006/relationships/image" Target="../media/image9.jpeg"/><Relationship Id="rId6" Type="http://schemas.openxmlformats.org/officeDocument/2006/relationships/image" Target="../media/image5.jpeg"/><Relationship Id="rId5" Type="http://schemas.openxmlformats.org/officeDocument/2006/relationships/image" Target="../media/image12.jpeg"/><Relationship Id="rId4" Type="http://schemas.openxmlformats.org/officeDocument/2006/relationships/image" Target="../media/image2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12.jpeg"/><Relationship Id="rId1" Type="http://schemas.openxmlformats.org/officeDocument/2006/relationships/image" Target="../media/image14.png"/><Relationship Id="rId4" Type="http://schemas.openxmlformats.org/officeDocument/2006/relationships/image" Target="../media/image4.jpeg"/></Relationships>
</file>

<file path=xl/drawings/_rels/drawing14.xml.rels><?xml version="1.0" encoding="UTF-8" standalone="yes"?>
<Relationships xmlns="http://schemas.openxmlformats.org/package/2006/relationships"><Relationship Id="rId8" Type="http://schemas.openxmlformats.org/officeDocument/2006/relationships/image" Target="../media/image25.jpeg"/><Relationship Id="rId3" Type="http://schemas.openxmlformats.org/officeDocument/2006/relationships/image" Target="../media/image24.png"/><Relationship Id="rId7" Type="http://schemas.openxmlformats.org/officeDocument/2006/relationships/image" Target="../media/image2.jpeg"/><Relationship Id="rId2" Type="http://schemas.openxmlformats.org/officeDocument/2006/relationships/image" Target="../media/image23.png"/><Relationship Id="rId1" Type="http://schemas.openxmlformats.org/officeDocument/2006/relationships/image" Target="../media/image5.jpeg"/><Relationship Id="rId6" Type="http://schemas.openxmlformats.org/officeDocument/2006/relationships/image" Target="../media/image12.jpeg"/><Relationship Id="rId11" Type="http://schemas.openxmlformats.org/officeDocument/2006/relationships/image" Target="../media/image3.jpeg"/><Relationship Id="rId5" Type="http://schemas.openxmlformats.org/officeDocument/2006/relationships/image" Target="../media/image9.jpeg"/><Relationship Id="rId10" Type="http://schemas.openxmlformats.org/officeDocument/2006/relationships/image" Target="../media/image4.jpeg"/><Relationship Id="rId4" Type="http://schemas.openxmlformats.org/officeDocument/2006/relationships/image" Target="../media/image21.png"/><Relationship Id="rId9" Type="http://schemas.openxmlformats.org/officeDocument/2006/relationships/image" Target="../media/image26.jpeg"/></Relationships>
</file>

<file path=xl/drawings/_rels/drawing15.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1.jpeg"/><Relationship Id="rId1" Type="http://schemas.openxmlformats.org/officeDocument/2006/relationships/image" Target="../media/image3.jpeg"/></Relationships>
</file>

<file path=xl/drawings/_rels/drawing16.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28.png"/><Relationship Id="rId1" Type="http://schemas.openxmlformats.org/officeDocument/2006/relationships/image" Target="../media/image27.png"/><Relationship Id="rId4" Type="http://schemas.openxmlformats.org/officeDocument/2006/relationships/image" Target="../media/image30.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4" Type="http://schemas.openxmlformats.org/officeDocument/2006/relationships/image" Target="../media/image5.jpeg"/></Relationships>
</file>

<file path=xl/drawings/_rels/drawing5.xml.rels><?xml version="1.0" encoding="UTF-8" standalone="yes"?>
<Relationships xmlns="http://schemas.openxmlformats.org/package/2006/relationships"><Relationship Id="rId8" Type="http://schemas.openxmlformats.org/officeDocument/2006/relationships/image" Target="../media/image2.jpeg"/><Relationship Id="rId3" Type="http://schemas.openxmlformats.org/officeDocument/2006/relationships/image" Target="../media/image8.png"/><Relationship Id="rId7" Type="http://schemas.openxmlformats.org/officeDocument/2006/relationships/image" Target="../media/image12.jpeg"/><Relationship Id="rId2" Type="http://schemas.openxmlformats.org/officeDocument/2006/relationships/image" Target="../media/image7.jpeg"/><Relationship Id="rId1" Type="http://schemas.openxmlformats.org/officeDocument/2006/relationships/image" Target="../media/image6.png"/><Relationship Id="rId6" Type="http://schemas.openxmlformats.org/officeDocument/2006/relationships/image" Target="../media/image11.jpeg"/><Relationship Id="rId5" Type="http://schemas.openxmlformats.org/officeDocument/2006/relationships/image" Target="../media/image10.png"/><Relationship Id="rId4" Type="http://schemas.openxmlformats.org/officeDocument/2006/relationships/image" Target="../media/image9.jpeg"/></Relationships>
</file>

<file path=xl/drawings/_rels/drawing6.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6.png"/><Relationship Id="rId7" Type="http://schemas.openxmlformats.org/officeDocument/2006/relationships/image" Target="../media/image9.jpeg"/><Relationship Id="rId12" Type="http://schemas.openxmlformats.org/officeDocument/2006/relationships/image" Target="../media/image4.jpeg"/><Relationship Id="rId2" Type="http://schemas.openxmlformats.org/officeDocument/2006/relationships/image" Target="../media/image5.jpeg"/><Relationship Id="rId1" Type="http://schemas.openxmlformats.org/officeDocument/2006/relationships/image" Target="../media/image13.png"/><Relationship Id="rId6" Type="http://schemas.openxmlformats.org/officeDocument/2006/relationships/image" Target="../media/image8.png"/><Relationship Id="rId11" Type="http://schemas.openxmlformats.org/officeDocument/2006/relationships/image" Target="../media/image2.jpeg"/><Relationship Id="rId5" Type="http://schemas.openxmlformats.org/officeDocument/2006/relationships/image" Target="../media/image7.jpeg"/><Relationship Id="rId10" Type="http://schemas.openxmlformats.org/officeDocument/2006/relationships/image" Target="../media/image12.jpeg"/><Relationship Id="rId4" Type="http://schemas.openxmlformats.org/officeDocument/2006/relationships/image" Target="../media/image11.jpeg"/><Relationship Id="rId9" Type="http://schemas.openxmlformats.org/officeDocument/2006/relationships/image" Target="../media/image14.png"/></Relationships>
</file>

<file path=xl/drawings/_rels/drawing7.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6.png"/><Relationship Id="rId7" Type="http://schemas.openxmlformats.org/officeDocument/2006/relationships/image" Target="../media/image9.jpeg"/><Relationship Id="rId12" Type="http://schemas.openxmlformats.org/officeDocument/2006/relationships/image" Target="../media/image4.jpeg"/><Relationship Id="rId2" Type="http://schemas.openxmlformats.org/officeDocument/2006/relationships/image" Target="../media/image5.jpeg"/><Relationship Id="rId1" Type="http://schemas.openxmlformats.org/officeDocument/2006/relationships/image" Target="../media/image13.png"/><Relationship Id="rId6" Type="http://schemas.openxmlformats.org/officeDocument/2006/relationships/image" Target="../media/image8.png"/><Relationship Id="rId11" Type="http://schemas.openxmlformats.org/officeDocument/2006/relationships/image" Target="../media/image2.jpeg"/><Relationship Id="rId5" Type="http://schemas.openxmlformats.org/officeDocument/2006/relationships/image" Target="../media/image7.jpeg"/><Relationship Id="rId10" Type="http://schemas.openxmlformats.org/officeDocument/2006/relationships/image" Target="../media/image12.jpeg"/><Relationship Id="rId4" Type="http://schemas.openxmlformats.org/officeDocument/2006/relationships/image" Target="../media/image11.jpeg"/><Relationship Id="rId9" Type="http://schemas.openxmlformats.org/officeDocument/2006/relationships/image" Target="../media/image14.png"/></Relationships>
</file>

<file path=xl/drawings/_rels/drawing8.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9.jpeg"/><Relationship Id="rId7"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8.png"/><Relationship Id="rId6" Type="http://schemas.openxmlformats.org/officeDocument/2006/relationships/image" Target="../media/image12.jpeg"/><Relationship Id="rId11" Type="http://schemas.openxmlformats.org/officeDocument/2006/relationships/image" Target="../media/image15.jpeg"/><Relationship Id="rId5" Type="http://schemas.openxmlformats.org/officeDocument/2006/relationships/image" Target="../media/image11.jpeg"/><Relationship Id="rId10" Type="http://schemas.openxmlformats.org/officeDocument/2006/relationships/image" Target="../media/image2.jpeg"/><Relationship Id="rId4" Type="http://schemas.openxmlformats.org/officeDocument/2006/relationships/image" Target="../media/image10.png"/><Relationship Id="rId9" Type="http://schemas.openxmlformats.org/officeDocument/2006/relationships/image" Target="../media/image14.png"/></Relationships>
</file>

<file path=xl/drawings/_rels/drawing9.xml.rels><?xml version="1.0" encoding="UTF-8" standalone="yes"?>
<Relationships xmlns="http://schemas.openxmlformats.org/package/2006/relationships"><Relationship Id="rId8" Type="http://schemas.openxmlformats.org/officeDocument/2006/relationships/image" Target="../media/image19.png"/><Relationship Id="rId3" Type="http://schemas.openxmlformats.org/officeDocument/2006/relationships/image" Target="../media/image11.jpeg"/><Relationship Id="rId7" Type="http://schemas.openxmlformats.org/officeDocument/2006/relationships/image" Target="../media/image18.png"/><Relationship Id="rId2" Type="http://schemas.openxmlformats.org/officeDocument/2006/relationships/image" Target="../media/image16.png"/><Relationship Id="rId1" Type="http://schemas.openxmlformats.org/officeDocument/2006/relationships/image" Target="../media/image2.jpeg"/><Relationship Id="rId6" Type="http://schemas.openxmlformats.org/officeDocument/2006/relationships/image" Target="../media/image6.png"/><Relationship Id="rId5" Type="http://schemas.openxmlformats.org/officeDocument/2006/relationships/image" Target="../media/image17.png"/><Relationship Id="rId10" Type="http://schemas.openxmlformats.org/officeDocument/2006/relationships/image" Target="../media/image12.jpeg"/><Relationship Id="rId4" Type="http://schemas.openxmlformats.org/officeDocument/2006/relationships/image" Target="../media/image13.png"/><Relationship Id="rId9"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xdr:from>
      <xdr:col>5</xdr:col>
      <xdr:colOff>127000</xdr:colOff>
      <xdr:row>0</xdr:row>
      <xdr:rowOff>57150</xdr:rowOff>
    </xdr:from>
    <xdr:to>
      <xdr:col>10</xdr:col>
      <xdr:colOff>330200</xdr:colOff>
      <xdr:row>0</xdr:row>
      <xdr:rowOff>419100</xdr:rowOff>
    </xdr:to>
    <xdr:pic>
      <xdr:nvPicPr>
        <xdr:cNvPr id="874501" name="Picture 30" descr="UNICEF logo_blue">
          <a:extLst>
            <a:ext uri="{FF2B5EF4-FFF2-40B4-BE49-F238E27FC236}">
              <a16:creationId xmlns="" xmlns:a16="http://schemas.microsoft.com/office/drawing/2014/main" id="{00000000-0008-0000-0000-000005580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35750" y="57150"/>
          <a:ext cx="48387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24</xdr:col>
      <xdr:colOff>101600</xdr:colOff>
      <xdr:row>3</xdr:row>
      <xdr:rowOff>19050</xdr:rowOff>
    </xdr:from>
    <xdr:to>
      <xdr:col>25</xdr:col>
      <xdr:colOff>63500</xdr:colOff>
      <xdr:row>3</xdr:row>
      <xdr:rowOff>95250</xdr:rowOff>
    </xdr:to>
    <xdr:sp macro="" textlink="">
      <xdr:nvSpPr>
        <xdr:cNvPr id="870889" name="Rectangle 8">
          <a:extLst>
            <a:ext uri="{FF2B5EF4-FFF2-40B4-BE49-F238E27FC236}">
              <a16:creationId xmlns="" xmlns:a16="http://schemas.microsoft.com/office/drawing/2014/main" id="{00000000-0008-0000-2900-0000E9490D00}"/>
            </a:ext>
          </a:extLst>
        </xdr:cNvPr>
        <xdr:cNvSpPr>
          <a:spLocks noChangeArrowheads="1"/>
        </xdr:cNvSpPr>
      </xdr:nvSpPr>
      <xdr:spPr bwMode="auto">
        <a:xfrm>
          <a:off x="4368800" y="533400"/>
          <a:ext cx="139700" cy="76200"/>
        </a:xfrm>
        <a:prstGeom prst="rect">
          <a:avLst/>
        </a:prstGeom>
        <a:solidFill>
          <a:srgbClr val="FFFFFF"/>
        </a:solidFill>
        <a:ln w="9525" algn="ctr">
          <a:solidFill>
            <a:srgbClr val="000000"/>
          </a:solidFill>
          <a:round/>
          <a:headEnd/>
          <a:tailEnd/>
        </a:ln>
      </xdr:spPr>
    </xdr:sp>
    <xdr:clientData/>
  </xdr:twoCellAnchor>
  <xdr:twoCellAnchor>
    <xdr:from>
      <xdr:col>15</xdr:col>
      <xdr:colOff>19050</xdr:colOff>
      <xdr:row>0</xdr:row>
      <xdr:rowOff>82550</xdr:rowOff>
    </xdr:from>
    <xdr:to>
      <xdr:col>37</xdr:col>
      <xdr:colOff>25400</xdr:colOff>
      <xdr:row>48</xdr:row>
      <xdr:rowOff>6350</xdr:rowOff>
    </xdr:to>
    <xdr:grpSp>
      <xdr:nvGrpSpPr>
        <xdr:cNvPr id="870890" name="Groupe 82">
          <a:extLst>
            <a:ext uri="{FF2B5EF4-FFF2-40B4-BE49-F238E27FC236}">
              <a16:creationId xmlns="" xmlns:a16="http://schemas.microsoft.com/office/drawing/2014/main" id="{00000000-0008-0000-2900-0000EA490D00}"/>
            </a:ext>
          </a:extLst>
        </xdr:cNvPr>
        <xdr:cNvGrpSpPr>
          <a:grpSpLocks/>
        </xdr:cNvGrpSpPr>
      </xdr:nvGrpSpPr>
      <xdr:grpSpPr bwMode="auto">
        <a:xfrm>
          <a:off x="2400300" y="82550"/>
          <a:ext cx="3498850" cy="7581900"/>
          <a:chOff x="2606364" y="104775"/>
          <a:chExt cx="3584886" cy="7678738"/>
        </a:xfrm>
      </xdr:grpSpPr>
      <xdr:grpSp>
        <xdr:nvGrpSpPr>
          <xdr:cNvPr id="870902" name="Groupe 66">
            <a:extLst>
              <a:ext uri="{FF2B5EF4-FFF2-40B4-BE49-F238E27FC236}">
                <a16:creationId xmlns="" xmlns:a16="http://schemas.microsoft.com/office/drawing/2014/main" id="{00000000-0008-0000-2900-0000F6490D00}"/>
              </a:ext>
            </a:extLst>
          </xdr:cNvPr>
          <xdr:cNvGrpSpPr>
            <a:grpSpLocks/>
          </xdr:cNvGrpSpPr>
        </xdr:nvGrpSpPr>
        <xdr:grpSpPr bwMode="auto">
          <a:xfrm>
            <a:off x="2647950" y="5838825"/>
            <a:ext cx="2705100" cy="1944688"/>
            <a:chOff x="2647950" y="5838825"/>
            <a:chExt cx="2705100" cy="1944688"/>
          </a:xfrm>
        </xdr:grpSpPr>
        <xdr:sp macro="" textlink="">
          <xdr:nvSpPr>
            <xdr:cNvPr id="870935" name="Forme libre 65">
              <a:extLst>
                <a:ext uri="{FF2B5EF4-FFF2-40B4-BE49-F238E27FC236}">
                  <a16:creationId xmlns="" xmlns:a16="http://schemas.microsoft.com/office/drawing/2014/main" id="{00000000-0008-0000-2900-0000174A0D00}"/>
                </a:ext>
              </a:extLst>
            </xdr:cNvPr>
            <xdr:cNvSpPr>
              <a:spLocks noChangeArrowheads="1"/>
            </xdr:cNvSpPr>
          </xdr:nvSpPr>
          <xdr:spPr bwMode="auto">
            <a:xfrm>
              <a:off x="4705350" y="6010275"/>
              <a:ext cx="123825" cy="357187"/>
            </a:xfrm>
            <a:custGeom>
              <a:avLst/>
              <a:gdLst>
                <a:gd name="T0" fmla="*/ 0 w 123825"/>
                <a:gd name="T1" fmla="*/ 0 h 357187"/>
                <a:gd name="T2" fmla="*/ 95250 w 123825"/>
                <a:gd name="T3" fmla="*/ 352425 h 357187"/>
                <a:gd name="T4" fmla="*/ 123825 w 123825"/>
                <a:gd name="T5" fmla="*/ 28575 h 357187"/>
                <a:gd name="T6" fmla="*/ 123825 w 123825"/>
                <a:gd name="T7" fmla="*/ 28575 h 357187"/>
                <a:gd name="T8" fmla="*/ 0 60000 65536"/>
                <a:gd name="T9" fmla="*/ 0 60000 65536"/>
                <a:gd name="T10" fmla="*/ 0 60000 65536"/>
                <a:gd name="T11" fmla="*/ 0 60000 65536"/>
                <a:gd name="T12" fmla="*/ 0 w 123825"/>
                <a:gd name="T13" fmla="*/ 0 h 357187"/>
                <a:gd name="T14" fmla="*/ 123825 w 123825"/>
                <a:gd name="T15" fmla="*/ 357187 h 357187"/>
              </a:gdLst>
              <a:ahLst/>
              <a:cxnLst>
                <a:cxn ang="T8">
                  <a:pos x="T0" y="T1"/>
                </a:cxn>
                <a:cxn ang="T9">
                  <a:pos x="T2" y="T3"/>
                </a:cxn>
                <a:cxn ang="T10">
                  <a:pos x="T4" y="T5"/>
                </a:cxn>
                <a:cxn ang="T11">
                  <a:pos x="T6" y="T7"/>
                </a:cxn>
              </a:cxnLst>
              <a:rect l="T12" t="T13" r="T14" b="T15"/>
              <a:pathLst>
                <a:path w="123825" h="357187">
                  <a:moveTo>
                    <a:pt x="0" y="0"/>
                  </a:moveTo>
                  <a:cubicBezTo>
                    <a:pt x="37306" y="173831"/>
                    <a:pt x="74613" y="347663"/>
                    <a:pt x="95250" y="352425"/>
                  </a:cubicBezTo>
                  <a:cubicBezTo>
                    <a:pt x="115887" y="357187"/>
                    <a:pt x="123825" y="28575"/>
                    <a:pt x="123825" y="28575"/>
                  </a:cubicBezTo>
                </a:path>
              </a:pathLst>
            </a:custGeom>
            <a:solidFill>
              <a:srgbClr val="FFFFFF"/>
            </a:solidFill>
            <a:ln w="38100" algn="ctr">
              <a:solidFill>
                <a:srgbClr val="000000"/>
              </a:solidFill>
              <a:round/>
              <a:headEnd/>
              <a:tailEnd/>
            </a:ln>
          </xdr:spPr>
        </xdr:sp>
        <xdr:sp macro="" textlink="">
          <xdr:nvSpPr>
            <xdr:cNvPr id="870936" name="Forme libre 64">
              <a:extLst>
                <a:ext uri="{FF2B5EF4-FFF2-40B4-BE49-F238E27FC236}">
                  <a16:creationId xmlns="" xmlns:a16="http://schemas.microsoft.com/office/drawing/2014/main" id="{00000000-0008-0000-2900-0000184A0D00}"/>
                </a:ext>
              </a:extLst>
            </xdr:cNvPr>
            <xdr:cNvSpPr>
              <a:spLocks noChangeArrowheads="1"/>
            </xdr:cNvSpPr>
          </xdr:nvSpPr>
          <xdr:spPr bwMode="auto">
            <a:xfrm>
              <a:off x="2657475" y="6000750"/>
              <a:ext cx="123825" cy="357187"/>
            </a:xfrm>
            <a:custGeom>
              <a:avLst/>
              <a:gdLst>
                <a:gd name="T0" fmla="*/ 0 w 123825"/>
                <a:gd name="T1" fmla="*/ 0 h 357187"/>
                <a:gd name="T2" fmla="*/ 95250 w 123825"/>
                <a:gd name="T3" fmla="*/ 352425 h 357187"/>
                <a:gd name="T4" fmla="*/ 123825 w 123825"/>
                <a:gd name="T5" fmla="*/ 28575 h 357187"/>
                <a:gd name="T6" fmla="*/ 123825 w 123825"/>
                <a:gd name="T7" fmla="*/ 28575 h 357187"/>
                <a:gd name="T8" fmla="*/ 0 60000 65536"/>
                <a:gd name="T9" fmla="*/ 0 60000 65536"/>
                <a:gd name="T10" fmla="*/ 0 60000 65536"/>
                <a:gd name="T11" fmla="*/ 0 60000 65536"/>
                <a:gd name="T12" fmla="*/ 0 w 123825"/>
                <a:gd name="T13" fmla="*/ 0 h 357187"/>
                <a:gd name="T14" fmla="*/ 123825 w 123825"/>
                <a:gd name="T15" fmla="*/ 357187 h 357187"/>
              </a:gdLst>
              <a:ahLst/>
              <a:cxnLst>
                <a:cxn ang="T8">
                  <a:pos x="T0" y="T1"/>
                </a:cxn>
                <a:cxn ang="T9">
                  <a:pos x="T2" y="T3"/>
                </a:cxn>
                <a:cxn ang="T10">
                  <a:pos x="T4" y="T5"/>
                </a:cxn>
                <a:cxn ang="T11">
                  <a:pos x="T6" y="T7"/>
                </a:cxn>
              </a:cxnLst>
              <a:rect l="T12" t="T13" r="T14" b="T15"/>
              <a:pathLst>
                <a:path w="123825" h="357187">
                  <a:moveTo>
                    <a:pt x="0" y="0"/>
                  </a:moveTo>
                  <a:cubicBezTo>
                    <a:pt x="37306" y="173831"/>
                    <a:pt x="74613" y="347663"/>
                    <a:pt x="95250" y="352425"/>
                  </a:cubicBezTo>
                  <a:cubicBezTo>
                    <a:pt x="115887" y="357187"/>
                    <a:pt x="123825" y="28575"/>
                    <a:pt x="123825" y="28575"/>
                  </a:cubicBezTo>
                </a:path>
              </a:pathLst>
            </a:custGeom>
            <a:solidFill>
              <a:srgbClr val="FFFFFF"/>
            </a:solidFill>
            <a:ln w="38100" algn="ctr">
              <a:solidFill>
                <a:srgbClr val="000000"/>
              </a:solidFill>
              <a:round/>
              <a:headEnd/>
              <a:tailEnd/>
            </a:ln>
          </xdr:spPr>
        </xdr:sp>
        <xdr:grpSp>
          <xdr:nvGrpSpPr>
            <xdr:cNvPr id="870937" name="Groupe 53">
              <a:extLst>
                <a:ext uri="{FF2B5EF4-FFF2-40B4-BE49-F238E27FC236}">
                  <a16:creationId xmlns="" xmlns:a16="http://schemas.microsoft.com/office/drawing/2014/main" id="{00000000-0008-0000-2900-0000194A0D00}"/>
                </a:ext>
              </a:extLst>
            </xdr:cNvPr>
            <xdr:cNvGrpSpPr>
              <a:grpSpLocks/>
            </xdr:cNvGrpSpPr>
          </xdr:nvGrpSpPr>
          <xdr:grpSpPr bwMode="auto">
            <a:xfrm>
              <a:off x="3067050" y="5838825"/>
              <a:ext cx="2286000" cy="1944688"/>
              <a:chOff x="3067050" y="5838825"/>
              <a:chExt cx="2286000" cy="1944688"/>
            </a:xfrm>
          </xdr:grpSpPr>
          <xdr:cxnSp macro="">
            <xdr:nvCxnSpPr>
              <xdr:cNvPr id="870939" name="Connecteur droit avec flèche 34">
                <a:extLst>
                  <a:ext uri="{FF2B5EF4-FFF2-40B4-BE49-F238E27FC236}">
                    <a16:creationId xmlns="" xmlns:a16="http://schemas.microsoft.com/office/drawing/2014/main" id="{00000000-0008-0000-2900-00001B4A0D00}"/>
                  </a:ext>
                </a:extLst>
              </xdr:cNvPr>
              <xdr:cNvCxnSpPr>
                <a:cxnSpLocks noChangeShapeType="1"/>
              </xdr:cNvCxnSpPr>
            </xdr:nvCxnSpPr>
            <xdr:spPr bwMode="auto">
              <a:xfrm rot="5400000">
                <a:off x="4705350" y="6467475"/>
                <a:ext cx="1276350" cy="1905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42" name="Rectangle à coins arrondis 38">
                <a:extLst>
                  <a:ext uri="{FF2B5EF4-FFF2-40B4-BE49-F238E27FC236}">
                    <a16:creationId xmlns="" xmlns:a16="http://schemas.microsoft.com/office/drawing/2014/main" id="{00000000-0008-0000-2900-00002A000000}"/>
                  </a:ext>
                </a:extLst>
              </xdr:cNvPr>
              <xdr:cNvSpPr/>
            </xdr:nvSpPr>
            <xdr:spPr bwMode="auto">
              <a:xfrm>
                <a:off x="4953680" y="6047115"/>
                <a:ext cx="325371" cy="668835"/>
              </a:xfrm>
              <a:prstGeom prst="roundRect">
                <a:avLst/>
              </a:prstGeom>
              <a:solidFill>
                <a:srgbClr val="FFFFFF"/>
              </a:solidFill>
              <a:ln w="0" cap="flat" cmpd="sng" algn="ctr">
                <a:solidFill>
                  <a:schemeClr val="bg1"/>
                </a:solidFill>
                <a:prstDash val="solid"/>
                <a:round/>
                <a:headEnd type="none" w="med" len="med"/>
                <a:tailEnd type="none" w="med" len="med"/>
              </a:ln>
              <a:effectLst/>
            </xdr:spPr>
            <xdr:txBody>
              <a:bodyPr vertOverflow="clip" vert="vert270" wrap="square" lIns="18288" tIns="0" rIns="0" bIns="0" rtlCol="0" anchor="ctr" upright="1"/>
              <a:lstStyle/>
              <a:p>
                <a:pPr algn="ctr"/>
                <a:r>
                  <a:rPr lang="fr-FR" sz="1100"/>
                  <a:t>190cm</a:t>
                </a:r>
              </a:p>
            </xdr:txBody>
          </xdr:sp>
          <xdr:grpSp>
            <xdr:nvGrpSpPr>
              <xdr:cNvPr id="870941" name="Groupe 52">
                <a:extLst>
                  <a:ext uri="{FF2B5EF4-FFF2-40B4-BE49-F238E27FC236}">
                    <a16:creationId xmlns="" xmlns:a16="http://schemas.microsoft.com/office/drawing/2014/main" id="{00000000-0008-0000-2900-00001D4A0D00}"/>
                  </a:ext>
                </a:extLst>
              </xdr:cNvPr>
              <xdr:cNvGrpSpPr>
                <a:grpSpLocks/>
              </xdr:cNvGrpSpPr>
            </xdr:nvGrpSpPr>
            <xdr:grpSpPr bwMode="auto">
              <a:xfrm>
                <a:off x="3067050" y="5838825"/>
                <a:ext cx="1694059" cy="1944688"/>
                <a:chOff x="3067050" y="5838825"/>
                <a:chExt cx="1694059" cy="1944688"/>
              </a:xfrm>
            </xdr:grpSpPr>
            <xdr:grpSp>
              <xdr:nvGrpSpPr>
                <xdr:cNvPr id="870942" name="Groupe 26">
                  <a:extLst>
                    <a:ext uri="{FF2B5EF4-FFF2-40B4-BE49-F238E27FC236}">
                      <a16:creationId xmlns="" xmlns:a16="http://schemas.microsoft.com/office/drawing/2014/main" id="{00000000-0008-0000-2900-00001E4A0D00}"/>
                    </a:ext>
                  </a:extLst>
                </xdr:cNvPr>
                <xdr:cNvGrpSpPr>
                  <a:grpSpLocks/>
                </xdr:cNvGrpSpPr>
              </xdr:nvGrpSpPr>
              <xdr:grpSpPr bwMode="auto">
                <a:xfrm>
                  <a:off x="3238500" y="5838825"/>
                  <a:ext cx="1285875" cy="1276350"/>
                  <a:chOff x="3238500" y="5838825"/>
                  <a:chExt cx="1285875" cy="1276350"/>
                </a:xfrm>
              </xdr:grpSpPr>
              <xdr:sp macro="" textlink="">
                <xdr:nvSpPr>
                  <xdr:cNvPr id="870958" name="Rectangle 25">
                    <a:extLst>
                      <a:ext uri="{FF2B5EF4-FFF2-40B4-BE49-F238E27FC236}">
                        <a16:creationId xmlns="" xmlns:a16="http://schemas.microsoft.com/office/drawing/2014/main" id="{00000000-0008-0000-2900-00002E4A0D00}"/>
                      </a:ext>
                    </a:extLst>
                  </xdr:cNvPr>
                  <xdr:cNvSpPr>
                    <a:spLocks noChangeArrowheads="1"/>
                  </xdr:cNvSpPr>
                </xdr:nvSpPr>
                <xdr:spPr bwMode="auto">
                  <a:xfrm>
                    <a:off x="3238500" y="5838825"/>
                    <a:ext cx="1285875" cy="1276350"/>
                  </a:xfrm>
                  <a:prstGeom prst="rect">
                    <a:avLst/>
                  </a:prstGeom>
                  <a:solidFill>
                    <a:srgbClr val="FFFFFF"/>
                  </a:solidFill>
                  <a:ln w="9525" algn="ctr">
                    <a:solidFill>
                      <a:srgbClr val="000000"/>
                    </a:solidFill>
                    <a:round/>
                    <a:headEnd/>
                    <a:tailEnd/>
                  </a:ln>
                </xdr:spPr>
              </xdr:sp>
              <xdr:sp macro="" textlink="">
                <xdr:nvSpPr>
                  <xdr:cNvPr id="870959" name="Rectangle 24">
                    <a:extLst>
                      <a:ext uri="{FF2B5EF4-FFF2-40B4-BE49-F238E27FC236}">
                        <a16:creationId xmlns="" xmlns:a16="http://schemas.microsoft.com/office/drawing/2014/main" id="{00000000-0008-0000-2900-00002F4A0D00}"/>
                      </a:ext>
                    </a:extLst>
                  </xdr:cNvPr>
                  <xdr:cNvSpPr>
                    <a:spLocks noChangeArrowheads="1"/>
                  </xdr:cNvSpPr>
                </xdr:nvSpPr>
                <xdr:spPr bwMode="auto">
                  <a:xfrm>
                    <a:off x="3390900" y="6000751"/>
                    <a:ext cx="981075" cy="971550"/>
                  </a:xfrm>
                  <a:prstGeom prst="rect">
                    <a:avLst/>
                  </a:prstGeom>
                  <a:solidFill>
                    <a:srgbClr val="FFFFFF"/>
                  </a:solidFill>
                  <a:ln w="9525" algn="ctr">
                    <a:solidFill>
                      <a:srgbClr val="000000"/>
                    </a:solidFill>
                    <a:round/>
                    <a:headEnd/>
                    <a:tailEnd/>
                  </a:ln>
                </xdr:spPr>
              </xdr:sp>
            </xdr:grpSp>
            <xdr:grpSp>
              <xdr:nvGrpSpPr>
                <xdr:cNvPr id="870943" name="Groupe 30">
                  <a:extLst>
                    <a:ext uri="{FF2B5EF4-FFF2-40B4-BE49-F238E27FC236}">
                      <a16:creationId xmlns="" xmlns:a16="http://schemas.microsoft.com/office/drawing/2014/main" id="{00000000-0008-0000-2900-00001F4A0D00}"/>
                    </a:ext>
                  </a:extLst>
                </xdr:cNvPr>
                <xdr:cNvGrpSpPr>
                  <a:grpSpLocks/>
                </xdr:cNvGrpSpPr>
              </xdr:nvGrpSpPr>
              <xdr:grpSpPr bwMode="auto">
                <a:xfrm>
                  <a:off x="3562350" y="6057900"/>
                  <a:ext cx="809625" cy="904875"/>
                  <a:chOff x="3562350" y="6057900"/>
                  <a:chExt cx="809625" cy="904875"/>
                </a:xfrm>
              </xdr:grpSpPr>
              <xdr:sp macro="" textlink="">
                <xdr:nvSpPr>
                  <xdr:cNvPr id="870955" name="Rectangle 27">
                    <a:extLst>
                      <a:ext uri="{FF2B5EF4-FFF2-40B4-BE49-F238E27FC236}">
                        <a16:creationId xmlns="" xmlns:a16="http://schemas.microsoft.com/office/drawing/2014/main" id="{00000000-0008-0000-2900-00002B4A0D00}"/>
                      </a:ext>
                    </a:extLst>
                  </xdr:cNvPr>
                  <xdr:cNvSpPr>
                    <a:spLocks noChangeArrowheads="1"/>
                  </xdr:cNvSpPr>
                </xdr:nvSpPr>
                <xdr:spPr bwMode="auto">
                  <a:xfrm>
                    <a:off x="3562350" y="6057900"/>
                    <a:ext cx="266699" cy="257175"/>
                  </a:xfrm>
                  <a:prstGeom prst="rect">
                    <a:avLst/>
                  </a:prstGeom>
                  <a:solidFill>
                    <a:srgbClr val="FFFFFF"/>
                  </a:solidFill>
                  <a:ln w="9525" algn="ctr">
                    <a:solidFill>
                      <a:srgbClr val="000000"/>
                    </a:solidFill>
                    <a:round/>
                    <a:headEnd/>
                    <a:tailEnd/>
                  </a:ln>
                </xdr:spPr>
              </xdr:sp>
              <xdr:sp macro="" textlink="">
                <xdr:nvSpPr>
                  <xdr:cNvPr id="870956" name="Rectangle 28">
                    <a:extLst>
                      <a:ext uri="{FF2B5EF4-FFF2-40B4-BE49-F238E27FC236}">
                        <a16:creationId xmlns="" xmlns:a16="http://schemas.microsoft.com/office/drawing/2014/main" id="{00000000-0008-0000-2900-00002C4A0D00}"/>
                      </a:ext>
                    </a:extLst>
                  </xdr:cNvPr>
                  <xdr:cNvSpPr>
                    <a:spLocks noChangeArrowheads="1"/>
                  </xdr:cNvSpPr>
                </xdr:nvSpPr>
                <xdr:spPr bwMode="auto">
                  <a:xfrm>
                    <a:off x="4029075" y="6648450"/>
                    <a:ext cx="342900" cy="314325"/>
                  </a:xfrm>
                  <a:prstGeom prst="rect">
                    <a:avLst/>
                  </a:prstGeom>
                  <a:solidFill>
                    <a:srgbClr val="FFFFFF"/>
                  </a:solidFill>
                  <a:ln w="9525" algn="ctr">
                    <a:solidFill>
                      <a:srgbClr val="000000"/>
                    </a:solidFill>
                    <a:round/>
                    <a:headEnd/>
                    <a:tailEnd/>
                  </a:ln>
                </xdr:spPr>
              </xdr:sp>
              <xdr:sp macro="" textlink="">
                <xdr:nvSpPr>
                  <xdr:cNvPr id="870957" name="Rectangle 29">
                    <a:extLst>
                      <a:ext uri="{FF2B5EF4-FFF2-40B4-BE49-F238E27FC236}">
                        <a16:creationId xmlns="" xmlns:a16="http://schemas.microsoft.com/office/drawing/2014/main" id="{00000000-0008-0000-2900-00002D4A0D00}"/>
                      </a:ext>
                    </a:extLst>
                  </xdr:cNvPr>
                  <xdr:cNvSpPr>
                    <a:spLocks noChangeArrowheads="1"/>
                  </xdr:cNvSpPr>
                </xdr:nvSpPr>
                <xdr:spPr bwMode="auto">
                  <a:xfrm>
                    <a:off x="4086225" y="6705600"/>
                    <a:ext cx="219075" cy="200025"/>
                  </a:xfrm>
                  <a:prstGeom prst="rect">
                    <a:avLst/>
                  </a:prstGeom>
                  <a:solidFill>
                    <a:srgbClr val="FFFFFF"/>
                  </a:solidFill>
                  <a:ln w="9525" algn="ctr">
                    <a:solidFill>
                      <a:srgbClr val="000000"/>
                    </a:solidFill>
                    <a:round/>
                    <a:headEnd/>
                    <a:tailEnd/>
                  </a:ln>
                </xdr:spPr>
              </xdr:sp>
            </xdr:grpSp>
            <xdr:grpSp>
              <xdr:nvGrpSpPr>
                <xdr:cNvPr id="870944" name="Groupe 51">
                  <a:extLst>
                    <a:ext uri="{FF2B5EF4-FFF2-40B4-BE49-F238E27FC236}">
                      <a16:creationId xmlns="" xmlns:a16="http://schemas.microsoft.com/office/drawing/2014/main" id="{00000000-0008-0000-2900-0000204A0D00}"/>
                    </a:ext>
                  </a:extLst>
                </xdr:cNvPr>
                <xdr:cNvGrpSpPr>
                  <a:grpSpLocks/>
                </xdr:cNvGrpSpPr>
              </xdr:nvGrpSpPr>
              <xdr:grpSpPr bwMode="auto">
                <a:xfrm>
                  <a:off x="3067050" y="7135679"/>
                  <a:ext cx="1694059" cy="647834"/>
                  <a:chOff x="3067050" y="7135679"/>
                  <a:chExt cx="1694059" cy="647834"/>
                </a:xfrm>
              </xdr:grpSpPr>
              <xdr:grpSp>
                <xdr:nvGrpSpPr>
                  <xdr:cNvPr id="870945" name="Groupe 48">
                    <a:extLst>
                      <a:ext uri="{FF2B5EF4-FFF2-40B4-BE49-F238E27FC236}">
                        <a16:creationId xmlns="" xmlns:a16="http://schemas.microsoft.com/office/drawing/2014/main" id="{00000000-0008-0000-2900-0000214A0D00}"/>
                      </a:ext>
                    </a:extLst>
                  </xdr:cNvPr>
                  <xdr:cNvGrpSpPr>
                    <a:grpSpLocks/>
                  </xdr:cNvGrpSpPr>
                </xdr:nvGrpSpPr>
                <xdr:grpSpPr bwMode="auto">
                  <a:xfrm>
                    <a:off x="3067050" y="7353301"/>
                    <a:ext cx="1590675" cy="430212"/>
                    <a:chOff x="3067050" y="7353301"/>
                    <a:chExt cx="1590675" cy="430212"/>
                  </a:xfrm>
                </xdr:grpSpPr>
                <xdr:cxnSp macro="">
                  <xdr:nvCxnSpPr>
                    <xdr:cNvPr id="870948" name="Connecteur droit avec flèche 36">
                      <a:extLst>
                        <a:ext uri="{FF2B5EF4-FFF2-40B4-BE49-F238E27FC236}">
                          <a16:creationId xmlns="" xmlns:a16="http://schemas.microsoft.com/office/drawing/2014/main" id="{00000000-0008-0000-2900-0000244A0D00}"/>
                        </a:ext>
                      </a:extLst>
                    </xdr:cNvPr>
                    <xdr:cNvCxnSpPr>
                      <a:cxnSpLocks noChangeShapeType="1"/>
                    </xdr:cNvCxnSpPr>
                  </xdr:nvCxnSpPr>
                  <xdr:spPr bwMode="auto">
                    <a:xfrm rot="10800000">
                      <a:off x="3228975" y="7781925"/>
                      <a:ext cx="1314450" cy="1588"/>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51" name="Rectangle à coins arrondis 50">
                      <a:extLst>
                        <a:ext uri="{FF2B5EF4-FFF2-40B4-BE49-F238E27FC236}">
                          <a16:creationId xmlns="" xmlns:a16="http://schemas.microsoft.com/office/drawing/2014/main" id="{00000000-0008-0000-2900-000033000000}"/>
                        </a:ext>
                      </a:extLst>
                    </xdr:cNvPr>
                    <xdr:cNvSpPr/>
                  </xdr:nvSpPr>
                  <xdr:spPr bwMode="auto">
                    <a:xfrm>
                      <a:off x="3553424" y="7545562"/>
                      <a:ext cx="679792" cy="192933"/>
                    </a:xfrm>
                    <a:prstGeom prst="roundRect">
                      <a:avLst/>
                    </a:prstGeom>
                    <a:solidFill>
                      <a:srgbClr val="FFFFFF"/>
                    </a:solidFill>
                    <a:ln w="9525"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ctr"/>
                      <a:r>
                        <a:rPr lang="fr-FR" sz="1100"/>
                        <a:t>190cm</a:t>
                      </a:r>
                    </a:p>
                  </xdr:txBody>
                </xdr:sp>
                <xdr:cxnSp macro="">
                  <xdr:nvCxnSpPr>
                    <xdr:cNvPr id="870950" name="Connecteur droit 40">
                      <a:extLst>
                        <a:ext uri="{FF2B5EF4-FFF2-40B4-BE49-F238E27FC236}">
                          <a16:creationId xmlns="" xmlns:a16="http://schemas.microsoft.com/office/drawing/2014/main" id="{00000000-0008-0000-2900-0000264A0D00}"/>
                        </a:ext>
                      </a:extLst>
                    </xdr:cNvPr>
                    <xdr:cNvCxnSpPr>
                      <a:cxnSpLocks noChangeShapeType="1"/>
                    </xdr:cNvCxnSpPr>
                  </xdr:nvCxnSpPr>
                  <xdr:spPr bwMode="auto">
                    <a:xfrm>
                      <a:off x="3067050" y="7429500"/>
                      <a:ext cx="1590675" cy="1588"/>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870951" name="Connecteur droit 42">
                      <a:extLst>
                        <a:ext uri="{FF2B5EF4-FFF2-40B4-BE49-F238E27FC236}">
                          <a16:creationId xmlns="" xmlns:a16="http://schemas.microsoft.com/office/drawing/2014/main" id="{00000000-0008-0000-2900-0000274A0D00}"/>
                        </a:ext>
                      </a:extLst>
                    </xdr:cNvPr>
                    <xdr:cNvCxnSpPr>
                      <a:cxnSpLocks noChangeShapeType="1"/>
                    </xdr:cNvCxnSpPr>
                  </xdr:nvCxnSpPr>
                  <xdr:spPr bwMode="auto">
                    <a:xfrm rot="5400000">
                      <a:off x="4491038" y="7443787"/>
                      <a:ext cx="104775" cy="1588"/>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870952" name="Connecteur droit 43">
                      <a:extLst>
                        <a:ext uri="{FF2B5EF4-FFF2-40B4-BE49-F238E27FC236}">
                          <a16:creationId xmlns="" xmlns:a16="http://schemas.microsoft.com/office/drawing/2014/main" id="{00000000-0008-0000-2900-0000284A0D00}"/>
                        </a:ext>
                      </a:extLst>
                    </xdr:cNvPr>
                    <xdr:cNvCxnSpPr>
                      <a:cxnSpLocks noChangeShapeType="1"/>
                    </xdr:cNvCxnSpPr>
                  </xdr:nvCxnSpPr>
                  <xdr:spPr bwMode="auto">
                    <a:xfrm rot="5400000">
                      <a:off x="3177381" y="7414421"/>
                      <a:ext cx="104775" cy="1588"/>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870953" name="Connecteur droit 44">
                      <a:extLst>
                        <a:ext uri="{FF2B5EF4-FFF2-40B4-BE49-F238E27FC236}">
                          <a16:creationId xmlns="" xmlns:a16="http://schemas.microsoft.com/office/drawing/2014/main" id="{00000000-0008-0000-2900-0000294A0D00}"/>
                        </a:ext>
                      </a:extLst>
                    </xdr:cNvPr>
                    <xdr:cNvCxnSpPr>
                      <a:cxnSpLocks noChangeShapeType="1"/>
                    </xdr:cNvCxnSpPr>
                  </xdr:nvCxnSpPr>
                  <xdr:spPr bwMode="auto">
                    <a:xfrm rot="5400000">
                      <a:off x="4329906" y="7414421"/>
                      <a:ext cx="104775" cy="1588"/>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870954" name="Connecteur droit 46">
                      <a:extLst>
                        <a:ext uri="{FF2B5EF4-FFF2-40B4-BE49-F238E27FC236}">
                          <a16:creationId xmlns="" xmlns:a16="http://schemas.microsoft.com/office/drawing/2014/main" id="{00000000-0008-0000-2900-00002A4A0D00}"/>
                        </a:ext>
                      </a:extLst>
                    </xdr:cNvPr>
                    <xdr:cNvCxnSpPr>
                      <a:cxnSpLocks noChangeShapeType="1"/>
                    </xdr:cNvCxnSpPr>
                  </xdr:nvCxnSpPr>
                  <xdr:spPr bwMode="auto">
                    <a:xfrm rot="5400000">
                      <a:off x="3339306" y="7404895"/>
                      <a:ext cx="104775" cy="1588"/>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48" name="Rectangle à coins arrondis 47">
                    <a:extLst>
                      <a:ext uri="{FF2B5EF4-FFF2-40B4-BE49-F238E27FC236}">
                        <a16:creationId xmlns="" xmlns:a16="http://schemas.microsoft.com/office/drawing/2014/main" id="{00000000-0008-0000-2900-000030000000}"/>
                      </a:ext>
                    </a:extLst>
                  </xdr:cNvPr>
                  <xdr:cNvSpPr/>
                </xdr:nvSpPr>
                <xdr:spPr bwMode="auto">
                  <a:xfrm>
                    <a:off x="3117660" y="7069660"/>
                    <a:ext cx="482246" cy="270106"/>
                  </a:xfrm>
                  <a:prstGeom prst="roundRect">
                    <a:avLst/>
                  </a:prstGeom>
                  <a:solidFill>
                    <a:srgbClr val="FFFFFF"/>
                  </a:solidFill>
                  <a:ln w="0"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ctr"/>
                    <a:r>
                      <a:rPr lang="fr-FR" sz="1100"/>
                      <a:t>20cm</a:t>
                    </a:r>
                  </a:p>
                </xdr:txBody>
              </xdr:sp>
              <xdr:sp macro="" textlink="">
                <xdr:nvSpPr>
                  <xdr:cNvPr id="49" name="Rectangle à coins arrondis 48">
                    <a:extLst>
                      <a:ext uri="{FF2B5EF4-FFF2-40B4-BE49-F238E27FC236}">
                        <a16:creationId xmlns="" xmlns:a16="http://schemas.microsoft.com/office/drawing/2014/main" id="{00000000-0008-0000-2900-000031000000}"/>
                      </a:ext>
                    </a:extLst>
                  </xdr:cNvPr>
                  <xdr:cNvSpPr/>
                </xdr:nvSpPr>
                <xdr:spPr bwMode="auto">
                  <a:xfrm>
                    <a:off x="4326179" y="7063229"/>
                    <a:ext cx="488056" cy="276537"/>
                  </a:xfrm>
                  <a:prstGeom prst="roundRect">
                    <a:avLst/>
                  </a:prstGeom>
                  <a:solidFill>
                    <a:srgbClr val="FFFFFF"/>
                  </a:solidFill>
                  <a:ln w="0"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ctr"/>
                    <a:r>
                      <a:rPr lang="fr-FR" sz="1100"/>
                      <a:t>20cm</a:t>
                    </a:r>
                  </a:p>
                </xdr:txBody>
              </xdr:sp>
            </xdr:grpSp>
          </xdr:grpSp>
        </xdr:grpSp>
        <xdr:cxnSp macro="">
          <xdr:nvCxnSpPr>
            <xdr:cNvPr id="870938" name="Connecteur droit 61">
              <a:extLst>
                <a:ext uri="{FF2B5EF4-FFF2-40B4-BE49-F238E27FC236}">
                  <a16:creationId xmlns="" xmlns:a16="http://schemas.microsoft.com/office/drawing/2014/main" id="{00000000-0008-0000-2900-00001A4A0D00}"/>
                </a:ext>
              </a:extLst>
            </xdr:cNvPr>
            <xdr:cNvCxnSpPr>
              <a:cxnSpLocks noChangeShapeType="1"/>
            </xdr:cNvCxnSpPr>
          </xdr:nvCxnSpPr>
          <xdr:spPr bwMode="auto">
            <a:xfrm flipV="1">
              <a:off x="2647950" y="6134100"/>
              <a:ext cx="2219325" cy="9525"/>
            </a:xfrm>
            <a:prstGeom prst="line">
              <a:avLst/>
            </a:prstGeom>
            <a:noFill/>
            <a:ln w="38100" algn="ctr">
              <a:solidFill>
                <a:srgbClr val="000000"/>
              </a:solidFill>
              <a:prstDash val="dashDot"/>
              <a:round/>
              <a:headEnd/>
              <a:tailEnd/>
            </a:ln>
            <a:extLst>
              <a:ext uri="{909E8E84-426E-40DD-AFC4-6F175D3DCCD1}">
                <a14:hiddenFill xmlns:a14="http://schemas.microsoft.com/office/drawing/2010/main">
                  <a:noFill/>
                </a14:hiddenFill>
              </a:ext>
            </a:extLst>
          </xdr:spPr>
        </xdr:cxnSp>
      </xdr:grpSp>
      <xdr:grpSp>
        <xdr:nvGrpSpPr>
          <xdr:cNvPr id="870903" name="Groupe 81">
            <a:extLst>
              <a:ext uri="{FF2B5EF4-FFF2-40B4-BE49-F238E27FC236}">
                <a16:creationId xmlns="" xmlns:a16="http://schemas.microsoft.com/office/drawing/2014/main" id="{00000000-0008-0000-2900-0000F7490D00}"/>
              </a:ext>
            </a:extLst>
          </xdr:cNvPr>
          <xdr:cNvGrpSpPr>
            <a:grpSpLocks/>
          </xdr:cNvGrpSpPr>
        </xdr:nvGrpSpPr>
        <xdr:grpSpPr bwMode="auto">
          <a:xfrm>
            <a:off x="2606364" y="104775"/>
            <a:ext cx="3584886" cy="5115983"/>
            <a:chOff x="2606364" y="104775"/>
            <a:chExt cx="3584886" cy="5115983"/>
          </a:xfrm>
        </xdr:grpSpPr>
        <xdr:sp macro="" textlink="">
          <xdr:nvSpPr>
            <xdr:cNvPr id="6" name="Text Box 48">
              <a:extLst>
                <a:ext uri="{FF2B5EF4-FFF2-40B4-BE49-F238E27FC236}">
                  <a16:creationId xmlns="" xmlns:a16="http://schemas.microsoft.com/office/drawing/2014/main" id="{00000000-0008-0000-2900-000006000000}"/>
                </a:ext>
              </a:extLst>
            </xdr:cNvPr>
            <xdr:cNvSpPr txBox="1">
              <a:spLocks noChangeArrowheads="1"/>
            </xdr:cNvSpPr>
          </xdr:nvSpPr>
          <xdr:spPr bwMode="auto">
            <a:xfrm>
              <a:off x="3750971" y="104775"/>
              <a:ext cx="2219492" cy="237951"/>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ctr" rtl="0">
                <a:defRPr sz="1000"/>
              </a:pPr>
              <a:r>
                <a:rPr lang="fr-FR" sz="1200" b="1" i="0" strike="noStrike">
                  <a:solidFill>
                    <a:srgbClr val="000000"/>
                  </a:solidFill>
                  <a:latin typeface="Arial"/>
                  <a:cs typeface="Arial"/>
                </a:rPr>
                <a:t>FOSSE</a:t>
              </a:r>
              <a:r>
                <a:rPr lang="fr-FR" sz="1200" b="1" i="0" strike="noStrike" baseline="0">
                  <a:solidFill>
                    <a:srgbClr val="000000"/>
                  </a:solidFill>
                  <a:latin typeface="Arial"/>
                  <a:cs typeface="Arial"/>
                </a:rPr>
                <a:t> A PLACENTA</a:t>
              </a:r>
              <a:endParaRPr lang="fr-FR" sz="1200" b="1" i="0" strike="noStrike">
                <a:solidFill>
                  <a:srgbClr val="000000"/>
                </a:solidFill>
                <a:latin typeface="Arial"/>
                <a:cs typeface="Arial"/>
              </a:endParaRPr>
            </a:p>
          </xdr:txBody>
        </xdr:sp>
        <xdr:grpSp>
          <xdr:nvGrpSpPr>
            <xdr:cNvPr id="870905" name="Groupe 80">
              <a:extLst>
                <a:ext uri="{FF2B5EF4-FFF2-40B4-BE49-F238E27FC236}">
                  <a16:creationId xmlns="" xmlns:a16="http://schemas.microsoft.com/office/drawing/2014/main" id="{00000000-0008-0000-2900-0000F9490D00}"/>
                </a:ext>
              </a:extLst>
            </xdr:cNvPr>
            <xdr:cNvGrpSpPr>
              <a:grpSpLocks/>
            </xdr:cNvGrpSpPr>
          </xdr:nvGrpSpPr>
          <xdr:grpSpPr bwMode="auto">
            <a:xfrm>
              <a:off x="2606364" y="457200"/>
              <a:ext cx="3584886" cy="4763558"/>
              <a:chOff x="2606364" y="457200"/>
              <a:chExt cx="3584886" cy="4763558"/>
            </a:xfrm>
          </xdr:grpSpPr>
          <xdr:sp macro="" textlink="">
            <xdr:nvSpPr>
              <xdr:cNvPr id="870906" name="Rectangle 7">
                <a:extLst>
                  <a:ext uri="{FF2B5EF4-FFF2-40B4-BE49-F238E27FC236}">
                    <a16:creationId xmlns="" xmlns:a16="http://schemas.microsoft.com/office/drawing/2014/main" id="{00000000-0008-0000-2900-0000FA490D00}"/>
                  </a:ext>
                </a:extLst>
              </xdr:cNvPr>
              <xdr:cNvSpPr>
                <a:spLocks noChangeArrowheads="1"/>
              </xdr:cNvSpPr>
            </xdr:nvSpPr>
            <xdr:spPr bwMode="auto">
              <a:xfrm>
                <a:off x="4019550" y="457200"/>
                <a:ext cx="438150" cy="45719"/>
              </a:xfrm>
              <a:prstGeom prst="rect">
                <a:avLst/>
              </a:prstGeom>
              <a:solidFill>
                <a:srgbClr val="948A54"/>
              </a:solidFill>
              <a:ln w="9525" algn="ctr">
                <a:solidFill>
                  <a:srgbClr val="000000"/>
                </a:solidFill>
                <a:round/>
                <a:headEnd/>
                <a:tailEnd/>
              </a:ln>
            </xdr:spPr>
          </xdr:sp>
          <xdr:grpSp>
            <xdr:nvGrpSpPr>
              <xdr:cNvPr id="870907" name="Groupe 79">
                <a:extLst>
                  <a:ext uri="{FF2B5EF4-FFF2-40B4-BE49-F238E27FC236}">
                    <a16:creationId xmlns="" xmlns:a16="http://schemas.microsoft.com/office/drawing/2014/main" id="{00000000-0008-0000-2900-0000FB490D00}"/>
                  </a:ext>
                </a:extLst>
              </xdr:cNvPr>
              <xdr:cNvGrpSpPr>
                <a:grpSpLocks/>
              </xdr:cNvGrpSpPr>
            </xdr:nvGrpSpPr>
            <xdr:grpSpPr bwMode="auto">
              <a:xfrm>
                <a:off x="2606364" y="485775"/>
                <a:ext cx="3584886" cy="4734983"/>
                <a:chOff x="2606364" y="485775"/>
                <a:chExt cx="3584886" cy="4734983"/>
              </a:xfrm>
            </xdr:grpSpPr>
            <xdr:sp macro="" textlink="">
              <xdr:nvSpPr>
                <xdr:cNvPr id="870908" name="Rectangle 443" descr="Diagonal brick">
                  <a:extLst>
                    <a:ext uri="{FF2B5EF4-FFF2-40B4-BE49-F238E27FC236}">
                      <a16:creationId xmlns="" xmlns:a16="http://schemas.microsoft.com/office/drawing/2014/main" id="{00000000-0008-0000-2900-0000FC490D00}"/>
                    </a:ext>
                  </a:extLst>
                </xdr:cNvPr>
                <xdr:cNvSpPr>
                  <a:spLocks noChangeArrowheads="1"/>
                </xdr:cNvSpPr>
              </xdr:nvSpPr>
              <xdr:spPr bwMode="auto">
                <a:xfrm rot="21374481" flipV="1">
                  <a:off x="2606364" y="2608403"/>
                  <a:ext cx="682676" cy="83936"/>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sp macro="" textlink="">
              <xdr:nvSpPr>
                <xdr:cNvPr id="870909" name="Rectangle 443" descr="Diagonal brick">
                  <a:extLst>
                    <a:ext uri="{FF2B5EF4-FFF2-40B4-BE49-F238E27FC236}">
                      <a16:creationId xmlns="" xmlns:a16="http://schemas.microsoft.com/office/drawing/2014/main" id="{00000000-0008-0000-2900-0000FD490D00}"/>
                    </a:ext>
                  </a:extLst>
                </xdr:cNvPr>
                <xdr:cNvSpPr>
                  <a:spLocks noChangeArrowheads="1"/>
                </xdr:cNvSpPr>
              </xdr:nvSpPr>
              <xdr:spPr bwMode="auto">
                <a:xfrm rot="230699" flipV="1">
                  <a:off x="4555266" y="2603698"/>
                  <a:ext cx="639583" cy="89584"/>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sp macro="" textlink="">
              <xdr:nvSpPr>
                <xdr:cNvPr id="870910" name="Rectangle 3">
                  <a:extLst>
                    <a:ext uri="{FF2B5EF4-FFF2-40B4-BE49-F238E27FC236}">
                      <a16:creationId xmlns="" xmlns:a16="http://schemas.microsoft.com/office/drawing/2014/main" id="{00000000-0008-0000-2900-0000FE490D00}"/>
                    </a:ext>
                  </a:extLst>
                </xdr:cNvPr>
                <xdr:cNvSpPr>
                  <a:spLocks noChangeArrowheads="1"/>
                </xdr:cNvSpPr>
              </xdr:nvSpPr>
              <xdr:spPr bwMode="auto">
                <a:xfrm>
                  <a:off x="3219450" y="4524375"/>
                  <a:ext cx="285750" cy="161925"/>
                </a:xfrm>
                <a:prstGeom prst="rect">
                  <a:avLst/>
                </a:prstGeom>
                <a:solidFill>
                  <a:srgbClr val="948A54"/>
                </a:solidFill>
                <a:ln w="9525" algn="ctr">
                  <a:solidFill>
                    <a:srgbClr val="000000"/>
                  </a:solidFill>
                  <a:round/>
                  <a:headEnd/>
                  <a:tailEnd/>
                </a:ln>
              </xdr:spPr>
            </xdr:sp>
            <xdr:sp macro="" textlink="">
              <xdr:nvSpPr>
                <xdr:cNvPr id="870911" name="Rectangle 4">
                  <a:extLst>
                    <a:ext uri="{FF2B5EF4-FFF2-40B4-BE49-F238E27FC236}">
                      <a16:creationId xmlns="" xmlns:a16="http://schemas.microsoft.com/office/drawing/2014/main" id="{00000000-0008-0000-2900-0000FF490D00}"/>
                    </a:ext>
                  </a:extLst>
                </xdr:cNvPr>
                <xdr:cNvSpPr>
                  <a:spLocks noChangeArrowheads="1"/>
                </xdr:cNvSpPr>
              </xdr:nvSpPr>
              <xdr:spPr bwMode="auto">
                <a:xfrm>
                  <a:off x="4267200" y="4533900"/>
                  <a:ext cx="285750" cy="161925"/>
                </a:xfrm>
                <a:prstGeom prst="rect">
                  <a:avLst/>
                </a:prstGeom>
                <a:solidFill>
                  <a:srgbClr val="948A54"/>
                </a:solidFill>
                <a:ln w="9525" algn="ctr">
                  <a:solidFill>
                    <a:srgbClr val="000000"/>
                  </a:solidFill>
                  <a:round/>
                  <a:headEnd/>
                  <a:tailEnd/>
                </a:ln>
              </xdr:spPr>
            </xdr:sp>
            <xdr:sp macro="" textlink="">
              <xdr:nvSpPr>
                <xdr:cNvPr id="870912" name="Rectangle 5">
                  <a:extLst>
                    <a:ext uri="{FF2B5EF4-FFF2-40B4-BE49-F238E27FC236}">
                      <a16:creationId xmlns="" xmlns:a16="http://schemas.microsoft.com/office/drawing/2014/main" id="{00000000-0008-0000-2900-0000004A0D00}"/>
                    </a:ext>
                  </a:extLst>
                </xdr:cNvPr>
                <xdr:cNvSpPr>
                  <a:spLocks noChangeArrowheads="1"/>
                </xdr:cNvSpPr>
              </xdr:nvSpPr>
              <xdr:spPr bwMode="auto">
                <a:xfrm>
                  <a:off x="3257550" y="2495550"/>
                  <a:ext cx="1295399" cy="85725"/>
                </a:xfrm>
                <a:prstGeom prst="rect">
                  <a:avLst/>
                </a:prstGeom>
                <a:solidFill>
                  <a:srgbClr val="948A54"/>
                </a:solidFill>
                <a:ln w="9525" algn="ctr">
                  <a:solidFill>
                    <a:srgbClr val="000000"/>
                  </a:solidFill>
                  <a:round/>
                  <a:headEnd/>
                  <a:tailEnd/>
                </a:ln>
              </xdr:spPr>
            </xdr:sp>
            <xdr:sp macro="" textlink="">
              <xdr:nvSpPr>
                <xdr:cNvPr id="870913" name="Rectangle 390" descr="Horizontal brick">
                  <a:extLst>
                    <a:ext uri="{FF2B5EF4-FFF2-40B4-BE49-F238E27FC236}">
                      <a16:creationId xmlns="" xmlns:a16="http://schemas.microsoft.com/office/drawing/2014/main" id="{00000000-0008-0000-2900-0000014A0D00}"/>
                    </a:ext>
                  </a:extLst>
                </xdr:cNvPr>
                <xdr:cNvSpPr>
                  <a:spLocks noChangeArrowheads="1"/>
                </xdr:cNvSpPr>
              </xdr:nvSpPr>
              <xdr:spPr bwMode="auto">
                <a:xfrm flipH="1">
                  <a:off x="3248023" y="2590800"/>
                  <a:ext cx="180976" cy="1943100"/>
                </a:xfrm>
                <a:prstGeom prst="rect">
                  <a:avLst/>
                </a:prstGeom>
                <a:blipFill dpi="0" rotWithShape="0">
                  <a:blip xmlns:r="http://schemas.openxmlformats.org/officeDocument/2006/relationships" r:embed="rId2"/>
                  <a:srcRect/>
                  <a:tile tx="0" ty="0" sx="100000" sy="100000" flip="none" algn="tl"/>
                </a:blipFill>
                <a:ln w="9525">
                  <a:solidFill>
                    <a:srgbClr val="000000"/>
                  </a:solidFill>
                  <a:miter lim="800000"/>
                  <a:headEnd/>
                  <a:tailEnd/>
                </a:ln>
              </xdr:spPr>
            </xdr:sp>
            <xdr:sp macro="" textlink="">
              <xdr:nvSpPr>
                <xdr:cNvPr id="870914" name="Rectangle 390" descr="Horizontal brick">
                  <a:extLst>
                    <a:ext uri="{FF2B5EF4-FFF2-40B4-BE49-F238E27FC236}">
                      <a16:creationId xmlns="" xmlns:a16="http://schemas.microsoft.com/office/drawing/2014/main" id="{00000000-0008-0000-2900-0000024A0D00}"/>
                    </a:ext>
                  </a:extLst>
                </xdr:cNvPr>
                <xdr:cNvSpPr>
                  <a:spLocks noChangeArrowheads="1"/>
                </xdr:cNvSpPr>
              </xdr:nvSpPr>
              <xdr:spPr bwMode="auto">
                <a:xfrm flipH="1">
                  <a:off x="4362450" y="2590800"/>
                  <a:ext cx="180976" cy="1943100"/>
                </a:xfrm>
                <a:prstGeom prst="rect">
                  <a:avLst/>
                </a:prstGeom>
                <a:blipFill dpi="0" rotWithShape="0">
                  <a:blip xmlns:r="http://schemas.openxmlformats.org/officeDocument/2006/relationships" r:embed="rId2"/>
                  <a:srcRect/>
                  <a:tile tx="0" ty="0" sx="100000" sy="100000" flip="none" algn="tl"/>
                </a:blipFill>
                <a:ln w="9525">
                  <a:solidFill>
                    <a:srgbClr val="000000"/>
                  </a:solidFill>
                  <a:miter lim="800000"/>
                  <a:headEnd/>
                  <a:tailEnd/>
                </a:ln>
              </xdr:spPr>
            </xdr:sp>
            <xdr:sp macro="" textlink="">
              <xdr:nvSpPr>
                <xdr:cNvPr id="870915" name="Rectangle 433" descr="Sphere">
                  <a:extLst>
                    <a:ext uri="{FF2B5EF4-FFF2-40B4-BE49-F238E27FC236}">
                      <a16:creationId xmlns="" xmlns:a16="http://schemas.microsoft.com/office/drawing/2014/main" id="{00000000-0008-0000-2900-0000034A0D00}"/>
                    </a:ext>
                  </a:extLst>
                </xdr:cNvPr>
                <xdr:cNvSpPr>
                  <a:spLocks noChangeArrowheads="1"/>
                </xdr:cNvSpPr>
              </xdr:nvSpPr>
              <xdr:spPr bwMode="auto">
                <a:xfrm>
                  <a:off x="3505199" y="4572001"/>
                  <a:ext cx="771525" cy="11430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sp macro="" textlink="">
              <xdr:nvSpPr>
                <xdr:cNvPr id="870916" name="Rectangle 15">
                  <a:extLst>
                    <a:ext uri="{FF2B5EF4-FFF2-40B4-BE49-F238E27FC236}">
                      <a16:creationId xmlns="" xmlns:a16="http://schemas.microsoft.com/office/drawing/2014/main" id="{00000000-0008-0000-2900-0000044A0D00}"/>
                    </a:ext>
                  </a:extLst>
                </xdr:cNvPr>
                <xdr:cNvSpPr>
                  <a:spLocks noChangeArrowheads="1"/>
                </xdr:cNvSpPr>
              </xdr:nvSpPr>
              <xdr:spPr bwMode="auto">
                <a:xfrm>
                  <a:off x="4352926" y="4114801"/>
                  <a:ext cx="190500" cy="95250"/>
                </a:xfrm>
                <a:prstGeom prst="rect">
                  <a:avLst/>
                </a:prstGeom>
                <a:solidFill>
                  <a:srgbClr val="FFFFFF"/>
                </a:solidFill>
                <a:ln w="9525" algn="ctr">
                  <a:solidFill>
                    <a:srgbClr val="000000"/>
                  </a:solidFill>
                  <a:round/>
                  <a:headEnd/>
                  <a:tailEnd/>
                </a:ln>
              </xdr:spPr>
            </xdr:sp>
            <xdr:sp macro="" textlink="">
              <xdr:nvSpPr>
                <xdr:cNvPr id="870917" name="Rectangle 16">
                  <a:extLst>
                    <a:ext uri="{FF2B5EF4-FFF2-40B4-BE49-F238E27FC236}">
                      <a16:creationId xmlns="" xmlns:a16="http://schemas.microsoft.com/office/drawing/2014/main" id="{00000000-0008-0000-2900-0000054A0D00}"/>
                    </a:ext>
                  </a:extLst>
                </xdr:cNvPr>
                <xdr:cNvSpPr>
                  <a:spLocks noChangeArrowheads="1"/>
                </xdr:cNvSpPr>
              </xdr:nvSpPr>
              <xdr:spPr bwMode="auto">
                <a:xfrm>
                  <a:off x="4362450" y="3781425"/>
                  <a:ext cx="190500" cy="95250"/>
                </a:xfrm>
                <a:prstGeom prst="rect">
                  <a:avLst/>
                </a:prstGeom>
                <a:solidFill>
                  <a:srgbClr val="FFFFFF"/>
                </a:solidFill>
                <a:ln w="9525" algn="ctr">
                  <a:solidFill>
                    <a:srgbClr val="000000"/>
                  </a:solidFill>
                  <a:round/>
                  <a:headEnd/>
                  <a:tailEnd/>
                </a:ln>
              </xdr:spPr>
            </xdr:sp>
            <xdr:sp macro="" textlink="">
              <xdr:nvSpPr>
                <xdr:cNvPr id="870918" name="Rectangle 17">
                  <a:extLst>
                    <a:ext uri="{FF2B5EF4-FFF2-40B4-BE49-F238E27FC236}">
                      <a16:creationId xmlns="" xmlns:a16="http://schemas.microsoft.com/office/drawing/2014/main" id="{00000000-0008-0000-2900-0000064A0D00}"/>
                    </a:ext>
                  </a:extLst>
                </xdr:cNvPr>
                <xdr:cNvSpPr>
                  <a:spLocks noChangeArrowheads="1"/>
                </xdr:cNvSpPr>
              </xdr:nvSpPr>
              <xdr:spPr bwMode="auto">
                <a:xfrm>
                  <a:off x="3228975" y="4114800"/>
                  <a:ext cx="190500" cy="95250"/>
                </a:xfrm>
                <a:prstGeom prst="rect">
                  <a:avLst/>
                </a:prstGeom>
                <a:solidFill>
                  <a:srgbClr val="FFFFFF"/>
                </a:solidFill>
                <a:ln w="9525" algn="ctr">
                  <a:solidFill>
                    <a:srgbClr val="000000"/>
                  </a:solidFill>
                  <a:round/>
                  <a:headEnd/>
                  <a:tailEnd/>
                </a:ln>
              </xdr:spPr>
            </xdr:sp>
            <xdr:sp macro="" textlink="">
              <xdr:nvSpPr>
                <xdr:cNvPr id="870919" name="Rectangle 18">
                  <a:extLst>
                    <a:ext uri="{FF2B5EF4-FFF2-40B4-BE49-F238E27FC236}">
                      <a16:creationId xmlns="" xmlns:a16="http://schemas.microsoft.com/office/drawing/2014/main" id="{00000000-0008-0000-2900-0000074A0D00}"/>
                    </a:ext>
                  </a:extLst>
                </xdr:cNvPr>
                <xdr:cNvSpPr>
                  <a:spLocks noChangeArrowheads="1"/>
                </xdr:cNvSpPr>
              </xdr:nvSpPr>
              <xdr:spPr bwMode="auto">
                <a:xfrm>
                  <a:off x="3248025" y="3781425"/>
                  <a:ext cx="190500" cy="95250"/>
                </a:xfrm>
                <a:prstGeom prst="rect">
                  <a:avLst/>
                </a:prstGeom>
                <a:solidFill>
                  <a:srgbClr val="FFFFFF"/>
                </a:solidFill>
                <a:ln w="9525" algn="ctr">
                  <a:solidFill>
                    <a:srgbClr val="000000"/>
                  </a:solidFill>
                  <a:round/>
                  <a:headEnd/>
                  <a:tailEnd/>
                </a:ln>
              </xdr:spPr>
            </xdr:sp>
            <xdr:sp macro="" textlink="">
              <xdr:nvSpPr>
                <xdr:cNvPr id="870920" name="Rectangle 19">
                  <a:extLst>
                    <a:ext uri="{FF2B5EF4-FFF2-40B4-BE49-F238E27FC236}">
                      <a16:creationId xmlns="" xmlns:a16="http://schemas.microsoft.com/office/drawing/2014/main" id="{00000000-0008-0000-2900-0000084A0D00}"/>
                    </a:ext>
                  </a:extLst>
                </xdr:cNvPr>
                <xdr:cNvSpPr>
                  <a:spLocks noChangeArrowheads="1"/>
                </xdr:cNvSpPr>
              </xdr:nvSpPr>
              <xdr:spPr bwMode="auto">
                <a:xfrm>
                  <a:off x="3257550" y="3295650"/>
                  <a:ext cx="190500" cy="95250"/>
                </a:xfrm>
                <a:prstGeom prst="rect">
                  <a:avLst/>
                </a:prstGeom>
                <a:solidFill>
                  <a:srgbClr val="FFFFFF"/>
                </a:solidFill>
                <a:ln w="9525" algn="ctr">
                  <a:solidFill>
                    <a:srgbClr val="000000"/>
                  </a:solidFill>
                  <a:round/>
                  <a:headEnd/>
                  <a:tailEnd/>
                </a:ln>
              </xdr:spPr>
            </xdr:sp>
            <xdr:sp macro="" textlink="">
              <xdr:nvSpPr>
                <xdr:cNvPr id="870921" name="Rectangle 20">
                  <a:extLst>
                    <a:ext uri="{FF2B5EF4-FFF2-40B4-BE49-F238E27FC236}">
                      <a16:creationId xmlns="" xmlns:a16="http://schemas.microsoft.com/office/drawing/2014/main" id="{00000000-0008-0000-2900-0000094A0D00}"/>
                    </a:ext>
                  </a:extLst>
                </xdr:cNvPr>
                <xdr:cNvSpPr>
                  <a:spLocks noChangeArrowheads="1"/>
                </xdr:cNvSpPr>
              </xdr:nvSpPr>
              <xdr:spPr bwMode="auto">
                <a:xfrm>
                  <a:off x="4371975" y="2981325"/>
                  <a:ext cx="190500" cy="95250"/>
                </a:xfrm>
                <a:prstGeom prst="rect">
                  <a:avLst/>
                </a:prstGeom>
                <a:solidFill>
                  <a:srgbClr val="FFFFFF"/>
                </a:solidFill>
                <a:ln w="9525" algn="ctr">
                  <a:solidFill>
                    <a:srgbClr val="000000"/>
                  </a:solidFill>
                  <a:round/>
                  <a:headEnd/>
                  <a:tailEnd/>
                </a:ln>
              </xdr:spPr>
            </xdr:sp>
            <xdr:sp macro="" textlink="">
              <xdr:nvSpPr>
                <xdr:cNvPr id="870922" name="Rectangle 21">
                  <a:extLst>
                    <a:ext uri="{FF2B5EF4-FFF2-40B4-BE49-F238E27FC236}">
                      <a16:creationId xmlns="" xmlns:a16="http://schemas.microsoft.com/office/drawing/2014/main" id="{00000000-0008-0000-2900-00000A4A0D00}"/>
                    </a:ext>
                  </a:extLst>
                </xdr:cNvPr>
                <xdr:cNvSpPr>
                  <a:spLocks noChangeArrowheads="1"/>
                </xdr:cNvSpPr>
              </xdr:nvSpPr>
              <xdr:spPr bwMode="auto">
                <a:xfrm>
                  <a:off x="4362450" y="3314700"/>
                  <a:ext cx="190500" cy="95250"/>
                </a:xfrm>
                <a:prstGeom prst="rect">
                  <a:avLst/>
                </a:prstGeom>
                <a:solidFill>
                  <a:srgbClr val="FFFFFF"/>
                </a:solidFill>
                <a:ln w="9525" algn="ctr">
                  <a:solidFill>
                    <a:srgbClr val="000000"/>
                  </a:solidFill>
                  <a:round/>
                  <a:headEnd/>
                  <a:tailEnd/>
                </a:ln>
              </xdr:spPr>
            </xdr:sp>
            <xdr:sp macro="" textlink="">
              <xdr:nvSpPr>
                <xdr:cNvPr id="870923" name="Rectangle 22">
                  <a:extLst>
                    <a:ext uri="{FF2B5EF4-FFF2-40B4-BE49-F238E27FC236}">
                      <a16:creationId xmlns="" xmlns:a16="http://schemas.microsoft.com/office/drawing/2014/main" id="{00000000-0008-0000-2900-00000B4A0D00}"/>
                    </a:ext>
                  </a:extLst>
                </xdr:cNvPr>
                <xdr:cNvSpPr>
                  <a:spLocks noChangeArrowheads="1"/>
                </xdr:cNvSpPr>
              </xdr:nvSpPr>
              <xdr:spPr bwMode="auto">
                <a:xfrm>
                  <a:off x="3238500" y="2971800"/>
                  <a:ext cx="190500" cy="95250"/>
                </a:xfrm>
                <a:prstGeom prst="rect">
                  <a:avLst/>
                </a:prstGeom>
                <a:solidFill>
                  <a:srgbClr val="FFFFFF"/>
                </a:solidFill>
                <a:ln w="9525" algn="ctr">
                  <a:solidFill>
                    <a:srgbClr val="000000"/>
                  </a:solidFill>
                  <a:round/>
                  <a:headEnd/>
                  <a:tailEnd/>
                </a:ln>
              </xdr:spPr>
            </xdr:sp>
            <xdr:sp macro="" textlink="">
              <xdr:nvSpPr>
                <xdr:cNvPr id="870924" name="Rectangle 23">
                  <a:extLst>
                    <a:ext uri="{FF2B5EF4-FFF2-40B4-BE49-F238E27FC236}">
                      <a16:creationId xmlns="" xmlns:a16="http://schemas.microsoft.com/office/drawing/2014/main" id="{00000000-0008-0000-2900-00000C4A0D00}"/>
                    </a:ext>
                  </a:extLst>
                </xdr:cNvPr>
                <xdr:cNvSpPr>
                  <a:spLocks noChangeArrowheads="1"/>
                </xdr:cNvSpPr>
              </xdr:nvSpPr>
              <xdr:spPr bwMode="auto">
                <a:xfrm>
                  <a:off x="3562350" y="2466975"/>
                  <a:ext cx="342900" cy="114300"/>
                </a:xfrm>
                <a:prstGeom prst="rect">
                  <a:avLst/>
                </a:prstGeom>
                <a:solidFill>
                  <a:srgbClr val="77933C"/>
                </a:solidFill>
                <a:ln w="9525" algn="ctr">
                  <a:solidFill>
                    <a:srgbClr val="000000"/>
                  </a:solidFill>
                  <a:round/>
                  <a:headEnd/>
                  <a:tailEnd/>
                </a:ln>
              </xdr:spPr>
            </xdr:sp>
            <xdr:cxnSp macro="">
              <xdr:nvCxnSpPr>
                <xdr:cNvPr id="870925" name="Connecteur droit avec flèche 32">
                  <a:extLst>
                    <a:ext uri="{FF2B5EF4-FFF2-40B4-BE49-F238E27FC236}">
                      <a16:creationId xmlns="" xmlns:a16="http://schemas.microsoft.com/office/drawing/2014/main" id="{00000000-0008-0000-2900-00000D4A0D00}"/>
                    </a:ext>
                  </a:extLst>
                </xdr:cNvPr>
                <xdr:cNvCxnSpPr>
                  <a:cxnSpLocks noChangeShapeType="1"/>
                </xdr:cNvCxnSpPr>
              </xdr:nvCxnSpPr>
              <xdr:spPr bwMode="auto">
                <a:xfrm rot="5400000" flipH="1" flipV="1">
                  <a:off x="5114925" y="3638551"/>
                  <a:ext cx="2143125" cy="9525"/>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28" name="Rectangle à coins arrondis 27">
                  <a:extLst>
                    <a:ext uri="{FF2B5EF4-FFF2-40B4-BE49-F238E27FC236}">
                      <a16:creationId xmlns="" xmlns:a16="http://schemas.microsoft.com/office/drawing/2014/main" id="{00000000-0008-0000-2900-00001C000000}"/>
                    </a:ext>
                  </a:extLst>
                </xdr:cNvPr>
                <xdr:cNvSpPr/>
              </xdr:nvSpPr>
              <xdr:spPr bwMode="auto">
                <a:xfrm>
                  <a:off x="5790347" y="3294603"/>
                  <a:ext cx="313750" cy="668835"/>
                </a:xfrm>
                <a:prstGeom prst="roundRect">
                  <a:avLst/>
                </a:prstGeom>
                <a:solidFill>
                  <a:srgbClr val="FFFFFF"/>
                </a:solidFill>
                <a:ln w="0" cap="flat" cmpd="sng" algn="ctr">
                  <a:solidFill>
                    <a:schemeClr val="bg1"/>
                  </a:solidFill>
                  <a:prstDash val="solid"/>
                  <a:round/>
                  <a:headEnd type="none" w="med" len="med"/>
                  <a:tailEnd type="none" w="med" len="med"/>
                </a:ln>
                <a:effectLst/>
              </xdr:spPr>
              <xdr:txBody>
                <a:bodyPr vertOverflow="clip" vert="vert270" wrap="square" lIns="18288" tIns="0" rIns="0" bIns="0" rtlCol="0" anchor="ctr" upright="1"/>
                <a:lstStyle/>
                <a:p>
                  <a:pPr algn="ctr"/>
                  <a:r>
                    <a:rPr lang="fr-FR" sz="1100"/>
                    <a:t>300cm</a:t>
                  </a:r>
                </a:p>
              </xdr:txBody>
            </xdr:sp>
            <xdr:sp macro="" textlink="">
              <xdr:nvSpPr>
                <xdr:cNvPr id="29" name="Rectangle à coins arrondis 28">
                  <a:extLst>
                    <a:ext uri="{FF2B5EF4-FFF2-40B4-BE49-F238E27FC236}">
                      <a16:creationId xmlns="" xmlns:a16="http://schemas.microsoft.com/office/drawing/2014/main" id="{00000000-0008-0000-2900-00001D000000}"/>
                    </a:ext>
                  </a:extLst>
                </xdr:cNvPr>
                <xdr:cNvSpPr/>
              </xdr:nvSpPr>
              <xdr:spPr bwMode="auto">
                <a:xfrm>
                  <a:off x="3326827" y="4844499"/>
                  <a:ext cx="1109746" cy="379435"/>
                </a:xfrm>
                <a:prstGeom prst="roundRect">
                  <a:avLst/>
                </a:prstGeom>
                <a:solidFill>
                  <a:srgbClr val="FFFFFF"/>
                </a:solidFill>
                <a:ln w="0"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ctr"/>
                  <a:r>
                    <a:rPr lang="fr-FR" sz="1100"/>
                    <a:t>Coupe MN</a:t>
                  </a:r>
                </a:p>
              </xdr:txBody>
            </xdr:sp>
            <xdr:grpSp>
              <xdr:nvGrpSpPr>
                <xdr:cNvPr id="870928" name="Groupe 78">
                  <a:extLst>
                    <a:ext uri="{FF2B5EF4-FFF2-40B4-BE49-F238E27FC236}">
                      <a16:creationId xmlns="" xmlns:a16="http://schemas.microsoft.com/office/drawing/2014/main" id="{00000000-0008-0000-2900-0000104A0D00}"/>
                    </a:ext>
                  </a:extLst>
                </xdr:cNvPr>
                <xdr:cNvGrpSpPr>
                  <a:grpSpLocks/>
                </xdr:cNvGrpSpPr>
              </xdr:nvGrpSpPr>
              <xdr:grpSpPr bwMode="auto">
                <a:xfrm>
                  <a:off x="4124324" y="485775"/>
                  <a:ext cx="1619251" cy="2485207"/>
                  <a:chOff x="4124324" y="485775"/>
                  <a:chExt cx="1619251" cy="2485207"/>
                </a:xfrm>
              </xdr:grpSpPr>
              <xdr:sp macro="" textlink="">
                <xdr:nvSpPr>
                  <xdr:cNvPr id="870929" name="Rectangle 390" descr="Horizontal brick">
                    <a:extLst>
                      <a:ext uri="{FF2B5EF4-FFF2-40B4-BE49-F238E27FC236}">
                        <a16:creationId xmlns="" xmlns:a16="http://schemas.microsoft.com/office/drawing/2014/main" id="{00000000-0008-0000-2900-0000114A0D00}"/>
                      </a:ext>
                    </a:extLst>
                  </xdr:cNvPr>
                  <xdr:cNvSpPr>
                    <a:spLocks noChangeArrowheads="1"/>
                  </xdr:cNvSpPr>
                </xdr:nvSpPr>
                <xdr:spPr bwMode="auto">
                  <a:xfrm flipH="1">
                    <a:off x="4124324" y="514351"/>
                    <a:ext cx="238126" cy="1981200"/>
                  </a:xfrm>
                  <a:prstGeom prst="rect">
                    <a:avLst/>
                  </a:prstGeom>
                  <a:blipFill dpi="0" rotWithShape="0">
                    <a:blip xmlns:r="http://schemas.openxmlformats.org/officeDocument/2006/relationships" r:embed="rId2"/>
                    <a:srcRect/>
                    <a:tile tx="0" ty="0" sx="100000" sy="100000" flip="none" algn="tl"/>
                  </a:blipFill>
                  <a:ln w="9525">
                    <a:solidFill>
                      <a:srgbClr val="000000"/>
                    </a:solidFill>
                    <a:miter lim="800000"/>
                    <a:headEnd/>
                    <a:tailEnd/>
                  </a:ln>
                </xdr:spPr>
              </xdr:sp>
              <xdr:cxnSp macro="">
                <xdr:nvCxnSpPr>
                  <xdr:cNvPr id="870930" name="Connecteur droit avec flèche 68">
                    <a:extLst>
                      <a:ext uri="{FF2B5EF4-FFF2-40B4-BE49-F238E27FC236}">
                        <a16:creationId xmlns="" xmlns:a16="http://schemas.microsoft.com/office/drawing/2014/main" id="{00000000-0008-0000-2900-0000124A0D00}"/>
                      </a:ext>
                    </a:extLst>
                  </xdr:cNvPr>
                  <xdr:cNvCxnSpPr>
                    <a:cxnSpLocks noChangeShapeType="1"/>
                  </xdr:cNvCxnSpPr>
                </xdr:nvCxnSpPr>
                <xdr:spPr bwMode="auto">
                  <a:xfrm rot="5400000" flipH="1" flipV="1">
                    <a:off x="5544705" y="2693406"/>
                    <a:ext cx="225772" cy="521"/>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xnSp macro="">
                <xdr:nvCxnSpPr>
                  <xdr:cNvPr id="870931" name="Connecteur droit 71">
                    <a:extLst>
                      <a:ext uri="{FF2B5EF4-FFF2-40B4-BE49-F238E27FC236}">
                        <a16:creationId xmlns="" xmlns:a16="http://schemas.microsoft.com/office/drawing/2014/main" id="{00000000-0008-0000-2900-0000134A0D00}"/>
                      </a:ext>
                    </a:extLst>
                  </xdr:cNvPr>
                  <xdr:cNvCxnSpPr>
                    <a:cxnSpLocks noChangeShapeType="1"/>
                  </xdr:cNvCxnSpPr>
                </xdr:nvCxnSpPr>
                <xdr:spPr bwMode="auto">
                  <a:xfrm>
                    <a:off x="5591175" y="2580824"/>
                    <a:ext cx="152400" cy="1588"/>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870932" name="Connecteur droit avec flèche 74">
                    <a:extLst>
                      <a:ext uri="{FF2B5EF4-FFF2-40B4-BE49-F238E27FC236}">
                        <a16:creationId xmlns="" xmlns:a16="http://schemas.microsoft.com/office/drawing/2014/main" id="{00000000-0008-0000-2900-0000144A0D00}"/>
                      </a:ext>
                    </a:extLst>
                  </xdr:cNvPr>
                  <xdr:cNvCxnSpPr>
                    <a:cxnSpLocks noChangeShapeType="1"/>
                  </xdr:cNvCxnSpPr>
                </xdr:nvCxnSpPr>
                <xdr:spPr bwMode="auto">
                  <a:xfrm rot="5400000" flipH="1" flipV="1">
                    <a:off x="4620491" y="1532150"/>
                    <a:ext cx="2093259" cy="51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35" name="Rectangle à coins arrondis 34">
                    <a:extLst>
                      <a:ext uri="{FF2B5EF4-FFF2-40B4-BE49-F238E27FC236}">
                        <a16:creationId xmlns="" xmlns:a16="http://schemas.microsoft.com/office/drawing/2014/main" id="{00000000-0008-0000-2900-000023000000}"/>
                      </a:ext>
                    </a:extLst>
                  </xdr:cNvPr>
                  <xdr:cNvSpPr/>
                </xdr:nvSpPr>
                <xdr:spPr bwMode="auto">
                  <a:xfrm>
                    <a:off x="5250000" y="1108027"/>
                    <a:ext cx="325371" cy="688128"/>
                  </a:xfrm>
                  <a:prstGeom prst="roundRect">
                    <a:avLst/>
                  </a:prstGeom>
                  <a:solidFill>
                    <a:srgbClr val="FFFFFF"/>
                  </a:solidFill>
                  <a:ln w="0" cap="flat" cmpd="sng" algn="ctr">
                    <a:solidFill>
                      <a:schemeClr val="bg1"/>
                    </a:solidFill>
                    <a:prstDash val="solid"/>
                    <a:round/>
                    <a:headEnd type="none" w="med" len="med"/>
                    <a:tailEnd type="none" w="med" len="med"/>
                  </a:ln>
                  <a:effectLst/>
                </xdr:spPr>
                <xdr:txBody>
                  <a:bodyPr vertOverflow="clip" vert="vert270" wrap="square" lIns="18288" tIns="0" rIns="0" bIns="0" rtlCol="0" anchor="ctr" upright="1"/>
                  <a:lstStyle/>
                  <a:p>
                    <a:pPr algn="ctr"/>
                    <a:r>
                      <a:rPr lang="fr-FR" sz="1100"/>
                      <a:t>300cm</a:t>
                    </a:r>
                  </a:p>
                </xdr:txBody>
              </xdr:sp>
              <xdr:sp macro="" textlink="">
                <xdr:nvSpPr>
                  <xdr:cNvPr id="36" name="Rectangle à coins arrondis 35">
                    <a:extLst>
                      <a:ext uri="{FF2B5EF4-FFF2-40B4-BE49-F238E27FC236}">
                        <a16:creationId xmlns="" xmlns:a16="http://schemas.microsoft.com/office/drawing/2014/main" id="{00000000-0008-0000-2900-000024000000}"/>
                      </a:ext>
                    </a:extLst>
                  </xdr:cNvPr>
                  <xdr:cNvSpPr/>
                </xdr:nvSpPr>
                <xdr:spPr bwMode="auto">
                  <a:xfrm>
                    <a:off x="5337153" y="2535733"/>
                    <a:ext cx="307940" cy="398729"/>
                  </a:xfrm>
                  <a:prstGeom prst="roundRect">
                    <a:avLst/>
                  </a:prstGeom>
                  <a:solidFill>
                    <a:srgbClr val="FFFFFF"/>
                  </a:solidFill>
                  <a:ln w="0" cap="flat" cmpd="sng" algn="ctr">
                    <a:solidFill>
                      <a:schemeClr val="bg1"/>
                    </a:solidFill>
                    <a:prstDash val="solid"/>
                    <a:round/>
                    <a:headEnd type="none" w="med" len="med"/>
                    <a:tailEnd type="none" w="med" len="med"/>
                  </a:ln>
                  <a:effectLst/>
                </xdr:spPr>
                <xdr:txBody>
                  <a:bodyPr vertOverflow="clip" vert="vert270" wrap="square" lIns="18288" tIns="0" rIns="0" bIns="0" rtlCol="0" anchor="ctr" upright="1"/>
                  <a:lstStyle/>
                  <a:p>
                    <a:pPr algn="ctr"/>
                    <a:r>
                      <a:rPr lang="fr-FR" sz="1100"/>
                      <a:t>10cm</a:t>
                    </a:r>
                  </a:p>
                </xdr:txBody>
              </xdr:sp>
            </xdr:grpSp>
          </xdr:grpSp>
        </xdr:grpSp>
      </xdr:grpSp>
    </xdr:grpSp>
    <xdr:clientData/>
  </xdr:twoCellAnchor>
  <xdr:twoCellAnchor>
    <xdr:from>
      <xdr:col>14</xdr:col>
      <xdr:colOff>95250</xdr:colOff>
      <xdr:row>14</xdr:row>
      <xdr:rowOff>114300</xdr:rowOff>
    </xdr:from>
    <xdr:to>
      <xdr:col>19</xdr:col>
      <xdr:colOff>19050</xdr:colOff>
      <xdr:row>14</xdr:row>
      <xdr:rowOff>114300</xdr:rowOff>
    </xdr:to>
    <xdr:cxnSp macro="">
      <xdr:nvCxnSpPr>
        <xdr:cNvPr id="870891" name="Connecteur droit avec flèche 61">
          <a:extLst>
            <a:ext uri="{FF2B5EF4-FFF2-40B4-BE49-F238E27FC236}">
              <a16:creationId xmlns="" xmlns:a16="http://schemas.microsoft.com/office/drawing/2014/main" id="{00000000-0008-0000-2900-0000EB490D00}"/>
            </a:ext>
          </a:extLst>
        </xdr:cNvPr>
        <xdr:cNvCxnSpPr>
          <a:cxnSpLocks noChangeShapeType="1"/>
        </xdr:cNvCxnSpPr>
      </xdr:nvCxnSpPr>
      <xdr:spPr bwMode="auto">
        <a:xfrm flipV="1">
          <a:off x="2584450" y="2374900"/>
          <a:ext cx="8128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15</xdr:col>
      <xdr:colOff>78740</xdr:colOff>
      <xdr:row>13</xdr:row>
      <xdr:rowOff>84456</xdr:rowOff>
    </xdr:from>
    <xdr:to>
      <xdr:col>18</xdr:col>
      <xdr:colOff>117453</xdr:colOff>
      <xdr:row>15</xdr:row>
      <xdr:rowOff>2728</xdr:rowOff>
    </xdr:to>
    <xdr:sp macro="" textlink="">
      <xdr:nvSpPr>
        <xdr:cNvPr id="63" name="Rectangle à coins arrondis 62">
          <a:extLst>
            <a:ext uri="{FF2B5EF4-FFF2-40B4-BE49-F238E27FC236}">
              <a16:creationId xmlns="" xmlns:a16="http://schemas.microsoft.com/office/drawing/2014/main" id="{00000000-0008-0000-2900-00003F000000}"/>
            </a:ext>
          </a:extLst>
        </xdr:cNvPr>
        <xdr:cNvSpPr/>
      </xdr:nvSpPr>
      <xdr:spPr bwMode="auto">
        <a:xfrm>
          <a:off x="3019425" y="2209801"/>
          <a:ext cx="571500" cy="247650"/>
        </a:xfrm>
        <a:prstGeom prst="roundRect">
          <a:avLst/>
        </a:prstGeom>
        <a:noFill/>
        <a:ln w="0"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fr-FR" sz="1100"/>
            <a:t>60cm</a:t>
          </a:r>
        </a:p>
      </xdr:txBody>
    </xdr:sp>
    <xdr:clientData/>
  </xdr:twoCellAnchor>
  <xdr:twoCellAnchor>
    <xdr:from>
      <xdr:col>27</xdr:col>
      <xdr:colOff>79375</xdr:colOff>
      <xdr:row>5</xdr:row>
      <xdr:rowOff>19683</xdr:rowOff>
    </xdr:from>
    <xdr:to>
      <xdr:col>31</xdr:col>
      <xdr:colOff>35731</xdr:colOff>
      <xdr:row>13</xdr:row>
      <xdr:rowOff>2072</xdr:rowOff>
    </xdr:to>
    <xdr:sp macro="" textlink="">
      <xdr:nvSpPr>
        <xdr:cNvPr id="64" name="Rectangle à coins arrondis 63">
          <a:extLst>
            <a:ext uri="{FF2B5EF4-FFF2-40B4-BE49-F238E27FC236}">
              <a16:creationId xmlns="" xmlns:a16="http://schemas.microsoft.com/office/drawing/2014/main" id="{00000000-0008-0000-2900-000040000000}"/>
            </a:ext>
          </a:extLst>
        </xdr:cNvPr>
        <xdr:cNvSpPr/>
      </xdr:nvSpPr>
      <xdr:spPr bwMode="auto">
        <a:xfrm rot="16200000">
          <a:off x="4881562" y="1128711"/>
          <a:ext cx="1276351" cy="676276"/>
        </a:xfrm>
        <a:prstGeom prst="roundRect">
          <a:avLst/>
        </a:prstGeom>
        <a:noFill/>
        <a:ln w="0" cap="flat" cmpd="sng" algn="ctr">
          <a:noFill/>
          <a:prstDash val="solid"/>
          <a:round/>
          <a:headEnd type="none" w="med" len="med"/>
          <a:tailEnd type="none" w="med" len="med"/>
        </a:ln>
        <a:effectLst/>
      </xdr:spPr>
      <xdr:txBody>
        <a:bodyPr vertOverflow="clip" vert="vert270" wrap="square" lIns="18288" tIns="0" rIns="0" bIns="0" rtlCol="0" anchor="t" upright="1"/>
        <a:lstStyle/>
        <a:p>
          <a:pPr algn="ctr"/>
          <a:r>
            <a:rPr lang="fr-FR" sz="1100" b="1"/>
            <a:t>Trottoir</a:t>
          </a:r>
          <a:r>
            <a:rPr lang="fr-FR" sz="1100" b="1" baseline="0"/>
            <a:t> en briques et fini par un mortier de ciment</a:t>
          </a:r>
          <a:endParaRPr lang="fr-FR" sz="1100" b="1"/>
        </a:p>
      </xdr:txBody>
    </xdr:sp>
    <xdr:clientData/>
  </xdr:twoCellAnchor>
  <xdr:twoCellAnchor>
    <xdr:from>
      <xdr:col>27</xdr:col>
      <xdr:colOff>114300</xdr:colOff>
      <xdr:row>11</xdr:row>
      <xdr:rowOff>114300</xdr:rowOff>
    </xdr:from>
    <xdr:to>
      <xdr:col>29</xdr:col>
      <xdr:colOff>57150</xdr:colOff>
      <xdr:row>15</xdr:row>
      <xdr:rowOff>107950</xdr:rowOff>
    </xdr:to>
    <xdr:cxnSp macro="">
      <xdr:nvCxnSpPr>
        <xdr:cNvPr id="870894" name="Connecteur droit avec flèche 64">
          <a:extLst>
            <a:ext uri="{FF2B5EF4-FFF2-40B4-BE49-F238E27FC236}">
              <a16:creationId xmlns="" xmlns:a16="http://schemas.microsoft.com/office/drawing/2014/main" id="{00000000-0008-0000-2900-0000EE490D00}"/>
            </a:ext>
          </a:extLst>
        </xdr:cNvPr>
        <xdr:cNvCxnSpPr>
          <a:cxnSpLocks noChangeShapeType="1"/>
        </xdr:cNvCxnSpPr>
      </xdr:nvCxnSpPr>
      <xdr:spPr bwMode="auto">
        <a:xfrm rot="5400000" flipH="1" flipV="1">
          <a:off x="4749800" y="2063750"/>
          <a:ext cx="628650" cy="298450"/>
        </a:xfrm>
        <a:prstGeom prst="straightConnector1">
          <a:avLst/>
        </a:prstGeom>
        <a:noFill/>
        <a:ln w="127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20</xdr:col>
      <xdr:colOff>135255</xdr:colOff>
      <xdr:row>15</xdr:row>
      <xdr:rowOff>0</xdr:rowOff>
    </xdr:from>
    <xdr:to>
      <xdr:col>23</xdr:col>
      <xdr:colOff>20662</xdr:colOff>
      <xdr:row>15</xdr:row>
      <xdr:rowOff>35900</xdr:rowOff>
    </xdr:to>
    <xdr:sp macro="" textlink="">
      <xdr:nvSpPr>
        <xdr:cNvPr id="66" name="Triangle isocèle 65">
          <a:extLst>
            <a:ext uri="{FF2B5EF4-FFF2-40B4-BE49-F238E27FC236}">
              <a16:creationId xmlns="" xmlns:a16="http://schemas.microsoft.com/office/drawing/2014/main" id="{00000000-0008-0000-2900-000042000000}"/>
            </a:ext>
          </a:extLst>
        </xdr:cNvPr>
        <xdr:cNvSpPr/>
      </xdr:nvSpPr>
      <xdr:spPr bwMode="auto">
        <a:xfrm>
          <a:off x="3943350" y="2428875"/>
          <a:ext cx="438150" cy="66675"/>
        </a:xfrm>
        <a:prstGeom prst="triangle">
          <a:avLst/>
        </a:prstGeom>
        <a:solidFill>
          <a:schemeClr val="accent3">
            <a:lumMod val="7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15</xdr:col>
      <xdr:colOff>36830</xdr:colOff>
      <xdr:row>7</xdr:row>
      <xdr:rowOff>117475</xdr:rowOff>
    </xdr:from>
    <xdr:to>
      <xdr:col>20</xdr:col>
      <xdr:colOff>96604</xdr:colOff>
      <xdr:row>9</xdr:row>
      <xdr:rowOff>35823</xdr:rowOff>
    </xdr:to>
    <xdr:sp macro="" textlink="">
      <xdr:nvSpPr>
        <xdr:cNvPr id="67" name="Rectangle à coins arrondis 66">
          <a:extLst>
            <a:ext uri="{FF2B5EF4-FFF2-40B4-BE49-F238E27FC236}">
              <a16:creationId xmlns="" xmlns:a16="http://schemas.microsoft.com/office/drawing/2014/main" id="{00000000-0008-0000-2900-000043000000}"/>
            </a:ext>
          </a:extLst>
        </xdr:cNvPr>
        <xdr:cNvSpPr/>
      </xdr:nvSpPr>
      <xdr:spPr bwMode="auto">
        <a:xfrm>
          <a:off x="2952750" y="1276350"/>
          <a:ext cx="952500" cy="247650"/>
        </a:xfrm>
        <a:prstGeom prst="roundRect">
          <a:avLst/>
        </a:prstGeom>
        <a:noFill/>
        <a:ln w="0"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fr-FR" sz="1100"/>
            <a:t>CHEMINEE</a:t>
          </a:r>
        </a:p>
      </xdr:txBody>
    </xdr:sp>
    <xdr:clientData/>
  </xdr:twoCellAnchor>
  <xdr:twoCellAnchor>
    <xdr:from>
      <xdr:col>20</xdr:col>
      <xdr:colOff>0</xdr:colOff>
      <xdr:row>7</xdr:row>
      <xdr:rowOff>0</xdr:rowOff>
    </xdr:from>
    <xdr:to>
      <xdr:col>24</xdr:col>
      <xdr:colOff>76200</xdr:colOff>
      <xdr:row>8</xdr:row>
      <xdr:rowOff>88900</xdr:rowOff>
    </xdr:to>
    <xdr:cxnSp macro="">
      <xdr:nvCxnSpPr>
        <xdr:cNvPr id="870897" name="Connecteur droit avec flèche 67">
          <a:extLst>
            <a:ext uri="{FF2B5EF4-FFF2-40B4-BE49-F238E27FC236}">
              <a16:creationId xmlns="" xmlns:a16="http://schemas.microsoft.com/office/drawing/2014/main" id="{00000000-0008-0000-2900-0000F1490D00}"/>
            </a:ext>
          </a:extLst>
        </xdr:cNvPr>
        <xdr:cNvCxnSpPr>
          <a:cxnSpLocks noChangeShapeType="1"/>
        </xdr:cNvCxnSpPr>
      </xdr:nvCxnSpPr>
      <xdr:spPr bwMode="auto">
        <a:xfrm flipV="1">
          <a:off x="3556000" y="1149350"/>
          <a:ext cx="787400" cy="247650"/>
        </a:xfrm>
        <a:prstGeom prst="straightConnector1">
          <a:avLst/>
        </a:prstGeom>
        <a:noFill/>
        <a:ln w="127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23</xdr:col>
      <xdr:colOff>35560</xdr:colOff>
      <xdr:row>39</xdr:row>
      <xdr:rowOff>117475</xdr:rowOff>
    </xdr:from>
    <xdr:to>
      <xdr:col>26</xdr:col>
      <xdr:colOff>20976</xdr:colOff>
      <xdr:row>41</xdr:row>
      <xdr:rowOff>18873</xdr:rowOff>
    </xdr:to>
    <xdr:sp macro="" textlink="">
      <xdr:nvSpPr>
        <xdr:cNvPr id="69" name="Rectangle à coins arrondis 68">
          <a:extLst>
            <a:ext uri="{FF2B5EF4-FFF2-40B4-BE49-F238E27FC236}">
              <a16:creationId xmlns="" xmlns:a16="http://schemas.microsoft.com/office/drawing/2014/main" id="{00000000-0008-0000-2900-000045000000}"/>
            </a:ext>
          </a:extLst>
        </xdr:cNvPr>
        <xdr:cNvSpPr/>
      </xdr:nvSpPr>
      <xdr:spPr bwMode="auto">
        <a:xfrm>
          <a:off x="4419600" y="6457950"/>
          <a:ext cx="495300" cy="220162"/>
        </a:xfrm>
        <a:prstGeom prst="roundRect">
          <a:avLst/>
        </a:prstGeom>
        <a:noFill/>
        <a:ln w="0"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ctr"/>
          <a:r>
            <a:rPr lang="fr-FR" sz="1100"/>
            <a:t>40cm</a:t>
          </a:r>
        </a:p>
      </xdr:txBody>
    </xdr:sp>
    <xdr:clientData/>
  </xdr:twoCellAnchor>
  <xdr:twoCellAnchor>
    <xdr:from>
      <xdr:col>21</xdr:col>
      <xdr:colOff>35560</xdr:colOff>
      <xdr:row>41</xdr:row>
      <xdr:rowOff>40005</xdr:rowOff>
    </xdr:from>
    <xdr:to>
      <xdr:col>24</xdr:col>
      <xdr:colOff>55864</xdr:colOff>
      <xdr:row>42</xdr:row>
      <xdr:rowOff>76148</xdr:rowOff>
    </xdr:to>
    <xdr:sp macro="" textlink="">
      <xdr:nvSpPr>
        <xdr:cNvPr id="70" name="Rectangle à coins arrondis 69">
          <a:extLst>
            <a:ext uri="{FF2B5EF4-FFF2-40B4-BE49-F238E27FC236}">
              <a16:creationId xmlns="" xmlns:a16="http://schemas.microsoft.com/office/drawing/2014/main" id="{00000000-0008-0000-2900-000046000000}"/>
            </a:ext>
          </a:extLst>
        </xdr:cNvPr>
        <xdr:cNvSpPr/>
      </xdr:nvSpPr>
      <xdr:spPr bwMode="auto">
        <a:xfrm>
          <a:off x="4048125" y="6667500"/>
          <a:ext cx="495300" cy="220162"/>
        </a:xfrm>
        <a:prstGeom prst="roundRect">
          <a:avLst/>
        </a:prstGeom>
        <a:noFill/>
        <a:ln w="0"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ctr"/>
          <a:r>
            <a:rPr lang="fr-FR" sz="1100"/>
            <a:t>40cm</a:t>
          </a:r>
        </a:p>
      </xdr:txBody>
    </xdr:sp>
    <xdr:clientData/>
  </xdr:twoCellAnchor>
  <xdr:twoCellAnchor>
    <xdr:from>
      <xdr:col>15</xdr:col>
      <xdr:colOff>95250</xdr:colOff>
      <xdr:row>11</xdr:row>
      <xdr:rowOff>38100</xdr:rowOff>
    </xdr:from>
    <xdr:to>
      <xdr:col>22</xdr:col>
      <xdr:colOff>0</xdr:colOff>
      <xdr:row>14</xdr:row>
      <xdr:rowOff>133350</xdr:rowOff>
    </xdr:to>
    <xdr:cxnSp macro="">
      <xdr:nvCxnSpPr>
        <xdr:cNvPr id="870900" name="Forme 70">
          <a:extLst>
            <a:ext uri="{FF2B5EF4-FFF2-40B4-BE49-F238E27FC236}">
              <a16:creationId xmlns="" xmlns:a16="http://schemas.microsoft.com/office/drawing/2014/main" id="{00000000-0008-0000-2900-0000F4490D00}"/>
            </a:ext>
          </a:extLst>
        </xdr:cNvPr>
        <xdr:cNvCxnSpPr>
          <a:cxnSpLocks noChangeShapeType="1"/>
        </xdr:cNvCxnSpPr>
      </xdr:nvCxnSpPr>
      <xdr:spPr bwMode="auto">
        <a:xfrm rot="16200000" flipV="1">
          <a:off x="3051175" y="1533525"/>
          <a:ext cx="571500" cy="1149350"/>
        </a:xfrm>
        <a:prstGeom prst="bentConnector2">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8</xdr:col>
      <xdr:colOff>57785</xdr:colOff>
      <xdr:row>9</xdr:row>
      <xdr:rowOff>40006</xdr:rowOff>
    </xdr:from>
    <xdr:to>
      <xdr:col>15</xdr:col>
      <xdr:colOff>72396</xdr:colOff>
      <xdr:row>13</xdr:row>
      <xdr:rowOff>61892</xdr:rowOff>
    </xdr:to>
    <xdr:sp macro="" textlink="">
      <xdr:nvSpPr>
        <xdr:cNvPr id="72" name="Rectangle à coins arrondis 71">
          <a:extLst>
            <a:ext uri="{FF2B5EF4-FFF2-40B4-BE49-F238E27FC236}">
              <a16:creationId xmlns="" xmlns:a16="http://schemas.microsoft.com/office/drawing/2014/main" id="{00000000-0008-0000-2900-000048000000}"/>
            </a:ext>
          </a:extLst>
        </xdr:cNvPr>
        <xdr:cNvSpPr/>
      </xdr:nvSpPr>
      <xdr:spPr bwMode="auto">
        <a:xfrm>
          <a:off x="1685925" y="1485901"/>
          <a:ext cx="1295400" cy="704850"/>
        </a:xfrm>
        <a:prstGeom prst="roundRect">
          <a:avLst/>
        </a:prstGeom>
        <a:noFill/>
        <a:ln w="0"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fr-FR" sz="1100"/>
            <a:t>Trappe</a:t>
          </a:r>
          <a:r>
            <a:rPr lang="fr-FR" sz="1100" baseline="0"/>
            <a:t> metallique 45X45cm</a:t>
          </a:r>
          <a:endParaRPr lang="fr-FR"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64135</xdr:colOff>
      <xdr:row>10</xdr:row>
      <xdr:rowOff>56515</xdr:rowOff>
    </xdr:from>
    <xdr:to>
      <xdr:col>30</xdr:col>
      <xdr:colOff>102234</xdr:colOff>
      <xdr:row>25</xdr:row>
      <xdr:rowOff>84435</xdr:rowOff>
    </xdr:to>
    <xdr:sp macro="" textlink="">
      <xdr:nvSpPr>
        <xdr:cNvPr id="2" name="Rectangle 1">
          <a:extLst>
            <a:ext uri="{FF2B5EF4-FFF2-40B4-BE49-F238E27FC236}">
              <a16:creationId xmlns="" xmlns:a16="http://schemas.microsoft.com/office/drawing/2014/main" id="{00000000-0008-0000-2A00-000002000000}"/>
            </a:ext>
          </a:extLst>
        </xdr:cNvPr>
        <xdr:cNvSpPr/>
      </xdr:nvSpPr>
      <xdr:spPr>
        <a:xfrm>
          <a:off x="2047875" y="1504950"/>
          <a:ext cx="2771775" cy="2162175"/>
        </a:xfrm>
        <a:prstGeom prst="rect">
          <a:avLst/>
        </a:prstGeom>
        <a:blipFill>
          <a:blip xmlns:r="http://schemas.openxmlformats.org/officeDocument/2006/relationships" r:embed="rId1"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27</xdr:col>
      <xdr:colOff>67945</xdr:colOff>
      <xdr:row>12</xdr:row>
      <xdr:rowOff>111128</xdr:rowOff>
    </xdr:from>
    <xdr:to>
      <xdr:col>27</xdr:col>
      <xdr:colOff>67946</xdr:colOff>
      <xdr:row>23</xdr:row>
      <xdr:rowOff>19836</xdr:rowOff>
    </xdr:to>
    <xdr:cxnSp macro="">
      <xdr:nvCxnSpPr>
        <xdr:cNvPr id="3" name="Connecteur droit 2">
          <a:extLst>
            <a:ext uri="{FF2B5EF4-FFF2-40B4-BE49-F238E27FC236}">
              <a16:creationId xmlns="" xmlns:a16="http://schemas.microsoft.com/office/drawing/2014/main" id="{00000000-0008-0000-2A00-000003000000}"/>
            </a:ext>
          </a:extLst>
        </xdr:cNvPr>
        <xdr:cNvCxnSpPr/>
      </xdr:nvCxnSpPr>
      <xdr:spPr>
        <a:xfrm rot="16200000" flipH="1">
          <a:off x="3562353" y="2571750"/>
          <a:ext cx="1447796" cy="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106522</xdr:colOff>
      <xdr:row>23</xdr:row>
      <xdr:rowOff>20478</xdr:rowOff>
    </xdr:from>
    <xdr:to>
      <xdr:col>17</xdr:col>
      <xdr:colOff>100490</xdr:colOff>
      <xdr:row>24</xdr:row>
      <xdr:rowOff>60011</xdr:rowOff>
    </xdr:to>
    <xdr:cxnSp macro="">
      <xdr:nvCxnSpPr>
        <xdr:cNvPr id="4" name="Connecteur droit 3">
          <a:extLst>
            <a:ext uri="{FF2B5EF4-FFF2-40B4-BE49-F238E27FC236}">
              <a16:creationId xmlns="" xmlns:a16="http://schemas.microsoft.com/office/drawing/2014/main" id="{00000000-0008-0000-2A00-000004000000}"/>
            </a:ext>
          </a:extLst>
        </xdr:cNvPr>
        <xdr:cNvCxnSpPr/>
      </xdr:nvCxnSpPr>
      <xdr:spPr>
        <a:xfrm rot="5400000">
          <a:off x="2776538" y="3405187"/>
          <a:ext cx="200025"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67945</xdr:colOff>
      <xdr:row>14</xdr:row>
      <xdr:rowOff>102235</xdr:rowOff>
    </xdr:from>
    <xdr:to>
      <xdr:col>21</xdr:col>
      <xdr:colOff>65224</xdr:colOff>
      <xdr:row>15</xdr:row>
      <xdr:rowOff>80913</xdr:rowOff>
    </xdr:to>
    <xdr:sp macro="" textlink="">
      <xdr:nvSpPr>
        <xdr:cNvPr id="5" name="ZoneTexte 4">
          <a:extLst>
            <a:ext uri="{FF2B5EF4-FFF2-40B4-BE49-F238E27FC236}">
              <a16:creationId xmlns="" xmlns:a16="http://schemas.microsoft.com/office/drawing/2014/main" id="{00000000-0008-0000-2A00-000005000000}"/>
            </a:ext>
          </a:extLst>
        </xdr:cNvPr>
        <xdr:cNvSpPr txBox="1"/>
      </xdr:nvSpPr>
      <xdr:spPr>
        <a:xfrm>
          <a:off x="3209925" y="2095500"/>
          <a:ext cx="219075"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t>1</a:t>
          </a:r>
        </a:p>
      </xdr:txBody>
    </xdr:sp>
    <xdr:clientData/>
  </xdr:twoCellAnchor>
  <xdr:twoCellAnchor>
    <xdr:from>
      <xdr:col>15</xdr:col>
      <xdr:colOff>81756</xdr:colOff>
      <xdr:row>28</xdr:row>
      <xdr:rowOff>75089</xdr:rowOff>
    </xdr:from>
    <xdr:to>
      <xdr:col>15</xdr:col>
      <xdr:colOff>81439</xdr:colOff>
      <xdr:row>29</xdr:row>
      <xdr:rowOff>102501</xdr:rowOff>
    </xdr:to>
    <xdr:cxnSp macro="">
      <xdr:nvCxnSpPr>
        <xdr:cNvPr id="6" name="Connecteur droit 5">
          <a:extLst>
            <a:ext uri="{FF2B5EF4-FFF2-40B4-BE49-F238E27FC236}">
              <a16:creationId xmlns="" xmlns:a16="http://schemas.microsoft.com/office/drawing/2014/main" id="{00000000-0008-0000-2A00-000006000000}"/>
            </a:ext>
          </a:extLst>
        </xdr:cNvPr>
        <xdr:cNvCxnSpPr/>
      </xdr:nvCxnSpPr>
      <xdr:spPr>
        <a:xfrm rot="5400000">
          <a:off x="2428875" y="4181475"/>
          <a:ext cx="190500"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2381</xdr:colOff>
      <xdr:row>28</xdr:row>
      <xdr:rowOff>60484</xdr:rowOff>
    </xdr:from>
    <xdr:to>
      <xdr:col>18</xdr:col>
      <xdr:colOff>6668</xdr:colOff>
      <xdr:row>29</xdr:row>
      <xdr:rowOff>81877</xdr:rowOff>
    </xdr:to>
    <xdr:cxnSp macro="">
      <xdr:nvCxnSpPr>
        <xdr:cNvPr id="7" name="Connecteur droit 6">
          <a:extLst>
            <a:ext uri="{FF2B5EF4-FFF2-40B4-BE49-F238E27FC236}">
              <a16:creationId xmlns="" xmlns:a16="http://schemas.microsoft.com/office/drawing/2014/main" id="{00000000-0008-0000-2A00-000007000000}"/>
            </a:ext>
          </a:extLst>
        </xdr:cNvPr>
        <xdr:cNvCxnSpPr/>
      </xdr:nvCxnSpPr>
      <xdr:spPr>
        <a:xfrm rot="5400000">
          <a:off x="2800350" y="4171950"/>
          <a:ext cx="190500"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120491</xdr:colOff>
      <xdr:row>28</xdr:row>
      <xdr:rowOff>56039</xdr:rowOff>
    </xdr:from>
    <xdr:to>
      <xdr:col>16</xdr:col>
      <xdr:colOff>120174</xdr:colOff>
      <xdr:row>29</xdr:row>
      <xdr:rowOff>86028</xdr:rowOff>
    </xdr:to>
    <xdr:cxnSp macro="">
      <xdr:nvCxnSpPr>
        <xdr:cNvPr id="8" name="Connecteur droit 7">
          <a:extLst>
            <a:ext uri="{FF2B5EF4-FFF2-40B4-BE49-F238E27FC236}">
              <a16:creationId xmlns="" xmlns:a16="http://schemas.microsoft.com/office/drawing/2014/main" id="{00000000-0008-0000-2A00-000008000000}"/>
            </a:ext>
          </a:extLst>
        </xdr:cNvPr>
        <xdr:cNvCxnSpPr/>
      </xdr:nvCxnSpPr>
      <xdr:spPr>
        <a:xfrm rot="5400000">
          <a:off x="2619375" y="4162425"/>
          <a:ext cx="190500"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106521</xdr:colOff>
      <xdr:row>28</xdr:row>
      <xdr:rowOff>58579</xdr:rowOff>
    </xdr:from>
    <xdr:to>
      <xdr:col>25</xdr:col>
      <xdr:colOff>100489</xdr:colOff>
      <xdr:row>29</xdr:row>
      <xdr:rowOff>84890</xdr:rowOff>
    </xdr:to>
    <xdr:cxnSp macro="">
      <xdr:nvCxnSpPr>
        <xdr:cNvPr id="9" name="Connecteur droit 8">
          <a:extLst>
            <a:ext uri="{FF2B5EF4-FFF2-40B4-BE49-F238E27FC236}">
              <a16:creationId xmlns="" xmlns:a16="http://schemas.microsoft.com/office/drawing/2014/main" id="{00000000-0008-0000-2A00-000009000000}"/>
            </a:ext>
          </a:extLst>
        </xdr:cNvPr>
        <xdr:cNvCxnSpPr/>
      </xdr:nvCxnSpPr>
      <xdr:spPr>
        <a:xfrm rot="5400000">
          <a:off x="4000500" y="4143375"/>
          <a:ext cx="190500"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33496</xdr:colOff>
      <xdr:row>28</xdr:row>
      <xdr:rowOff>56039</xdr:rowOff>
    </xdr:from>
    <xdr:to>
      <xdr:col>16</xdr:col>
      <xdr:colOff>33496</xdr:colOff>
      <xdr:row>29</xdr:row>
      <xdr:rowOff>86028</xdr:rowOff>
    </xdr:to>
    <xdr:cxnSp macro="">
      <xdr:nvCxnSpPr>
        <xdr:cNvPr id="10" name="Connecteur droit 9">
          <a:extLst>
            <a:ext uri="{FF2B5EF4-FFF2-40B4-BE49-F238E27FC236}">
              <a16:creationId xmlns="" xmlns:a16="http://schemas.microsoft.com/office/drawing/2014/main" id="{00000000-0008-0000-2A00-00000A000000}"/>
            </a:ext>
          </a:extLst>
        </xdr:cNvPr>
        <xdr:cNvCxnSpPr/>
      </xdr:nvCxnSpPr>
      <xdr:spPr>
        <a:xfrm rot="5400000">
          <a:off x="2524125" y="4162425"/>
          <a:ext cx="190500"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72231</xdr:colOff>
      <xdr:row>28</xdr:row>
      <xdr:rowOff>56039</xdr:rowOff>
    </xdr:from>
    <xdr:to>
      <xdr:col>26</xdr:col>
      <xdr:colOff>73819</xdr:colOff>
      <xdr:row>29</xdr:row>
      <xdr:rowOff>86028</xdr:rowOff>
    </xdr:to>
    <xdr:cxnSp macro="">
      <xdr:nvCxnSpPr>
        <xdr:cNvPr id="11" name="Connecteur droit 10">
          <a:extLst>
            <a:ext uri="{FF2B5EF4-FFF2-40B4-BE49-F238E27FC236}">
              <a16:creationId xmlns="" xmlns:a16="http://schemas.microsoft.com/office/drawing/2014/main" id="{00000000-0008-0000-2A00-00000B000000}"/>
            </a:ext>
          </a:extLst>
        </xdr:cNvPr>
        <xdr:cNvCxnSpPr/>
      </xdr:nvCxnSpPr>
      <xdr:spPr>
        <a:xfrm rot="5400000">
          <a:off x="4086225" y="4162425"/>
          <a:ext cx="190500"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20320</xdr:colOff>
      <xdr:row>27</xdr:row>
      <xdr:rowOff>35560</xdr:rowOff>
    </xdr:from>
    <xdr:to>
      <xdr:col>15</xdr:col>
      <xdr:colOff>79626</xdr:colOff>
      <xdr:row>29</xdr:row>
      <xdr:rowOff>33555</xdr:rowOff>
    </xdr:to>
    <xdr:sp macro="" textlink="">
      <xdr:nvSpPr>
        <xdr:cNvPr id="12" name="ZoneTexte 11">
          <a:extLst>
            <a:ext uri="{FF2B5EF4-FFF2-40B4-BE49-F238E27FC236}">
              <a16:creationId xmlns="" xmlns:a16="http://schemas.microsoft.com/office/drawing/2014/main" id="{00000000-0008-0000-2A00-00000C000000}"/>
            </a:ext>
          </a:extLst>
        </xdr:cNvPr>
        <xdr:cNvSpPr txBox="1"/>
      </xdr:nvSpPr>
      <xdr:spPr>
        <a:xfrm>
          <a:off x="2162175" y="3933825"/>
          <a:ext cx="36195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20</a:t>
          </a:r>
        </a:p>
      </xdr:txBody>
    </xdr:sp>
    <xdr:clientData/>
  </xdr:twoCellAnchor>
  <xdr:twoCellAnchor>
    <xdr:from>
      <xdr:col>25</xdr:col>
      <xdr:colOff>135889</xdr:colOff>
      <xdr:row>27</xdr:row>
      <xdr:rowOff>635</xdr:rowOff>
    </xdr:from>
    <xdr:to>
      <xdr:col>27</xdr:col>
      <xdr:colOff>36249</xdr:colOff>
      <xdr:row>29</xdr:row>
      <xdr:rowOff>20607</xdr:rowOff>
    </xdr:to>
    <xdr:sp macro="" textlink="">
      <xdr:nvSpPr>
        <xdr:cNvPr id="13" name="ZoneTexte 12">
          <a:extLst>
            <a:ext uri="{FF2B5EF4-FFF2-40B4-BE49-F238E27FC236}">
              <a16:creationId xmlns="" xmlns:a16="http://schemas.microsoft.com/office/drawing/2014/main" id="{00000000-0008-0000-2A00-00000D000000}"/>
            </a:ext>
          </a:extLst>
        </xdr:cNvPr>
        <xdr:cNvSpPr txBox="1"/>
      </xdr:nvSpPr>
      <xdr:spPr>
        <a:xfrm>
          <a:off x="4105274" y="3895725"/>
          <a:ext cx="190501"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5</a:t>
          </a:r>
        </a:p>
      </xdr:txBody>
    </xdr:sp>
    <xdr:clientData/>
  </xdr:twoCellAnchor>
  <xdr:twoCellAnchor>
    <xdr:from>
      <xdr:col>20</xdr:col>
      <xdr:colOff>67945</xdr:colOff>
      <xdr:row>34</xdr:row>
      <xdr:rowOff>17463</xdr:rowOff>
    </xdr:from>
    <xdr:to>
      <xdr:col>22</xdr:col>
      <xdr:colOff>64721</xdr:colOff>
      <xdr:row>34</xdr:row>
      <xdr:rowOff>22067</xdr:rowOff>
    </xdr:to>
    <xdr:cxnSp macro="">
      <xdr:nvCxnSpPr>
        <xdr:cNvPr id="14" name="Connecteur droit avec flèche 13">
          <a:extLst>
            <a:ext uri="{FF2B5EF4-FFF2-40B4-BE49-F238E27FC236}">
              <a16:creationId xmlns="" xmlns:a16="http://schemas.microsoft.com/office/drawing/2014/main" id="{00000000-0008-0000-2A00-00000E000000}"/>
            </a:ext>
          </a:extLst>
        </xdr:cNvPr>
        <xdr:cNvCxnSpPr>
          <a:stCxn id="74" idx="1"/>
          <a:endCxn id="74" idx="3"/>
        </xdr:cNvCxnSpPr>
      </xdr:nvCxnSpPr>
      <xdr:spPr>
        <a:xfrm rot="10800000" flipH="1">
          <a:off x="3219450" y="4891088"/>
          <a:ext cx="361950" cy="1588"/>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64135</xdr:colOff>
      <xdr:row>11</xdr:row>
      <xdr:rowOff>36830</xdr:rowOff>
    </xdr:from>
    <xdr:to>
      <xdr:col>9</xdr:col>
      <xdr:colOff>103170</xdr:colOff>
      <xdr:row>11</xdr:row>
      <xdr:rowOff>36831</xdr:rowOff>
    </xdr:to>
    <xdr:cxnSp macro="">
      <xdr:nvCxnSpPr>
        <xdr:cNvPr id="15" name="Connecteur droit 14">
          <a:extLst>
            <a:ext uri="{FF2B5EF4-FFF2-40B4-BE49-F238E27FC236}">
              <a16:creationId xmlns="" xmlns:a16="http://schemas.microsoft.com/office/drawing/2014/main" id="{00000000-0008-0000-2A00-00000F000000}"/>
            </a:ext>
          </a:extLst>
        </xdr:cNvPr>
        <xdr:cNvCxnSpPr/>
      </xdr:nvCxnSpPr>
      <xdr:spPr>
        <a:xfrm flipV="1">
          <a:off x="1438275" y="1628775"/>
          <a:ext cx="209550" cy="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67310</xdr:colOff>
      <xdr:row>25</xdr:row>
      <xdr:rowOff>0</xdr:rowOff>
    </xdr:from>
    <xdr:to>
      <xdr:col>9</xdr:col>
      <xdr:colOff>102444</xdr:colOff>
      <xdr:row>25</xdr:row>
      <xdr:rowOff>1</xdr:rowOff>
    </xdr:to>
    <xdr:cxnSp macro="">
      <xdr:nvCxnSpPr>
        <xdr:cNvPr id="16" name="Connecteur droit 15">
          <a:extLst>
            <a:ext uri="{FF2B5EF4-FFF2-40B4-BE49-F238E27FC236}">
              <a16:creationId xmlns="" xmlns:a16="http://schemas.microsoft.com/office/drawing/2014/main" id="{00000000-0008-0000-2A00-000010000000}"/>
            </a:ext>
          </a:extLst>
        </xdr:cNvPr>
        <xdr:cNvCxnSpPr/>
      </xdr:nvCxnSpPr>
      <xdr:spPr>
        <a:xfrm flipV="1">
          <a:off x="1409700" y="3571875"/>
          <a:ext cx="209550" cy="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64135</xdr:colOff>
      <xdr:row>12</xdr:row>
      <xdr:rowOff>111125</xdr:rowOff>
    </xdr:from>
    <xdr:to>
      <xdr:col>9</xdr:col>
      <xdr:colOff>103170</xdr:colOff>
      <xdr:row>12</xdr:row>
      <xdr:rowOff>111126</xdr:rowOff>
    </xdr:to>
    <xdr:cxnSp macro="">
      <xdr:nvCxnSpPr>
        <xdr:cNvPr id="17" name="Connecteur droit 16">
          <a:extLst>
            <a:ext uri="{FF2B5EF4-FFF2-40B4-BE49-F238E27FC236}">
              <a16:creationId xmlns="" xmlns:a16="http://schemas.microsoft.com/office/drawing/2014/main" id="{00000000-0008-0000-2A00-000011000000}"/>
            </a:ext>
          </a:extLst>
        </xdr:cNvPr>
        <xdr:cNvCxnSpPr/>
      </xdr:nvCxnSpPr>
      <xdr:spPr>
        <a:xfrm flipV="1">
          <a:off x="1438275" y="1847850"/>
          <a:ext cx="209550" cy="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64135</xdr:colOff>
      <xdr:row>22</xdr:row>
      <xdr:rowOff>111125</xdr:rowOff>
    </xdr:from>
    <xdr:to>
      <xdr:col>9</xdr:col>
      <xdr:colOff>103170</xdr:colOff>
      <xdr:row>22</xdr:row>
      <xdr:rowOff>111126</xdr:rowOff>
    </xdr:to>
    <xdr:cxnSp macro="">
      <xdr:nvCxnSpPr>
        <xdr:cNvPr id="18" name="Connecteur droit 17">
          <a:extLst>
            <a:ext uri="{FF2B5EF4-FFF2-40B4-BE49-F238E27FC236}">
              <a16:creationId xmlns="" xmlns:a16="http://schemas.microsoft.com/office/drawing/2014/main" id="{00000000-0008-0000-2A00-000012000000}"/>
            </a:ext>
          </a:extLst>
        </xdr:cNvPr>
        <xdr:cNvCxnSpPr/>
      </xdr:nvCxnSpPr>
      <xdr:spPr>
        <a:xfrm flipV="1">
          <a:off x="1447800" y="3276600"/>
          <a:ext cx="209550" cy="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67310</xdr:colOff>
      <xdr:row>14</xdr:row>
      <xdr:rowOff>53340</xdr:rowOff>
    </xdr:from>
    <xdr:to>
      <xdr:col>9</xdr:col>
      <xdr:colOff>102444</xdr:colOff>
      <xdr:row>14</xdr:row>
      <xdr:rowOff>53341</xdr:rowOff>
    </xdr:to>
    <xdr:cxnSp macro="">
      <xdr:nvCxnSpPr>
        <xdr:cNvPr id="19" name="Connecteur droit 18">
          <a:extLst>
            <a:ext uri="{FF2B5EF4-FFF2-40B4-BE49-F238E27FC236}">
              <a16:creationId xmlns="" xmlns:a16="http://schemas.microsoft.com/office/drawing/2014/main" id="{00000000-0008-0000-2A00-000013000000}"/>
            </a:ext>
          </a:extLst>
        </xdr:cNvPr>
        <xdr:cNvCxnSpPr/>
      </xdr:nvCxnSpPr>
      <xdr:spPr>
        <a:xfrm flipV="1">
          <a:off x="1419225" y="2038350"/>
          <a:ext cx="209550" cy="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64135</xdr:colOff>
      <xdr:row>16</xdr:row>
      <xdr:rowOff>0</xdr:rowOff>
    </xdr:from>
    <xdr:to>
      <xdr:col>9</xdr:col>
      <xdr:colOff>102870</xdr:colOff>
      <xdr:row>16</xdr:row>
      <xdr:rowOff>1</xdr:rowOff>
    </xdr:to>
    <xdr:cxnSp macro="">
      <xdr:nvCxnSpPr>
        <xdr:cNvPr id="20" name="Connecteur droit 19">
          <a:extLst>
            <a:ext uri="{FF2B5EF4-FFF2-40B4-BE49-F238E27FC236}">
              <a16:creationId xmlns="" xmlns:a16="http://schemas.microsoft.com/office/drawing/2014/main" id="{00000000-0008-0000-2A00-000014000000}"/>
            </a:ext>
          </a:extLst>
        </xdr:cNvPr>
        <xdr:cNvCxnSpPr/>
      </xdr:nvCxnSpPr>
      <xdr:spPr>
        <a:xfrm flipV="1">
          <a:off x="1428750" y="2286000"/>
          <a:ext cx="209550" cy="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9</xdr:row>
      <xdr:rowOff>102234</xdr:rowOff>
    </xdr:from>
    <xdr:to>
      <xdr:col>8</xdr:col>
      <xdr:colOff>76108</xdr:colOff>
      <xdr:row>12</xdr:row>
      <xdr:rowOff>59275</xdr:rowOff>
    </xdr:to>
    <xdr:sp macro="" textlink="">
      <xdr:nvSpPr>
        <xdr:cNvPr id="21" name="ZoneTexte 20">
          <a:extLst>
            <a:ext uri="{FF2B5EF4-FFF2-40B4-BE49-F238E27FC236}">
              <a16:creationId xmlns="" xmlns:a16="http://schemas.microsoft.com/office/drawing/2014/main" id="{00000000-0008-0000-2A00-000015000000}"/>
            </a:ext>
          </a:extLst>
        </xdr:cNvPr>
        <xdr:cNvSpPr txBox="1"/>
      </xdr:nvSpPr>
      <xdr:spPr>
        <a:xfrm rot="16200000">
          <a:off x="1152526" y="1457323"/>
          <a:ext cx="371473"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10</a:t>
          </a:r>
        </a:p>
      </xdr:txBody>
    </xdr:sp>
    <xdr:clientData/>
  </xdr:twoCellAnchor>
  <xdr:twoCellAnchor>
    <xdr:from>
      <xdr:col>7</xdr:col>
      <xdr:colOff>19050</xdr:colOff>
      <xdr:row>4</xdr:row>
      <xdr:rowOff>19050</xdr:rowOff>
    </xdr:from>
    <xdr:to>
      <xdr:col>48</xdr:col>
      <xdr:colOff>50800</xdr:colOff>
      <xdr:row>52</xdr:row>
      <xdr:rowOff>82550</xdr:rowOff>
    </xdr:to>
    <xdr:grpSp>
      <xdr:nvGrpSpPr>
        <xdr:cNvPr id="882194" name="Groupe 21">
          <a:extLst>
            <a:ext uri="{FF2B5EF4-FFF2-40B4-BE49-F238E27FC236}">
              <a16:creationId xmlns="" xmlns:a16="http://schemas.microsoft.com/office/drawing/2014/main" id="{00000000-0008-0000-2A00-000012760D00}"/>
            </a:ext>
          </a:extLst>
        </xdr:cNvPr>
        <xdr:cNvGrpSpPr>
          <a:grpSpLocks/>
        </xdr:cNvGrpSpPr>
      </xdr:nvGrpSpPr>
      <xdr:grpSpPr bwMode="auto">
        <a:xfrm>
          <a:off x="1085850" y="635000"/>
          <a:ext cx="6280150" cy="7112000"/>
          <a:chOff x="1238250" y="457200"/>
          <a:chExt cx="6286500" cy="6943725"/>
        </a:xfrm>
      </xdr:grpSpPr>
      <xdr:sp macro="" textlink="">
        <xdr:nvSpPr>
          <xdr:cNvPr id="23" name="Rectangle 22">
            <a:extLst>
              <a:ext uri="{FF2B5EF4-FFF2-40B4-BE49-F238E27FC236}">
                <a16:creationId xmlns="" xmlns:a16="http://schemas.microsoft.com/office/drawing/2014/main" id="{00000000-0008-0000-2A00-000017000000}"/>
              </a:ext>
            </a:extLst>
          </xdr:cNvPr>
          <xdr:cNvSpPr/>
        </xdr:nvSpPr>
        <xdr:spPr>
          <a:xfrm>
            <a:off x="2166287" y="1449161"/>
            <a:ext cx="2555281" cy="1959122"/>
          </a:xfrm>
          <a:prstGeom prst="rect">
            <a:avLst/>
          </a:prstGeom>
          <a:solidFill>
            <a:schemeClr val="accent4">
              <a:lumMod val="20000"/>
              <a:lumOff val="80000"/>
            </a:schemeClr>
          </a:solidFill>
          <a:ln w="19050"/>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xnSp macro="">
        <xdr:nvCxnSpPr>
          <xdr:cNvPr id="24" name="Connecteur droit 23">
            <a:extLst>
              <a:ext uri="{FF2B5EF4-FFF2-40B4-BE49-F238E27FC236}">
                <a16:creationId xmlns="" xmlns:a16="http://schemas.microsoft.com/office/drawing/2014/main" id="{00000000-0008-0000-2A00-000018000000}"/>
              </a:ext>
            </a:extLst>
          </xdr:cNvPr>
          <xdr:cNvCxnSpPr/>
        </xdr:nvCxnSpPr>
        <xdr:spPr>
          <a:xfrm rot="16200000" flipH="1">
            <a:off x="1793619" y="2438022"/>
            <a:ext cx="1444543"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5" name="Connecteur droit 24">
            <a:extLst>
              <a:ext uri="{FF2B5EF4-FFF2-40B4-BE49-F238E27FC236}">
                <a16:creationId xmlns="" xmlns:a16="http://schemas.microsoft.com/office/drawing/2014/main" id="{00000000-0008-0000-2A00-000019000000}"/>
              </a:ext>
            </a:extLst>
          </xdr:cNvPr>
          <xdr:cNvCxnSpPr/>
        </xdr:nvCxnSpPr>
        <xdr:spPr>
          <a:xfrm>
            <a:off x="2509534" y="1715750"/>
            <a:ext cx="1760729"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6" name="Connecteur droit 25">
            <a:extLst>
              <a:ext uri="{FF2B5EF4-FFF2-40B4-BE49-F238E27FC236}">
                <a16:creationId xmlns="" xmlns:a16="http://schemas.microsoft.com/office/drawing/2014/main" id="{00000000-0008-0000-2A00-00001A000000}"/>
              </a:ext>
            </a:extLst>
          </xdr:cNvPr>
          <xdr:cNvCxnSpPr/>
        </xdr:nvCxnSpPr>
        <xdr:spPr>
          <a:xfrm>
            <a:off x="2534960" y="3160293"/>
            <a:ext cx="35596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Connecteur droit 26">
            <a:extLst>
              <a:ext uri="{FF2B5EF4-FFF2-40B4-BE49-F238E27FC236}">
                <a16:creationId xmlns="" xmlns:a16="http://schemas.microsoft.com/office/drawing/2014/main" id="{00000000-0008-0000-2A00-00001B000000}"/>
              </a:ext>
            </a:extLst>
          </xdr:cNvPr>
          <xdr:cNvCxnSpPr/>
        </xdr:nvCxnSpPr>
        <xdr:spPr>
          <a:xfrm>
            <a:off x="3927016" y="3160293"/>
            <a:ext cx="343247"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Connecteur droit 27">
            <a:extLst>
              <a:ext uri="{FF2B5EF4-FFF2-40B4-BE49-F238E27FC236}">
                <a16:creationId xmlns="" xmlns:a16="http://schemas.microsoft.com/office/drawing/2014/main" id="{00000000-0008-0000-2A00-00001C000000}"/>
              </a:ext>
            </a:extLst>
          </xdr:cNvPr>
          <xdr:cNvCxnSpPr/>
        </xdr:nvCxnSpPr>
        <xdr:spPr>
          <a:xfrm rot="5400000">
            <a:off x="3827820" y="3259489"/>
            <a:ext cx="198392"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9" name="Connecteur droit 28">
            <a:extLst>
              <a:ext uri="{FF2B5EF4-FFF2-40B4-BE49-F238E27FC236}">
                <a16:creationId xmlns="" xmlns:a16="http://schemas.microsoft.com/office/drawing/2014/main" id="{00000000-0008-0000-2A00-00001D000000}"/>
              </a:ext>
            </a:extLst>
          </xdr:cNvPr>
          <xdr:cNvCxnSpPr/>
        </xdr:nvCxnSpPr>
        <xdr:spPr>
          <a:xfrm>
            <a:off x="2890919" y="3352485"/>
            <a:ext cx="1036097"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0" name="Connecteur droit 29">
            <a:extLst>
              <a:ext uri="{FF2B5EF4-FFF2-40B4-BE49-F238E27FC236}">
                <a16:creationId xmlns="" xmlns:a16="http://schemas.microsoft.com/office/drawing/2014/main" id="{00000000-0008-0000-2A00-00001E000000}"/>
              </a:ext>
            </a:extLst>
          </xdr:cNvPr>
          <xdr:cNvCxnSpPr/>
        </xdr:nvCxnSpPr>
        <xdr:spPr>
          <a:xfrm rot="16200000" flipH="1">
            <a:off x="1932520" y="2475063"/>
            <a:ext cx="1370146" cy="12713"/>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1" name="Connecteur droit 30">
            <a:extLst>
              <a:ext uri="{FF2B5EF4-FFF2-40B4-BE49-F238E27FC236}">
                <a16:creationId xmlns="" xmlns:a16="http://schemas.microsoft.com/office/drawing/2014/main" id="{00000000-0008-0000-2A00-00001F000000}"/>
              </a:ext>
            </a:extLst>
          </xdr:cNvPr>
          <xdr:cNvCxnSpPr/>
        </xdr:nvCxnSpPr>
        <xdr:spPr>
          <a:xfrm rot="5400000">
            <a:off x="2068008" y="2521718"/>
            <a:ext cx="1277149"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2" name="Connecteur droit 31">
            <a:extLst>
              <a:ext uri="{FF2B5EF4-FFF2-40B4-BE49-F238E27FC236}">
                <a16:creationId xmlns="" xmlns:a16="http://schemas.microsoft.com/office/drawing/2014/main" id="{00000000-0008-0000-2A00-000020000000}"/>
              </a:ext>
            </a:extLst>
          </xdr:cNvPr>
          <xdr:cNvCxnSpPr/>
        </xdr:nvCxnSpPr>
        <xdr:spPr>
          <a:xfrm rot="5400000">
            <a:off x="3483644" y="2512419"/>
            <a:ext cx="13825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3" name="Connecteur droit 32">
            <a:extLst>
              <a:ext uri="{FF2B5EF4-FFF2-40B4-BE49-F238E27FC236}">
                <a16:creationId xmlns="" xmlns:a16="http://schemas.microsoft.com/office/drawing/2014/main" id="{00000000-0008-0000-2A00-000021000000}"/>
              </a:ext>
            </a:extLst>
          </xdr:cNvPr>
          <xdr:cNvCxnSpPr/>
        </xdr:nvCxnSpPr>
        <xdr:spPr>
          <a:xfrm rot="5400000">
            <a:off x="3456495" y="2543417"/>
            <a:ext cx="1246151"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4" name="Connecteur droit 33">
            <a:extLst>
              <a:ext uri="{FF2B5EF4-FFF2-40B4-BE49-F238E27FC236}">
                <a16:creationId xmlns="" xmlns:a16="http://schemas.microsoft.com/office/drawing/2014/main" id="{00000000-0008-0000-2A00-000022000000}"/>
              </a:ext>
            </a:extLst>
          </xdr:cNvPr>
          <xdr:cNvCxnSpPr/>
        </xdr:nvCxnSpPr>
        <xdr:spPr>
          <a:xfrm>
            <a:off x="2611237" y="1802547"/>
            <a:ext cx="1582749"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5" name="Connecteur droit 34">
            <a:extLst>
              <a:ext uri="{FF2B5EF4-FFF2-40B4-BE49-F238E27FC236}">
                <a16:creationId xmlns="" xmlns:a16="http://schemas.microsoft.com/office/drawing/2014/main" id="{00000000-0008-0000-2A00-000023000000}"/>
              </a:ext>
            </a:extLst>
          </xdr:cNvPr>
          <xdr:cNvCxnSpPr/>
        </xdr:nvCxnSpPr>
        <xdr:spPr>
          <a:xfrm>
            <a:off x="2725652" y="1883144"/>
            <a:ext cx="135391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6" name="Connecteur droit 35">
            <a:extLst>
              <a:ext uri="{FF2B5EF4-FFF2-40B4-BE49-F238E27FC236}">
                <a16:creationId xmlns="" xmlns:a16="http://schemas.microsoft.com/office/drawing/2014/main" id="{00000000-0008-0000-2A00-000024000000}"/>
              </a:ext>
            </a:extLst>
          </xdr:cNvPr>
          <xdr:cNvCxnSpPr/>
        </xdr:nvCxnSpPr>
        <xdr:spPr>
          <a:xfrm>
            <a:off x="2547673" y="2174532"/>
            <a:ext cx="1722590" cy="0"/>
          </a:xfrm>
          <a:prstGeom prst="line">
            <a:avLst/>
          </a:prstGeom>
          <a:ln w="28575">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37" name="Connecteur droit 36">
            <a:extLst>
              <a:ext uri="{FF2B5EF4-FFF2-40B4-BE49-F238E27FC236}">
                <a16:creationId xmlns="" xmlns:a16="http://schemas.microsoft.com/office/drawing/2014/main" id="{00000000-0008-0000-2A00-000025000000}"/>
              </a:ext>
            </a:extLst>
          </xdr:cNvPr>
          <xdr:cNvCxnSpPr/>
        </xdr:nvCxnSpPr>
        <xdr:spPr>
          <a:xfrm>
            <a:off x="2547673" y="2341925"/>
            <a:ext cx="1722590" cy="0"/>
          </a:xfrm>
          <a:prstGeom prst="line">
            <a:avLst/>
          </a:prstGeom>
          <a:ln w="28575">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38" name="Connecteur droit 37">
            <a:extLst>
              <a:ext uri="{FF2B5EF4-FFF2-40B4-BE49-F238E27FC236}">
                <a16:creationId xmlns="" xmlns:a16="http://schemas.microsoft.com/office/drawing/2014/main" id="{00000000-0008-0000-2A00-000026000000}"/>
              </a:ext>
            </a:extLst>
          </xdr:cNvPr>
          <xdr:cNvCxnSpPr/>
        </xdr:nvCxnSpPr>
        <xdr:spPr>
          <a:xfrm>
            <a:off x="2534960" y="2496919"/>
            <a:ext cx="1735303" cy="0"/>
          </a:xfrm>
          <a:prstGeom prst="line">
            <a:avLst/>
          </a:prstGeom>
          <a:ln w="28575">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39" name="Connecteur droit 38">
            <a:extLst>
              <a:ext uri="{FF2B5EF4-FFF2-40B4-BE49-F238E27FC236}">
                <a16:creationId xmlns="" xmlns:a16="http://schemas.microsoft.com/office/drawing/2014/main" id="{00000000-0008-0000-2A00-000027000000}"/>
              </a:ext>
            </a:extLst>
          </xdr:cNvPr>
          <xdr:cNvCxnSpPr/>
        </xdr:nvCxnSpPr>
        <xdr:spPr>
          <a:xfrm>
            <a:off x="2547673" y="2633314"/>
            <a:ext cx="1722590" cy="0"/>
          </a:xfrm>
          <a:prstGeom prst="line">
            <a:avLst/>
          </a:prstGeom>
          <a:ln w="28575">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40" name="Connecteur droit 39">
            <a:extLst>
              <a:ext uri="{FF2B5EF4-FFF2-40B4-BE49-F238E27FC236}">
                <a16:creationId xmlns="" xmlns:a16="http://schemas.microsoft.com/office/drawing/2014/main" id="{00000000-0008-0000-2A00-000028000000}"/>
              </a:ext>
            </a:extLst>
          </xdr:cNvPr>
          <xdr:cNvCxnSpPr/>
        </xdr:nvCxnSpPr>
        <xdr:spPr>
          <a:xfrm>
            <a:off x="2534960" y="2806907"/>
            <a:ext cx="1735303" cy="0"/>
          </a:xfrm>
          <a:prstGeom prst="line">
            <a:avLst/>
          </a:prstGeom>
          <a:ln w="28575">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41" name="Connecteur droit 40">
            <a:extLst>
              <a:ext uri="{FF2B5EF4-FFF2-40B4-BE49-F238E27FC236}">
                <a16:creationId xmlns="" xmlns:a16="http://schemas.microsoft.com/office/drawing/2014/main" id="{00000000-0008-0000-2A00-000029000000}"/>
              </a:ext>
            </a:extLst>
          </xdr:cNvPr>
          <xdr:cNvCxnSpPr/>
        </xdr:nvCxnSpPr>
        <xdr:spPr>
          <a:xfrm>
            <a:off x="2534960" y="2943302"/>
            <a:ext cx="1735303" cy="0"/>
          </a:xfrm>
          <a:prstGeom prst="line">
            <a:avLst/>
          </a:prstGeom>
          <a:ln w="28575">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42" name="Connecteur droit avec flèche 41">
            <a:extLst>
              <a:ext uri="{FF2B5EF4-FFF2-40B4-BE49-F238E27FC236}">
                <a16:creationId xmlns="" xmlns:a16="http://schemas.microsoft.com/office/drawing/2014/main" id="{00000000-0008-0000-2A00-00002A000000}"/>
              </a:ext>
            </a:extLst>
          </xdr:cNvPr>
          <xdr:cNvCxnSpPr/>
        </xdr:nvCxnSpPr>
        <xdr:spPr>
          <a:xfrm flipV="1">
            <a:off x="2013733" y="996579"/>
            <a:ext cx="2822251" cy="6200"/>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43" name="Connecteur droit 42">
            <a:extLst>
              <a:ext uri="{FF2B5EF4-FFF2-40B4-BE49-F238E27FC236}">
                <a16:creationId xmlns="" xmlns:a16="http://schemas.microsoft.com/office/drawing/2014/main" id="{00000000-0008-0000-2A00-00002B000000}"/>
              </a:ext>
            </a:extLst>
          </xdr:cNvPr>
          <xdr:cNvCxnSpPr/>
        </xdr:nvCxnSpPr>
        <xdr:spPr>
          <a:xfrm rot="5400000">
            <a:off x="1886638" y="1030677"/>
            <a:ext cx="25419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4" name="Connecteur droit 43">
            <a:extLst>
              <a:ext uri="{FF2B5EF4-FFF2-40B4-BE49-F238E27FC236}">
                <a16:creationId xmlns="" xmlns:a16="http://schemas.microsoft.com/office/drawing/2014/main" id="{00000000-0008-0000-2A00-00002C000000}"/>
              </a:ext>
            </a:extLst>
          </xdr:cNvPr>
          <xdr:cNvCxnSpPr/>
        </xdr:nvCxnSpPr>
        <xdr:spPr>
          <a:xfrm rot="5400000">
            <a:off x="4677890" y="1005878"/>
            <a:ext cx="316187"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45" name="Rectangle 44">
            <a:extLst>
              <a:ext uri="{FF2B5EF4-FFF2-40B4-BE49-F238E27FC236}">
                <a16:creationId xmlns="" xmlns:a16="http://schemas.microsoft.com/office/drawing/2014/main" id="{00000000-0008-0000-2A00-00002D000000}"/>
              </a:ext>
            </a:extLst>
          </xdr:cNvPr>
          <xdr:cNvSpPr/>
        </xdr:nvSpPr>
        <xdr:spPr>
          <a:xfrm>
            <a:off x="3145176" y="1901743"/>
            <a:ext cx="362316" cy="247990"/>
          </a:xfrm>
          <a:prstGeom prst="rect">
            <a:avLst/>
          </a:prstGeom>
          <a:solidFill>
            <a:schemeClr val="accent2">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xnSp macro="">
        <xdr:nvCxnSpPr>
          <xdr:cNvPr id="46" name="Connecteur droit 45">
            <a:extLst>
              <a:ext uri="{FF2B5EF4-FFF2-40B4-BE49-F238E27FC236}">
                <a16:creationId xmlns="" xmlns:a16="http://schemas.microsoft.com/office/drawing/2014/main" id="{00000000-0008-0000-2A00-00002E000000}"/>
              </a:ext>
            </a:extLst>
          </xdr:cNvPr>
          <xdr:cNvCxnSpPr/>
        </xdr:nvCxnSpPr>
        <xdr:spPr>
          <a:xfrm>
            <a:off x="2534960" y="2013338"/>
            <a:ext cx="1735303" cy="0"/>
          </a:xfrm>
          <a:prstGeom prst="line">
            <a:avLst/>
          </a:prstGeom>
          <a:ln w="28575">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47" name="Connecteur droit 46">
            <a:extLst>
              <a:ext uri="{FF2B5EF4-FFF2-40B4-BE49-F238E27FC236}">
                <a16:creationId xmlns="" xmlns:a16="http://schemas.microsoft.com/office/drawing/2014/main" id="{00000000-0008-0000-2A00-00002F000000}"/>
              </a:ext>
            </a:extLst>
          </xdr:cNvPr>
          <xdr:cNvCxnSpPr/>
        </xdr:nvCxnSpPr>
        <xdr:spPr>
          <a:xfrm rot="5400000">
            <a:off x="3077449" y="996579"/>
            <a:ext cx="17359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 name="Connecteur droit 47">
            <a:extLst>
              <a:ext uri="{FF2B5EF4-FFF2-40B4-BE49-F238E27FC236}">
                <a16:creationId xmlns="" xmlns:a16="http://schemas.microsoft.com/office/drawing/2014/main" id="{00000000-0008-0000-2A00-000030000000}"/>
              </a:ext>
            </a:extLst>
          </xdr:cNvPr>
          <xdr:cNvCxnSpPr/>
        </xdr:nvCxnSpPr>
        <xdr:spPr>
          <a:xfrm rot="5400000">
            <a:off x="3490616" y="996579"/>
            <a:ext cx="17359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49" name="ZoneTexte 48">
            <a:extLst>
              <a:ext uri="{FF2B5EF4-FFF2-40B4-BE49-F238E27FC236}">
                <a16:creationId xmlns="" xmlns:a16="http://schemas.microsoft.com/office/drawing/2014/main" id="{00000000-0008-0000-2A00-000031000000}"/>
              </a:ext>
            </a:extLst>
          </xdr:cNvPr>
          <xdr:cNvSpPr txBox="1"/>
        </xdr:nvSpPr>
        <xdr:spPr>
          <a:xfrm>
            <a:off x="2420544" y="804386"/>
            <a:ext cx="355960" cy="198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62</a:t>
            </a:r>
          </a:p>
        </xdr:txBody>
      </xdr:sp>
      <xdr:sp macro="" textlink="">
        <xdr:nvSpPr>
          <xdr:cNvPr id="50" name="ZoneTexte 49">
            <a:extLst>
              <a:ext uri="{FF2B5EF4-FFF2-40B4-BE49-F238E27FC236}">
                <a16:creationId xmlns="" xmlns:a16="http://schemas.microsoft.com/office/drawing/2014/main" id="{00000000-0008-0000-2A00-000032000000}"/>
              </a:ext>
            </a:extLst>
          </xdr:cNvPr>
          <xdr:cNvSpPr txBox="1"/>
        </xdr:nvSpPr>
        <xdr:spPr>
          <a:xfrm>
            <a:off x="3202384" y="711390"/>
            <a:ext cx="343247" cy="235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40</a:t>
            </a:r>
          </a:p>
        </xdr:txBody>
      </xdr:sp>
      <xdr:sp macro="" textlink="">
        <xdr:nvSpPr>
          <xdr:cNvPr id="51" name="ZoneTexte 50">
            <a:extLst>
              <a:ext uri="{FF2B5EF4-FFF2-40B4-BE49-F238E27FC236}">
                <a16:creationId xmlns="" xmlns:a16="http://schemas.microsoft.com/office/drawing/2014/main" id="{00000000-0008-0000-2A00-000033000000}"/>
              </a:ext>
            </a:extLst>
          </xdr:cNvPr>
          <xdr:cNvSpPr txBox="1"/>
        </xdr:nvSpPr>
        <xdr:spPr>
          <a:xfrm>
            <a:off x="4003293" y="773387"/>
            <a:ext cx="381385" cy="2293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62</a:t>
            </a:r>
          </a:p>
        </xdr:txBody>
      </xdr:sp>
      <xdr:cxnSp macro="">
        <xdr:nvCxnSpPr>
          <xdr:cNvPr id="52" name="Connecteur droit avec flèche 51">
            <a:extLst>
              <a:ext uri="{FF2B5EF4-FFF2-40B4-BE49-F238E27FC236}">
                <a16:creationId xmlns="" xmlns:a16="http://schemas.microsoft.com/office/drawing/2014/main" id="{00000000-0008-0000-2A00-000034000000}"/>
              </a:ext>
            </a:extLst>
          </xdr:cNvPr>
          <xdr:cNvCxnSpPr/>
        </xdr:nvCxnSpPr>
        <xdr:spPr>
          <a:xfrm flipV="1">
            <a:off x="2013733" y="4003460"/>
            <a:ext cx="2860389" cy="12400"/>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53" name="Connecteur droit 52">
            <a:extLst>
              <a:ext uri="{FF2B5EF4-FFF2-40B4-BE49-F238E27FC236}">
                <a16:creationId xmlns="" xmlns:a16="http://schemas.microsoft.com/office/drawing/2014/main" id="{00000000-0008-0000-2A00-000035000000}"/>
              </a:ext>
            </a:extLst>
          </xdr:cNvPr>
          <xdr:cNvCxnSpPr/>
        </xdr:nvCxnSpPr>
        <xdr:spPr>
          <a:xfrm rot="5400000">
            <a:off x="1889738" y="4009659"/>
            <a:ext cx="24799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54" name="Connecteur droit 53">
            <a:extLst>
              <a:ext uri="{FF2B5EF4-FFF2-40B4-BE49-F238E27FC236}">
                <a16:creationId xmlns="" xmlns:a16="http://schemas.microsoft.com/office/drawing/2014/main" id="{00000000-0008-0000-2A00-000036000000}"/>
              </a:ext>
            </a:extLst>
          </xdr:cNvPr>
          <xdr:cNvCxnSpPr/>
        </xdr:nvCxnSpPr>
        <xdr:spPr>
          <a:xfrm rot="5400000">
            <a:off x="4680990" y="4015859"/>
            <a:ext cx="30998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55" name="Connecteur droit 54">
            <a:extLst>
              <a:ext uri="{FF2B5EF4-FFF2-40B4-BE49-F238E27FC236}">
                <a16:creationId xmlns="" xmlns:a16="http://schemas.microsoft.com/office/drawing/2014/main" id="{00000000-0008-0000-2A00-000037000000}"/>
              </a:ext>
            </a:extLst>
          </xdr:cNvPr>
          <xdr:cNvCxnSpPr/>
        </xdr:nvCxnSpPr>
        <xdr:spPr>
          <a:xfrm rot="5400000">
            <a:off x="2070191" y="4037558"/>
            <a:ext cx="192192"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56" name="Connecteur droit 55">
            <a:extLst>
              <a:ext uri="{FF2B5EF4-FFF2-40B4-BE49-F238E27FC236}">
                <a16:creationId xmlns="" xmlns:a16="http://schemas.microsoft.com/office/drawing/2014/main" id="{00000000-0008-0000-2A00-000038000000}"/>
              </a:ext>
            </a:extLst>
          </xdr:cNvPr>
          <xdr:cNvCxnSpPr/>
        </xdr:nvCxnSpPr>
        <xdr:spPr>
          <a:xfrm rot="5400000">
            <a:off x="4612603" y="4025159"/>
            <a:ext cx="179793"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57" name="Connecteur droit 56">
            <a:extLst>
              <a:ext uri="{FF2B5EF4-FFF2-40B4-BE49-F238E27FC236}">
                <a16:creationId xmlns="" xmlns:a16="http://schemas.microsoft.com/office/drawing/2014/main" id="{00000000-0008-0000-2A00-000039000000}"/>
              </a:ext>
            </a:extLst>
          </xdr:cNvPr>
          <xdr:cNvCxnSpPr/>
        </xdr:nvCxnSpPr>
        <xdr:spPr>
          <a:xfrm rot="5400000">
            <a:off x="4174166" y="4018959"/>
            <a:ext cx="192192"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58" name="Connecteur droit 57">
            <a:extLst>
              <a:ext uri="{FF2B5EF4-FFF2-40B4-BE49-F238E27FC236}">
                <a16:creationId xmlns="" xmlns:a16="http://schemas.microsoft.com/office/drawing/2014/main" id="{00000000-0008-0000-2A00-00003A000000}"/>
              </a:ext>
            </a:extLst>
          </xdr:cNvPr>
          <xdr:cNvCxnSpPr/>
        </xdr:nvCxnSpPr>
        <xdr:spPr>
          <a:xfrm rot="5400000">
            <a:off x="3830920" y="4012759"/>
            <a:ext cx="192192"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59" name="ZoneTexte 58">
            <a:extLst>
              <a:ext uri="{FF2B5EF4-FFF2-40B4-BE49-F238E27FC236}">
                <a16:creationId xmlns="" xmlns:a16="http://schemas.microsoft.com/office/drawing/2014/main" id="{00000000-0008-0000-2A00-00003B000000}"/>
              </a:ext>
            </a:extLst>
          </xdr:cNvPr>
          <xdr:cNvSpPr txBox="1"/>
        </xdr:nvSpPr>
        <xdr:spPr>
          <a:xfrm>
            <a:off x="3087968" y="3079696"/>
            <a:ext cx="343247" cy="2231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solidFill>
                  <a:srgbClr val="00B0F0"/>
                </a:solidFill>
              </a:rPr>
              <a:t>55</a:t>
            </a:r>
          </a:p>
        </xdr:txBody>
      </xdr:sp>
      <xdr:sp macro="" textlink="">
        <xdr:nvSpPr>
          <xdr:cNvPr id="60" name="ZoneTexte 59">
            <a:extLst>
              <a:ext uri="{FF2B5EF4-FFF2-40B4-BE49-F238E27FC236}">
                <a16:creationId xmlns="" xmlns:a16="http://schemas.microsoft.com/office/drawing/2014/main" id="{00000000-0008-0000-2A00-00003C000000}"/>
              </a:ext>
            </a:extLst>
          </xdr:cNvPr>
          <xdr:cNvSpPr txBox="1"/>
        </xdr:nvSpPr>
        <xdr:spPr>
          <a:xfrm>
            <a:off x="1937456" y="3743070"/>
            <a:ext cx="368672" cy="2169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10</a:t>
            </a:r>
          </a:p>
        </xdr:txBody>
      </xdr:sp>
      <xdr:sp macro="" textlink="">
        <xdr:nvSpPr>
          <xdr:cNvPr id="61" name="ZoneTexte 60">
            <a:extLst>
              <a:ext uri="{FF2B5EF4-FFF2-40B4-BE49-F238E27FC236}">
                <a16:creationId xmlns="" xmlns:a16="http://schemas.microsoft.com/office/drawing/2014/main" id="{00000000-0008-0000-2A00-00003D000000}"/>
              </a:ext>
            </a:extLst>
          </xdr:cNvPr>
          <xdr:cNvSpPr txBox="1"/>
        </xdr:nvSpPr>
        <xdr:spPr>
          <a:xfrm>
            <a:off x="4607153" y="3705871"/>
            <a:ext cx="381385" cy="2293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10</a:t>
            </a:r>
          </a:p>
        </xdr:txBody>
      </xdr:sp>
      <xdr:sp macro="" textlink="">
        <xdr:nvSpPr>
          <xdr:cNvPr id="62" name="ZoneTexte 61">
            <a:extLst>
              <a:ext uri="{FF2B5EF4-FFF2-40B4-BE49-F238E27FC236}">
                <a16:creationId xmlns="" xmlns:a16="http://schemas.microsoft.com/office/drawing/2014/main" id="{00000000-0008-0000-2A00-00003E000000}"/>
              </a:ext>
            </a:extLst>
          </xdr:cNvPr>
          <xdr:cNvSpPr txBox="1"/>
        </xdr:nvSpPr>
        <xdr:spPr>
          <a:xfrm>
            <a:off x="4289332" y="3786468"/>
            <a:ext cx="375029" cy="2293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20</a:t>
            </a:r>
          </a:p>
        </xdr:txBody>
      </xdr:sp>
      <xdr:sp macro="" textlink="">
        <xdr:nvSpPr>
          <xdr:cNvPr id="63" name="ZoneTexte 62">
            <a:extLst>
              <a:ext uri="{FF2B5EF4-FFF2-40B4-BE49-F238E27FC236}">
                <a16:creationId xmlns="" xmlns:a16="http://schemas.microsoft.com/office/drawing/2014/main" id="{00000000-0008-0000-2A00-00003F000000}"/>
              </a:ext>
            </a:extLst>
          </xdr:cNvPr>
          <xdr:cNvSpPr txBox="1"/>
        </xdr:nvSpPr>
        <xdr:spPr>
          <a:xfrm>
            <a:off x="2649375" y="3761669"/>
            <a:ext cx="432237" cy="272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12.5</a:t>
            </a:r>
          </a:p>
        </xdr:txBody>
      </xdr:sp>
      <xdr:sp macro="" textlink="">
        <xdr:nvSpPr>
          <xdr:cNvPr id="64" name="ZoneTexte 63">
            <a:extLst>
              <a:ext uri="{FF2B5EF4-FFF2-40B4-BE49-F238E27FC236}">
                <a16:creationId xmlns="" xmlns:a16="http://schemas.microsoft.com/office/drawing/2014/main" id="{00000000-0008-0000-2A00-000040000000}"/>
              </a:ext>
            </a:extLst>
          </xdr:cNvPr>
          <xdr:cNvSpPr txBox="1"/>
        </xdr:nvSpPr>
        <xdr:spPr>
          <a:xfrm>
            <a:off x="3774462" y="3743070"/>
            <a:ext cx="495801" cy="2169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12.5</a:t>
            </a:r>
          </a:p>
        </xdr:txBody>
      </xdr:sp>
      <xdr:sp macro="" textlink="">
        <xdr:nvSpPr>
          <xdr:cNvPr id="65" name="ZoneTexte 64">
            <a:extLst>
              <a:ext uri="{FF2B5EF4-FFF2-40B4-BE49-F238E27FC236}">
                <a16:creationId xmlns="" xmlns:a16="http://schemas.microsoft.com/office/drawing/2014/main" id="{00000000-0008-0000-2A00-000041000000}"/>
              </a:ext>
            </a:extLst>
          </xdr:cNvPr>
          <xdr:cNvSpPr txBox="1"/>
        </xdr:nvSpPr>
        <xdr:spPr>
          <a:xfrm>
            <a:off x="2458683" y="3761669"/>
            <a:ext cx="228831" cy="272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5</a:t>
            </a:r>
          </a:p>
        </xdr:txBody>
      </xdr:sp>
      <xdr:sp macro="" textlink="">
        <xdr:nvSpPr>
          <xdr:cNvPr id="66" name="ZoneTexte 65">
            <a:extLst>
              <a:ext uri="{FF2B5EF4-FFF2-40B4-BE49-F238E27FC236}">
                <a16:creationId xmlns="" xmlns:a16="http://schemas.microsoft.com/office/drawing/2014/main" id="{00000000-0008-0000-2A00-000042000000}"/>
              </a:ext>
            </a:extLst>
          </xdr:cNvPr>
          <xdr:cNvSpPr txBox="1"/>
        </xdr:nvSpPr>
        <xdr:spPr>
          <a:xfrm>
            <a:off x="2554029" y="4040658"/>
            <a:ext cx="222475" cy="2665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7</a:t>
            </a:r>
          </a:p>
        </xdr:txBody>
      </xdr:sp>
      <xdr:sp macro="" textlink="">
        <xdr:nvSpPr>
          <xdr:cNvPr id="67" name="ZoneTexte 66">
            <a:extLst>
              <a:ext uri="{FF2B5EF4-FFF2-40B4-BE49-F238E27FC236}">
                <a16:creationId xmlns="" xmlns:a16="http://schemas.microsoft.com/office/drawing/2014/main" id="{00000000-0008-0000-2A00-000043000000}"/>
              </a:ext>
            </a:extLst>
          </xdr:cNvPr>
          <xdr:cNvSpPr txBox="1"/>
        </xdr:nvSpPr>
        <xdr:spPr>
          <a:xfrm>
            <a:off x="4003293" y="4015859"/>
            <a:ext cx="228831" cy="272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7</a:t>
            </a:r>
          </a:p>
        </xdr:txBody>
      </xdr:sp>
      <xdr:cxnSp macro="">
        <xdr:nvCxnSpPr>
          <xdr:cNvPr id="68" name="Connecteur droit 67">
            <a:extLst>
              <a:ext uri="{FF2B5EF4-FFF2-40B4-BE49-F238E27FC236}">
                <a16:creationId xmlns="" xmlns:a16="http://schemas.microsoft.com/office/drawing/2014/main" id="{00000000-0008-0000-2A00-000044000000}"/>
              </a:ext>
            </a:extLst>
          </xdr:cNvPr>
          <xdr:cNvCxnSpPr/>
        </xdr:nvCxnSpPr>
        <xdr:spPr>
          <a:xfrm rot="5400000" flipH="1" flipV="1">
            <a:off x="1818339" y="2732510"/>
            <a:ext cx="314947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69" name="ZoneTexte 68">
            <a:extLst>
              <a:ext uri="{FF2B5EF4-FFF2-40B4-BE49-F238E27FC236}">
                <a16:creationId xmlns="" xmlns:a16="http://schemas.microsoft.com/office/drawing/2014/main" id="{00000000-0008-0000-2A00-000045000000}"/>
              </a:ext>
            </a:extLst>
          </xdr:cNvPr>
          <xdr:cNvSpPr txBox="1"/>
        </xdr:nvSpPr>
        <xdr:spPr>
          <a:xfrm>
            <a:off x="3259592" y="4040658"/>
            <a:ext cx="343247" cy="2293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2000" b="1"/>
              <a:t>A</a:t>
            </a:r>
          </a:p>
        </xdr:txBody>
      </xdr:sp>
      <xdr:sp macro="" textlink="">
        <xdr:nvSpPr>
          <xdr:cNvPr id="70" name="ZoneTexte 69">
            <a:extLst>
              <a:ext uri="{FF2B5EF4-FFF2-40B4-BE49-F238E27FC236}">
                <a16:creationId xmlns="" xmlns:a16="http://schemas.microsoft.com/office/drawing/2014/main" id="{00000000-0008-0000-2A00-000046000000}"/>
              </a:ext>
            </a:extLst>
          </xdr:cNvPr>
          <xdr:cNvSpPr txBox="1"/>
        </xdr:nvSpPr>
        <xdr:spPr>
          <a:xfrm>
            <a:off x="3297730" y="1046177"/>
            <a:ext cx="362316" cy="2231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2000"/>
              <a:t>A</a:t>
            </a:r>
          </a:p>
        </xdr:txBody>
      </xdr:sp>
      <xdr:cxnSp macro="">
        <xdr:nvCxnSpPr>
          <xdr:cNvPr id="71" name="Connecteur droit avec flèche 70">
            <a:extLst>
              <a:ext uri="{FF2B5EF4-FFF2-40B4-BE49-F238E27FC236}">
                <a16:creationId xmlns="" xmlns:a16="http://schemas.microsoft.com/office/drawing/2014/main" id="{00000000-0008-0000-2A00-000047000000}"/>
              </a:ext>
            </a:extLst>
          </xdr:cNvPr>
          <xdr:cNvCxnSpPr/>
        </xdr:nvCxnSpPr>
        <xdr:spPr>
          <a:xfrm rot="10800000" flipV="1">
            <a:off x="4213055" y="1566956"/>
            <a:ext cx="813622" cy="365786"/>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72" name="ZoneTexte 71">
            <a:extLst>
              <a:ext uri="{FF2B5EF4-FFF2-40B4-BE49-F238E27FC236}">
                <a16:creationId xmlns="" xmlns:a16="http://schemas.microsoft.com/office/drawing/2014/main" id="{00000000-0008-0000-2A00-000048000000}"/>
              </a:ext>
            </a:extLst>
          </xdr:cNvPr>
          <xdr:cNvSpPr txBox="1"/>
        </xdr:nvSpPr>
        <xdr:spPr>
          <a:xfrm>
            <a:off x="5185587" y="946981"/>
            <a:ext cx="2339163" cy="235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Cheminée</a:t>
            </a:r>
          </a:p>
        </xdr:txBody>
      </xdr:sp>
      <xdr:sp macro="" textlink="">
        <xdr:nvSpPr>
          <xdr:cNvPr id="73" name="ZoneTexte 72">
            <a:extLst>
              <a:ext uri="{FF2B5EF4-FFF2-40B4-BE49-F238E27FC236}">
                <a16:creationId xmlns="" xmlns:a16="http://schemas.microsoft.com/office/drawing/2014/main" id="{00000000-0008-0000-2A00-000049000000}"/>
              </a:ext>
            </a:extLst>
          </xdr:cNvPr>
          <xdr:cNvSpPr txBox="1"/>
        </xdr:nvSpPr>
        <xdr:spPr>
          <a:xfrm>
            <a:off x="1975595" y="7028940"/>
            <a:ext cx="2707835" cy="3719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GB" sz="1100" b="1"/>
              <a:t>VUE EN PLAN INCINERATEUR AU CS</a:t>
            </a:r>
          </a:p>
        </xdr:txBody>
      </xdr:sp>
      <xdr:sp macro="" textlink="">
        <xdr:nvSpPr>
          <xdr:cNvPr id="74" name="Cadre 73">
            <a:extLst>
              <a:ext uri="{FF2B5EF4-FFF2-40B4-BE49-F238E27FC236}">
                <a16:creationId xmlns="" xmlns:a16="http://schemas.microsoft.com/office/drawing/2014/main" id="{00000000-0008-0000-2A00-00004A000000}"/>
              </a:ext>
            </a:extLst>
          </xdr:cNvPr>
          <xdr:cNvSpPr/>
        </xdr:nvSpPr>
        <xdr:spPr>
          <a:xfrm>
            <a:off x="3221453" y="3513679"/>
            <a:ext cx="362316" cy="2473702"/>
          </a:xfrm>
          <a:prstGeom prst="frame">
            <a:avLst/>
          </a:prstGeom>
          <a:solidFill>
            <a:schemeClr val="accent2"/>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sp macro="" textlink="">
        <xdr:nvSpPr>
          <xdr:cNvPr id="75" name="Ellipse 74">
            <a:extLst>
              <a:ext uri="{FF2B5EF4-FFF2-40B4-BE49-F238E27FC236}">
                <a16:creationId xmlns="" xmlns:a16="http://schemas.microsoft.com/office/drawing/2014/main" id="{00000000-0008-0000-2A00-00004B000000}"/>
              </a:ext>
            </a:extLst>
          </xdr:cNvPr>
          <xdr:cNvSpPr/>
        </xdr:nvSpPr>
        <xdr:spPr>
          <a:xfrm>
            <a:off x="2973553" y="5863386"/>
            <a:ext cx="896255" cy="861766"/>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sp macro="" textlink="">
        <xdr:nvSpPr>
          <xdr:cNvPr id="76" name="ZoneTexte 75">
            <a:extLst>
              <a:ext uri="{FF2B5EF4-FFF2-40B4-BE49-F238E27FC236}">
                <a16:creationId xmlns="" xmlns:a16="http://schemas.microsoft.com/office/drawing/2014/main" id="{00000000-0008-0000-2A00-00004C000000}"/>
              </a:ext>
            </a:extLst>
          </xdr:cNvPr>
          <xdr:cNvSpPr txBox="1"/>
        </xdr:nvSpPr>
        <xdr:spPr>
          <a:xfrm>
            <a:off x="4683430" y="5925383"/>
            <a:ext cx="1417482" cy="5827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FOSSE A CENDRE COUVERTE PAR UN DALOT </a:t>
            </a:r>
            <a:r>
              <a:rPr lang="en-GB" sz="1100" baseline="0"/>
              <a:t> EN BA</a:t>
            </a:r>
            <a:endParaRPr lang="en-GB" sz="1100"/>
          </a:p>
        </xdr:txBody>
      </xdr:sp>
      <xdr:cxnSp macro="">
        <xdr:nvCxnSpPr>
          <xdr:cNvPr id="77" name="Connecteur droit avec flèche 76">
            <a:extLst>
              <a:ext uri="{FF2B5EF4-FFF2-40B4-BE49-F238E27FC236}">
                <a16:creationId xmlns="" xmlns:a16="http://schemas.microsoft.com/office/drawing/2014/main" id="{00000000-0008-0000-2A00-00004D000000}"/>
              </a:ext>
            </a:extLst>
          </xdr:cNvPr>
          <xdr:cNvCxnSpPr>
            <a:stCxn id="76" idx="1"/>
          </xdr:cNvCxnSpPr>
        </xdr:nvCxnSpPr>
        <xdr:spPr>
          <a:xfrm rot="10800000" flipV="1">
            <a:off x="3888877" y="6216772"/>
            <a:ext cx="794553" cy="198392"/>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78" name="Connecteur droit avec flèche 77">
            <a:extLst>
              <a:ext uri="{FF2B5EF4-FFF2-40B4-BE49-F238E27FC236}">
                <a16:creationId xmlns="" xmlns:a16="http://schemas.microsoft.com/office/drawing/2014/main" id="{00000000-0008-0000-2A00-00004E000000}"/>
              </a:ext>
            </a:extLst>
          </xdr:cNvPr>
          <xdr:cNvCxnSpPr/>
        </xdr:nvCxnSpPr>
        <xdr:spPr>
          <a:xfrm flipV="1">
            <a:off x="3049830" y="6142375"/>
            <a:ext cx="762770" cy="309988"/>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79" name="ZoneTexte 78">
            <a:extLst>
              <a:ext uri="{FF2B5EF4-FFF2-40B4-BE49-F238E27FC236}">
                <a16:creationId xmlns="" xmlns:a16="http://schemas.microsoft.com/office/drawing/2014/main" id="{00000000-0008-0000-2A00-00004F000000}"/>
              </a:ext>
            </a:extLst>
          </xdr:cNvPr>
          <xdr:cNvSpPr txBox="1"/>
        </xdr:nvSpPr>
        <xdr:spPr>
          <a:xfrm rot="20040044">
            <a:off x="3221453" y="6111376"/>
            <a:ext cx="438593" cy="1673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120</a:t>
            </a:r>
          </a:p>
        </xdr:txBody>
      </xdr:sp>
      <xdr:cxnSp macro="">
        <xdr:nvCxnSpPr>
          <xdr:cNvPr id="80" name="Connecteur droit avec flèche 79">
            <a:extLst>
              <a:ext uri="{FF2B5EF4-FFF2-40B4-BE49-F238E27FC236}">
                <a16:creationId xmlns="" xmlns:a16="http://schemas.microsoft.com/office/drawing/2014/main" id="{00000000-0008-0000-2A00-000050000000}"/>
              </a:ext>
            </a:extLst>
          </xdr:cNvPr>
          <xdr:cNvCxnSpPr/>
        </xdr:nvCxnSpPr>
        <xdr:spPr>
          <a:xfrm flipV="1">
            <a:off x="3501136" y="3271889"/>
            <a:ext cx="387742" cy="18599"/>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81" name="Connecteur droit avec flèche 80">
            <a:extLst>
              <a:ext uri="{FF2B5EF4-FFF2-40B4-BE49-F238E27FC236}">
                <a16:creationId xmlns="" xmlns:a16="http://schemas.microsoft.com/office/drawing/2014/main" id="{00000000-0008-0000-2A00-000051000000}"/>
              </a:ext>
            </a:extLst>
          </xdr:cNvPr>
          <xdr:cNvCxnSpPr/>
        </xdr:nvCxnSpPr>
        <xdr:spPr>
          <a:xfrm rot="10800000">
            <a:off x="2878207" y="3290488"/>
            <a:ext cx="457662" cy="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82" name="Connecteur droit avec flèche 81">
            <a:extLst>
              <a:ext uri="{FF2B5EF4-FFF2-40B4-BE49-F238E27FC236}">
                <a16:creationId xmlns="" xmlns:a16="http://schemas.microsoft.com/office/drawing/2014/main" id="{00000000-0008-0000-2A00-000052000000}"/>
              </a:ext>
            </a:extLst>
          </xdr:cNvPr>
          <xdr:cNvCxnSpPr/>
        </xdr:nvCxnSpPr>
        <xdr:spPr>
          <a:xfrm>
            <a:off x="2013733" y="674191"/>
            <a:ext cx="2822251" cy="12400"/>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83" name="Connecteur droit 82">
            <a:extLst>
              <a:ext uri="{FF2B5EF4-FFF2-40B4-BE49-F238E27FC236}">
                <a16:creationId xmlns="" xmlns:a16="http://schemas.microsoft.com/office/drawing/2014/main" id="{00000000-0008-0000-2A00-000053000000}"/>
              </a:ext>
            </a:extLst>
          </xdr:cNvPr>
          <xdr:cNvCxnSpPr/>
        </xdr:nvCxnSpPr>
        <xdr:spPr>
          <a:xfrm rot="5400000">
            <a:off x="4752757" y="671092"/>
            <a:ext cx="204592"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4" name="Connecteur droit 83">
            <a:extLst>
              <a:ext uri="{FF2B5EF4-FFF2-40B4-BE49-F238E27FC236}">
                <a16:creationId xmlns="" xmlns:a16="http://schemas.microsoft.com/office/drawing/2014/main" id="{00000000-0008-0000-2A00-000054000000}"/>
              </a:ext>
            </a:extLst>
          </xdr:cNvPr>
          <xdr:cNvCxnSpPr/>
        </xdr:nvCxnSpPr>
        <xdr:spPr>
          <a:xfrm rot="5400000">
            <a:off x="1886638" y="677291"/>
            <a:ext cx="25419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85" name="Rectangle 84">
            <a:extLst>
              <a:ext uri="{FF2B5EF4-FFF2-40B4-BE49-F238E27FC236}">
                <a16:creationId xmlns="" xmlns:a16="http://schemas.microsoft.com/office/drawing/2014/main" id="{00000000-0008-0000-2A00-000055000000}"/>
              </a:ext>
            </a:extLst>
          </xdr:cNvPr>
          <xdr:cNvSpPr/>
        </xdr:nvSpPr>
        <xdr:spPr>
          <a:xfrm>
            <a:off x="2916345" y="4964421"/>
            <a:ext cx="305108" cy="291388"/>
          </a:xfrm>
          <a:prstGeom prst="rect">
            <a:avLst/>
          </a:prstGeom>
          <a:solidFill>
            <a:schemeClr val="accent2"/>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sp macro="" textlink="">
        <xdr:nvSpPr>
          <xdr:cNvPr id="86" name="ZoneTexte 85">
            <a:extLst>
              <a:ext uri="{FF2B5EF4-FFF2-40B4-BE49-F238E27FC236}">
                <a16:creationId xmlns="" xmlns:a16="http://schemas.microsoft.com/office/drawing/2014/main" id="{00000000-0008-0000-2A00-000056000000}"/>
              </a:ext>
            </a:extLst>
          </xdr:cNvPr>
          <xdr:cNvSpPr txBox="1"/>
        </xdr:nvSpPr>
        <xdr:spPr>
          <a:xfrm>
            <a:off x="3259592" y="4524239"/>
            <a:ext cx="362316" cy="235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40</a:t>
            </a:r>
          </a:p>
        </xdr:txBody>
      </xdr:sp>
      <xdr:sp macro="" textlink="">
        <xdr:nvSpPr>
          <xdr:cNvPr id="87" name="ZoneTexte 86">
            <a:extLst>
              <a:ext uri="{FF2B5EF4-FFF2-40B4-BE49-F238E27FC236}">
                <a16:creationId xmlns="" xmlns:a16="http://schemas.microsoft.com/office/drawing/2014/main" id="{00000000-0008-0000-2A00-000057000000}"/>
              </a:ext>
            </a:extLst>
          </xdr:cNvPr>
          <xdr:cNvSpPr txBox="1"/>
        </xdr:nvSpPr>
        <xdr:spPr>
          <a:xfrm>
            <a:off x="4835984" y="4586236"/>
            <a:ext cx="1125086" cy="5765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CANAL POUR EVACUER LA CENDRE</a:t>
            </a:r>
          </a:p>
        </xdr:txBody>
      </xdr:sp>
      <xdr:cxnSp macro="">
        <xdr:nvCxnSpPr>
          <xdr:cNvPr id="88" name="Connecteur droit avec flèche 87">
            <a:extLst>
              <a:ext uri="{FF2B5EF4-FFF2-40B4-BE49-F238E27FC236}">
                <a16:creationId xmlns="" xmlns:a16="http://schemas.microsoft.com/office/drawing/2014/main" id="{00000000-0008-0000-2A00-000058000000}"/>
              </a:ext>
            </a:extLst>
          </xdr:cNvPr>
          <xdr:cNvCxnSpPr>
            <a:stCxn id="87" idx="1"/>
          </xdr:cNvCxnSpPr>
        </xdr:nvCxnSpPr>
        <xdr:spPr>
          <a:xfrm rot="10800000" flipV="1">
            <a:off x="3507492" y="4871425"/>
            <a:ext cx="1328492" cy="229391"/>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89" name="ZoneTexte 88">
            <a:extLst>
              <a:ext uri="{FF2B5EF4-FFF2-40B4-BE49-F238E27FC236}">
                <a16:creationId xmlns="" xmlns:a16="http://schemas.microsoft.com/office/drawing/2014/main" id="{00000000-0008-0000-2A00-000059000000}"/>
              </a:ext>
            </a:extLst>
          </xdr:cNvPr>
          <xdr:cNvSpPr txBox="1"/>
        </xdr:nvSpPr>
        <xdr:spPr>
          <a:xfrm>
            <a:off x="1384448" y="5299208"/>
            <a:ext cx="1131443" cy="5827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GB" sz="1100"/>
              <a:t>PLACE POUR CONCASSEUR A FLACON</a:t>
            </a:r>
          </a:p>
        </xdr:txBody>
      </xdr:sp>
      <xdr:cxnSp macro="">
        <xdr:nvCxnSpPr>
          <xdr:cNvPr id="90" name="Connecteur droit avec flèche 89">
            <a:extLst>
              <a:ext uri="{FF2B5EF4-FFF2-40B4-BE49-F238E27FC236}">
                <a16:creationId xmlns="" xmlns:a16="http://schemas.microsoft.com/office/drawing/2014/main" id="{00000000-0008-0000-2A00-00005A000000}"/>
              </a:ext>
            </a:extLst>
          </xdr:cNvPr>
          <xdr:cNvCxnSpPr>
            <a:stCxn id="85" idx="1"/>
          </xdr:cNvCxnSpPr>
        </xdr:nvCxnSpPr>
        <xdr:spPr>
          <a:xfrm rot="10800000" flipV="1">
            <a:off x="2496821" y="5100816"/>
            <a:ext cx="419524" cy="433983"/>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91" name="ZoneTexte 90">
            <a:extLst>
              <a:ext uri="{FF2B5EF4-FFF2-40B4-BE49-F238E27FC236}">
                <a16:creationId xmlns="" xmlns:a16="http://schemas.microsoft.com/office/drawing/2014/main" id="{00000000-0008-0000-2A00-00005B000000}"/>
              </a:ext>
            </a:extLst>
          </xdr:cNvPr>
          <xdr:cNvSpPr txBox="1"/>
        </xdr:nvSpPr>
        <xdr:spPr>
          <a:xfrm>
            <a:off x="3145176" y="457200"/>
            <a:ext cx="591147" cy="2293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164</a:t>
            </a:r>
          </a:p>
        </xdr:txBody>
      </xdr:sp>
      <xdr:cxnSp macro="">
        <xdr:nvCxnSpPr>
          <xdr:cNvPr id="92" name="Connecteur droit avec flèche 91">
            <a:extLst>
              <a:ext uri="{FF2B5EF4-FFF2-40B4-BE49-F238E27FC236}">
                <a16:creationId xmlns="" xmlns:a16="http://schemas.microsoft.com/office/drawing/2014/main" id="{00000000-0008-0000-2A00-00005C000000}"/>
              </a:ext>
            </a:extLst>
          </xdr:cNvPr>
          <xdr:cNvCxnSpPr/>
        </xdr:nvCxnSpPr>
        <xdr:spPr>
          <a:xfrm rot="16200000" flipH="1">
            <a:off x="423989" y="2450108"/>
            <a:ext cx="2213312" cy="25426"/>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93" name="Connecteur droit 92">
            <a:extLst>
              <a:ext uri="{FF2B5EF4-FFF2-40B4-BE49-F238E27FC236}">
                <a16:creationId xmlns="" xmlns:a16="http://schemas.microsoft.com/office/drawing/2014/main" id="{00000000-0008-0000-2A00-00005D000000}"/>
              </a:ext>
            </a:extLst>
          </xdr:cNvPr>
          <xdr:cNvCxnSpPr/>
        </xdr:nvCxnSpPr>
        <xdr:spPr>
          <a:xfrm rot="10800000">
            <a:off x="1346309" y="1356164"/>
            <a:ext cx="692850"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94" name="Connecteur droit 93">
            <a:extLst>
              <a:ext uri="{FF2B5EF4-FFF2-40B4-BE49-F238E27FC236}">
                <a16:creationId xmlns="" xmlns:a16="http://schemas.microsoft.com/office/drawing/2014/main" id="{00000000-0008-0000-2A00-00005E000000}"/>
              </a:ext>
            </a:extLst>
          </xdr:cNvPr>
          <xdr:cNvCxnSpPr/>
        </xdr:nvCxnSpPr>
        <xdr:spPr>
          <a:xfrm rot="10800000">
            <a:off x="1403517" y="3544678"/>
            <a:ext cx="610216"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95" name="Connecteur droit avec flèche 94">
            <a:extLst>
              <a:ext uri="{FF2B5EF4-FFF2-40B4-BE49-F238E27FC236}">
                <a16:creationId xmlns="" xmlns:a16="http://schemas.microsoft.com/office/drawing/2014/main" id="{00000000-0008-0000-2A00-00005F000000}"/>
              </a:ext>
            </a:extLst>
          </xdr:cNvPr>
          <xdr:cNvCxnSpPr/>
        </xdr:nvCxnSpPr>
        <xdr:spPr>
          <a:xfrm rot="10800000" flipV="1">
            <a:off x="3907947" y="2106335"/>
            <a:ext cx="1137799" cy="390585"/>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96" name="ZoneTexte 95">
            <a:extLst>
              <a:ext uri="{FF2B5EF4-FFF2-40B4-BE49-F238E27FC236}">
                <a16:creationId xmlns="" xmlns:a16="http://schemas.microsoft.com/office/drawing/2014/main" id="{00000000-0008-0000-2A00-000060000000}"/>
              </a:ext>
            </a:extLst>
          </xdr:cNvPr>
          <xdr:cNvSpPr txBox="1"/>
        </xdr:nvSpPr>
        <xdr:spPr>
          <a:xfrm>
            <a:off x="4893192" y="1957541"/>
            <a:ext cx="2256529" cy="446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GB" sz="1100"/>
              <a:t>Grille</a:t>
            </a:r>
            <a:r>
              <a:rPr lang="en-GB" sz="1100" baseline="0"/>
              <a:t> métallique( diametre 14mm, espacement 2,5cm)</a:t>
            </a:r>
            <a:endParaRPr lang="en-GB" sz="1100"/>
          </a:p>
        </xdr:txBody>
      </xdr:sp>
      <xdr:cxnSp macro="">
        <xdr:nvCxnSpPr>
          <xdr:cNvPr id="97" name="Connecteur droit avec flèche 96">
            <a:extLst>
              <a:ext uri="{FF2B5EF4-FFF2-40B4-BE49-F238E27FC236}">
                <a16:creationId xmlns="" xmlns:a16="http://schemas.microsoft.com/office/drawing/2014/main" id="{00000000-0008-0000-2A00-000061000000}"/>
              </a:ext>
            </a:extLst>
          </xdr:cNvPr>
          <xdr:cNvCxnSpPr/>
        </xdr:nvCxnSpPr>
        <xdr:spPr>
          <a:xfrm rot="10800000" flipV="1">
            <a:off x="3507492" y="1120574"/>
            <a:ext cx="2021342" cy="855566"/>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98" name="ZoneTexte 97">
            <a:extLst>
              <a:ext uri="{FF2B5EF4-FFF2-40B4-BE49-F238E27FC236}">
                <a16:creationId xmlns="" xmlns:a16="http://schemas.microsoft.com/office/drawing/2014/main" id="{00000000-0008-0000-2A00-000062000000}"/>
              </a:ext>
            </a:extLst>
          </xdr:cNvPr>
          <xdr:cNvSpPr txBox="1"/>
        </xdr:nvSpPr>
        <xdr:spPr>
          <a:xfrm>
            <a:off x="4950400" y="1405762"/>
            <a:ext cx="2313737" cy="235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Espace vide pour dissipation chaleur</a:t>
            </a:r>
          </a:p>
        </xdr:txBody>
      </xdr:sp>
      <xdr:sp macro="" textlink="">
        <xdr:nvSpPr>
          <xdr:cNvPr id="99" name="ZoneTexte 98">
            <a:extLst>
              <a:ext uri="{FF2B5EF4-FFF2-40B4-BE49-F238E27FC236}">
                <a16:creationId xmlns="" xmlns:a16="http://schemas.microsoft.com/office/drawing/2014/main" id="{00000000-0008-0000-2A00-000063000000}"/>
              </a:ext>
            </a:extLst>
          </xdr:cNvPr>
          <xdr:cNvSpPr txBox="1"/>
        </xdr:nvSpPr>
        <xdr:spPr>
          <a:xfrm rot="16200000">
            <a:off x="1220624" y="2472400"/>
            <a:ext cx="365786" cy="228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48</a:t>
            </a:r>
          </a:p>
        </xdr:txBody>
      </xdr:sp>
      <xdr:sp macro="" textlink="">
        <xdr:nvSpPr>
          <xdr:cNvPr id="100" name="ZoneTexte 99">
            <a:extLst>
              <a:ext uri="{FF2B5EF4-FFF2-40B4-BE49-F238E27FC236}">
                <a16:creationId xmlns="" xmlns:a16="http://schemas.microsoft.com/office/drawing/2014/main" id="{00000000-0008-0000-2A00-000064000000}"/>
              </a:ext>
            </a:extLst>
          </xdr:cNvPr>
          <xdr:cNvSpPr txBox="1"/>
        </xdr:nvSpPr>
        <xdr:spPr>
          <a:xfrm rot="16200000">
            <a:off x="1169929" y="3371208"/>
            <a:ext cx="378185" cy="241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10</a:t>
            </a:r>
          </a:p>
        </xdr:txBody>
      </xdr:sp>
      <xdr:sp macro="" textlink="">
        <xdr:nvSpPr>
          <xdr:cNvPr id="101" name="ZoneTexte 100">
            <a:extLst>
              <a:ext uri="{FF2B5EF4-FFF2-40B4-BE49-F238E27FC236}">
                <a16:creationId xmlns="" xmlns:a16="http://schemas.microsoft.com/office/drawing/2014/main" id="{00000000-0008-0000-2A00-000065000000}"/>
              </a:ext>
            </a:extLst>
          </xdr:cNvPr>
          <xdr:cNvSpPr txBox="1"/>
        </xdr:nvSpPr>
        <xdr:spPr>
          <a:xfrm rot="16200000">
            <a:off x="1265197" y="3160338"/>
            <a:ext cx="371985" cy="247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20</a:t>
            </a:r>
          </a:p>
        </xdr:txBody>
      </xdr:sp>
      <xdr:sp macro="" textlink="">
        <xdr:nvSpPr>
          <xdr:cNvPr id="102" name="ZoneTexte 101">
            <a:extLst>
              <a:ext uri="{FF2B5EF4-FFF2-40B4-BE49-F238E27FC236}">
                <a16:creationId xmlns="" xmlns:a16="http://schemas.microsoft.com/office/drawing/2014/main" id="{00000000-0008-0000-2A00-000066000000}"/>
              </a:ext>
            </a:extLst>
          </xdr:cNvPr>
          <xdr:cNvSpPr txBox="1"/>
        </xdr:nvSpPr>
        <xdr:spPr>
          <a:xfrm rot="16200000">
            <a:off x="1249463" y="1880324"/>
            <a:ext cx="384385" cy="228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40</a:t>
            </a:r>
          </a:p>
        </xdr:txBody>
      </xdr:sp>
      <xdr:sp macro="" textlink="">
        <xdr:nvSpPr>
          <xdr:cNvPr id="103" name="ZoneTexte 102">
            <a:extLst>
              <a:ext uri="{FF2B5EF4-FFF2-40B4-BE49-F238E27FC236}">
                <a16:creationId xmlns="" xmlns:a16="http://schemas.microsoft.com/office/drawing/2014/main" id="{00000000-0008-0000-2A00-000067000000}"/>
              </a:ext>
            </a:extLst>
          </xdr:cNvPr>
          <xdr:cNvSpPr txBox="1"/>
        </xdr:nvSpPr>
        <xdr:spPr>
          <a:xfrm rot="16200000">
            <a:off x="1287210" y="1452462"/>
            <a:ext cx="353386" cy="235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20</a:t>
            </a:r>
          </a:p>
        </xdr:txBody>
      </xdr:sp>
      <xdr:sp macro="" textlink="">
        <xdr:nvSpPr>
          <xdr:cNvPr id="104" name="ZoneTexte 103">
            <a:extLst>
              <a:ext uri="{FF2B5EF4-FFF2-40B4-BE49-F238E27FC236}">
                <a16:creationId xmlns="" xmlns:a16="http://schemas.microsoft.com/office/drawing/2014/main" id="{00000000-0008-0000-2A00-000068000000}"/>
              </a:ext>
            </a:extLst>
          </xdr:cNvPr>
          <xdr:cNvSpPr txBox="1"/>
        </xdr:nvSpPr>
        <xdr:spPr>
          <a:xfrm rot="16200000">
            <a:off x="1249306" y="1669375"/>
            <a:ext cx="371985" cy="241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12</a:t>
            </a:r>
          </a:p>
        </xdr:txBody>
      </xdr:sp>
      <xdr:cxnSp macro="">
        <xdr:nvCxnSpPr>
          <xdr:cNvPr id="105" name="Connecteur droit 104">
            <a:extLst>
              <a:ext uri="{FF2B5EF4-FFF2-40B4-BE49-F238E27FC236}">
                <a16:creationId xmlns="" xmlns:a16="http://schemas.microsoft.com/office/drawing/2014/main" id="{00000000-0008-0000-2A00-000069000000}"/>
              </a:ext>
            </a:extLst>
          </xdr:cNvPr>
          <xdr:cNvCxnSpPr/>
        </xdr:nvCxnSpPr>
        <xdr:spPr>
          <a:xfrm rot="5400000">
            <a:off x="2794823" y="3256389"/>
            <a:ext cx="192192"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06" name="Connecteur droit 105">
            <a:extLst>
              <a:ext uri="{FF2B5EF4-FFF2-40B4-BE49-F238E27FC236}">
                <a16:creationId xmlns="" xmlns:a16="http://schemas.microsoft.com/office/drawing/2014/main" id="{00000000-0008-0000-2A00-00006A000000}"/>
              </a:ext>
            </a:extLst>
          </xdr:cNvPr>
          <xdr:cNvCxnSpPr/>
        </xdr:nvCxnSpPr>
        <xdr:spPr>
          <a:xfrm rot="16200000" flipH="1">
            <a:off x="3547991" y="2438022"/>
            <a:ext cx="1444543"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52</xdr:col>
      <xdr:colOff>0</xdr:colOff>
      <xdr:row>38</xdr:row>
      <xdr:rowOff>111125</xdr:rowOff>
    </xdr:from>
    <xdr:to>
      <xdr:col>54</xdr:col>
      <xdr:colOff>136734</xdr:colOff>
      <xdr:row>43</xdr:row>
      <xdr:rowOff>85328</xdr:rowOff>
    </xdr:to>
    <xdr:sp macro="" textlink="">
      <xdr:nvSpPr>
        <xdr:cNvPr id="107" name="Rectangle 106">
          <a:extLst>
            <a:ext uri="{FF2B5EF4-FFF2-40B4-BE49-F238E27FC236}">
              <a16:creationId xmlns="" xmlns:a16="http://schemas.microsoft.com/office/drawing/2014/main" id="{00000000-0008-0000-2A00-00006B000000}"/>
            </a:ext>
          </a:extLst>
        </xdr:cNvPr>
        <xdr:cNvSpPr/>
      </xdr:nvSpPr>
      <xdr:spPr>
        <a:xfrm>
          <a:off x="8077200" y="5562600"/>
          <a:ext cx="447675" cy="714375"/>
        </a:xfrm>
        <a:prstGeom prst="rect">
          <a:avLst/>
        </a:prstGeom>
        <a:blipFill>
          <a:blip xmlns:r="http://schemas.openxmlformats.org/officeDocument/2006/relationships" r:embed="rId2"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63</xdr:col>
      <xdr:colOff>135255</xdr:colOff>
      <xdr:row>39</xdr:row>
      <xdr:rowOff>0</xdr:rowOff>
    </xdr:from>
    <xdr:to>
      <xdr:col>66</xdr:col>
      <xdr:colOff>103795</xdr:colOff>
      <xdr:row>43</xdr:row>
      <xdr:rowOff>85223</xdr:rowOff>
    </xdr:to>
    <xdr:sp macro="" textlink="">
      <xdr:nvSpPr>
        <xdr:cNvPr id="108" name="Rectangle 107">
          <a:extLst>
            <a:ext uri="{FF2B5EF4-FFF2-40B4-BE49-F238E27FC236}">
              <a16:creationId xmlns="" xmlns:a16="http://schemas.microsoft.com/office/drawing/2014/main" id="{00000000-0008-0000-2A00-00006C000000}"/>
            </a:ext>
          </a:extLst>
        </xdr:cNvPr>
        <xdr:cNvSpPr/>
      </xdr:nvSpPr>
      <xdr:spPr>
        <a:xfrm>
          <a:off x="9896475" y="5572125"/>
          <a:ext cx="447675" cy="704850"/>
        </a:xfrm>
        <a:prstGeom prst="rect">
          <a:avLst/>
        </a:prstGeom>
        <a:blipFill>
          <a:blip xmlns:r="http://schemas.openxmlformats.org/officeDocument/2006/relationships" r:embed="rId2"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51</xdr:col>
      <xdr:colOff>135255</xdr:colOff>
      <xdr:row>38</xdr:row>
      <xdr:rowOff>56514</xdr:rowOff>
    </xdr:from>
    <xdr:to>
      <xdr:col>66</xdr:col>
      <xdr:colOff>103561</xdr:colOff>
      <xdr:row>38</xdr:row>
      <xdr:rowOff>110330</xdr:rowOff>
    </xdr:to>
    <xdr:sp macro="" textlink="">
      <xdr:nvSpPr>
        <xdr:cNvPr id="109" name="Rectangle 108">
          <a:extLst>
            <a:ext uri="{FF2B5EF4-FFF2-40B4-BE49-F238E27FC236}">
              <a16:creationId xmlns="" xmlns:a16="http://schemas.microsoft.com/office/drawing/2014/main" id="{00000000-0008-0000-2A00-00006D000000}"/>
            </a:ext>
          </a:extLst>
        </xdr:cNvPr>
        <xdr:cNvSpPr/>
      </xdr:nvSpPr>
      <xdr:spPr>
        <a:xfrm>
          <a:off x="8067675" y="5486399"/>
          <a:ext cx="2276475" cy="85725"/>
        </a:xfrm>
        <a:prstGeom prst="rect">
          <a:avLst/>
        </a:prstGeom>
        <a:blipFill>
          <a:blip xmlns:r="http://schemas.openxmlformats.org/officeDocument/2006/relationships" r:embed="rId3" cstate="print"/>
          <a:tile tx="0" ty="0" sx="100000" sy="100000" flip="none" algn="tl"/>
        </a:blip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ln w="9525">
              <a:solidFill>
                <a:schemeClr val="tx1"/>
              </a:solidFill>
            </a:ln>
          </a:endParaRPr>
        </a:p>
      </xdr:txBody>
    </xdr:sp>
    <xdr:clientData/>
  </xdr:twoCellAnchor>
  <xdr:twoCellAnchor>
    <xdr:from>
      <xdr:col>52</xdr:col>
      <xdr:colOff>69850</xdr:colOff>
      <xdr:row>21</xdr:row>
      <xdr:rowOff>38100</xdr:rowOff>
    </xdr:from>
    <xdr:to>
      <xdr:col>54</xdr:col>
      <xdr:colOff>107950</xdr:colOff>
      <xdr:row>38</xdr:row>
      <xdr:rowOff>44450</xdr:rowOff>
    </xdr:to>
    <xdr:sp macro="" textlink="">
      <xdr:nvSpPr>
        <xdr:cNvPr id="882198" name="Rectangle 390" descr="Horizontal brick">
          <a:extLst>
            <a:ext uri="{FF2B5EF4-FFF2-40B4-BE49-F238E27FC236}">
              <a16:creationId xmlns="" xmlns:a16="http://schemas.microsoft.com/office/drawing/2014/main" id="{00000000-0008-0000-2A00-000016760D00}"/>
            </a:ext>
          </a:extLst>
        </xdr:cNvPr>
        <xdr:cNvSpPr>
          <a:spLocks noChangeArrowheads="1"/>
        </xdr:cNvSpPr>
      </xdr:nvSpPr>
      <xdr:spPr bwMode="auto">
        <a:xfrm flipH="1">
          <a:off x="7994650" y="3028950"/>
          <a:ext cx="342900" cy="2381250"/>
        </a:xfrm>
        <a:prstGeom prst="rect">
          <a:avLst/>
        </a:prstGeom>
        <a:blipFill dpi="0" rotWithShape="0">
          <a:blip xmlns:r="http://schemas.openxmlformats.org/officeDocument/2006/relationships" r:embed="rId4"/>
          <a:srcRect/>
          <a:tile tx="0" ty="0" sx="100000" sy="100000" flip="none" algn="tl"/>
        </a:blipFill>
        <a:ln w="9525">
          <a:solidFill>
            <a:srgbClr val="000000"/>
          </a:solidFill>
          <a:miter lim="800000"/>
          <a:headEnd/>
          <a:tailEnd/>
        </a:ln>
      </xdr:spPr>
    </xdr:sp>
    <xdr:clientData/>
  </xdr:twoCellAnchor>
  <xdr:twoCellAnchor>
    <xdr:from>
      <xdr:col>63</xdr:col>
      <xdr:colOff>76200</xdr:colOff>
      <xdr:row>21</xdr:row>
      <xdr:rowOff>38100</xdr:rowOff>
    </xdr:from>
    <xdr:to>
      <xdr:col>65</xdr:col>
      <xdr:colOff>114300</xdr:colOff>
      <xdr:row>38</xdr:row>
      <xdr:rowOff>44450</xdr:rowOff>
    </xdr:to>
    <xdr:sp macro="" textlink="">
      <xdr:nvSpPr>
        <xdr:cNvPr id="882199" name="Rectangle 390" descr="Horizontal brick">
          <a:extLst>
            <a:ext uri="{FF2B5EF4-FFF2-40B4-BE49-F238E27FC236}">
              <a16:creationId xmlns="" xmlns:a16="http://schemas.microsoft.com/office/drawing/2014/main" id="{00000000-0008-0000-2A00-000017760D00}"/>
            </a:ext>
          </a:extLst>
        </xdr:cNvPr>
        <xdr:cNvSpPr>
          <a:spLocks noChangeArrowheads="1"/>
        </xdr:cNvSpPr>
      </xdr:nvSpPr>
      <xdr:spPr bwMode="auto">
        <a:xfrm flipH="1">
          <a:off x="9677400" y="3028950"/>
          <a:ext cx="342900" cy="2381250"/>
        </a:xfrm>
        <a:prstGeom prst="rect">
          <a:avLst/>
        </a:prstGeom>
        <a:blipFill dpi="0" rotWithShape="0">
          <a:blip xmlns:r="http://schemas.openxmlformats.org/officeDocument/2006/relationships" r:embed="rId4"/>
          <a:srcRect/>
          <a:tile tx="0" ty="0" sx="100000" sy="100000" flip="none" algn="tl"/>
        </a:blipFill>
        <a:ln w="9525">
          <a:solidFill>
            <a:srgbClr val="000000"/>
          </a:solidFill>
          <a:miter lim="800000"/>
          <a:headEnd/>
          <a:tailEnd/>
        </a:ln>
      </xdr:spPr>
    </xdr:sp>
    <xdr:clientData/>
  </xdr:twoCellAnchor>
  <xdr:twoCellAnchor>
    <xdr:from>
      <xdr:col>52</xdr:col>
      <xdr:colOff>64135</xdr:colOff>
      <xdr:row>20</xdr:row>
      <xdr:rowOff>55245</xdr:rowOff>
    </xdr:from>
    <xdr:to>
      <xdr:col>65</xdr:col>
      <xdr:colOff>103474</xdr:colOff>
      <xdr:row>21</xdr:row>
      <xdr:rowOff>39968</xdr:rowOff>
    </xdr:to>
    <xdr:sp macro="" textlink="">
      <xdr:nvSpPr>
        <xdr:cNvPr id="112" name="Rectangle 111">
          <a:extLst>
            <a:ext uri="{FF2B5EF4-FFF2-40B4-BE49-F238E27FC236}">
              <a16:creationId xmlns="" xmlns:a16="http://schemas.microsoft.com/office/drawing/2014/main" id="{00000000-0008-0000-2A00-000070000000}"/>
            </a:ext>
          </a:extLst>
        </xdr:cNvPr>
        <xdr:cNvSpPr/>
      </xdr:nvSpPr>
      <xdr:spPr>
        <a:xfrm>
          <a:off x="8153400" y="2924175"/>
          <a:ext cx="2038350" cy="123825"/>
        </a:xfrm>
        <a:prstGeom prst="rect">
          <a:avLst/>
        </a:prstGeom>
        <a:blipFill>
          <a:blip xmlns:r="http://schemas.openxmlformats.org/officeDocument/2006/relationships" r:embed="rId5" cstate="print"/>
          <a:tile tx="0" ty="0" sx="100000" sy="100000" flip="none" algn="tl"/>
        </a:blip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52</xdr:col>
      <xdr:colOff>64135</xdr:colOff>
      <xdr:row>21</xdr:row>
      <xdr:rowOff>19685</xdr:rowOff>
    </xdr:from>
    <xdr:to>
      <xdr:col>66</xdr:col>
      <xdr:colOff>68037</xdr:colOff>
      <xdr:row>21</xdr:row>
      <xdr:rowOff>19686</xdr:rowOff>
    </xdr:to>
    <xdr:cxnSp macro="">
      <xdr:nvCxnSpPr>
        <xdr:cNvPr id="113" name="Connecteur droit 112">
          <a:extLst>
            <a:ext uri="{FF2B5EF4-FFF2-40B4-BE49-F238E27FC236}">
              <a16:creationId xmlns="" xmlns:a16="http://schemas.microsoft.com/office/drawing/2014/main" id="{00000000-0008-0000-2A00-000071000000}"/>
            </a:ext>
          </a:extLst>
        </xdr:cNvPr>
        <xdr:cNvCxnSpPr/>
      </xdr:nvCxnSpPr>
      <xdr:spPr>
        <a:xfrm flipV="1">
          <a:off x="8153400" y="3009900"/>
          <a:ext cx="2066925" cy="1"/>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0</xdr:colOff>
      <xdr:row>20</xdr:row>
      <xdr:rowOff>56515</xdr:rowOff>
    </xdr:from>
    <xdr:to>
      <xdr:col>61</xdr:col>
      <xdr:colOff>66716</xdr:colOff>
      <xdr:row>20</xdr:row>
      <xdr:rowOff>112910</xdr:rowOff>
    </xdr:to>
    <xdr:sp macro="" textlink="">
      <xdr:nvSpPr>
        <xdr:cNvPr id="114" name="Ellipse 113">
          <a:extLst>
            <a:ext uri="{FF2B5EF4-FFF2-40B4-BE49-F238E27FC236}">
              <a16:creationId xmlns="" xmlns:a16="http://schemas.microsoft.com/office/drawing/2014/main" id="{00000000-0008-0000-2A00-000072000000}"/>
            </a:ext>
          </a:extLst>
        </xdr:cNvPr>
        <xdr:cNvSpPr/>
      </xdr:nvSpPr>
      <xdr:spPr>
        <a:xfrm>
          <a:off x="9448800" y="2933700"/>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53</xdr:col>
      <xdr:colOff>67945</xdr:colOff>
      <xdr:row>20</xdr:row>
      <xdr:rowOff>56515</xdr:rowOff>
    </xdr:from>
    <xdr:to>
      <xdr:col>53</xdr:col>
      <xdr:colOff>63828</xdr:colOff>
      <xdr:row>20</xdr:row>
      <xdr:rowOff>112910</xdr:rowOff>
    </xdr:to>
    <xdr:sp macro="" textlink="">
      <xdr:nvSpPr>
        <xdr:cNvPr id="115" name="Ellipse 114">
          <a:extLst>
            <a:ext uri="{FF2B5EF4-FFF2-40B4-BE49-F238E27FC236}">
              <a16:creationId xmlns="" xmlns:a16="http://schemas.microsoft.com/office/drawing/2014/main" id="{00000000-0008-0000-2A00-000073000000}"/>
            </a:ext>
          </a:extLst>
        </xdr:cNvPr>
        <xdr:cNvSpPr/>
      </xdr:nvSpPr>
      <xdr:spPr>
        <a:xfrm>
          <a:off x="8239125" y="2933700"/>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55</xdr:col>
      <xdr:colOff>64135</xdr:colOff>
      <xdr:row>20</xdr:row>
      <xdr:rowOff>74295</xdr:rowOff>
    </xdr:from>
    <xdr:to>
      <xdr:col>55</xdr:col>
      <xdr:colOff>122231</xdr:colOff>
      <xdr:row>20</xdr:row>
      <xdr:rowOff>110339</xdr:rowOff>
    </xdr:to>
    <xdr:sp macro="" textlink="">
      <xdr:nvSpPr>
        <xdr:cNvPr id="116" name="Ellipse 115">
          <a:extLst>
            <a:ext uri="{FF2B5EF4-FFF2-40B4-BE49-F238E27FC236}">
              <a16:creationId xmlns="" xmlns:a16="http://schemas.microsoft.com/office/drawing/2014/main" id="{00000000-0008-0000-2A00-000074000000}"/>
            </a:ext>
          </a:extLst>
        </xdr:cNvPr>
        <xdr:cNvSpPr/>
      </xdr:nvSpPr>
      <xdr:spPr>
        <a:xfrm>
          <a:off x="8601075" y="2943225"/>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58</xdr:col>
      <xdr:colOff>67310</xdr:colOff>
      <xdr:row>20</xdr:row>
      <xdr:rowOff>56515</xdr:rowOff>
    </xdr:from>
    <xdr:to>
      <xdr:col>58</xdr:col>
      <xdr:colOff>105136</xdr:colOff>
      <xdr:row>20</xdr:row>
      <xdr:rowOff>112910</xdr:rowOff>
    </xdr:to>
    <xdr:sp macro="" textlink="">
      <xdr:nvSpPr>
        <xdr:cNvPr id="117" name="Ellipse 116">
          <a:extLst>
            <a:ext uri="{FF2B5EF4-FFF2-40B4-BE49-F238E27FC236}">
              <a16:creationId xmlns="" xmlns:a16="http://schemas.microsoft.com/office/drawing/2014/main" id="{00000000-0008-0000-2A00-000075000000}"/>
            </a:ext>
          </a:extLst>
        </xdr:cNvPr>
        <xdr:cNvSpPr/>
      </xdr:nvSpPr>
      <xdr:spPr>
        <a:xfrm>
          <a:off x="9029700" y="2933700"/>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62</xdr:col>
      <xdr:colOff>102235</xdr:colOff>
      <xdr:row>20</xdr:row>
      <xdr:rowOff>102235</xdr:rowOff>
    </xdr:from>
    <xdr:to>
      <xdr:col>62</xdr:col>
      <xdr:colOff>124858</xdr:colOff>
      <xdr:row>21</xdr:row>
      <xdr:rowOff>1281</xdr:rowOff>
    </xdr:to>
    <xdr:sp macro="" textlink="">
      <xdr:nvSpPr>
        <xdr:cNvPr id="118" name="Ellipse 117">
          <a:extLst>
            <a:ext uri="{FF2B5EF4-FFF2-40B4-BE49-F238E27FC236}">
              <a16:creationId xmlns="" xmlns:a16="http://schemas.microsoft.com/office/drawing/2014/main" id="{00000000-0008-0000-2A00-000076000000}"/>
            </a:ext>
          </a:extLst>
        </xdr:cNvPr>
        <xdr:cNvSpPr/>
      </xdr:nvSpPr>
      <xdr:spPr>
        <a:xfrm>
          <a:off x="9696450" y="2952750"/>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64</xdr:col>
      <xdr:colOff>102235</xdr:colOff>
      <xdr:row>20</xdr:row>
      <xdr:rowOff>56515</xdr:rowOff>
    </xdr:from>
    <xdr:to>
      <xdr:col>65</xdr:col>
      <xdr:colOff>515</xdr:colOff>
      <xdr:row>20</xdr:row>
      <xdr:rowOff>95703</xdr:rowOff>
    </xdr:to>
    <xdr:sp macro="" textlink="">
      <xdr:nvSpPr>
        <xdr:cNvPr id="119" name="Ellipse 118">
          <a:extLst>
            <a:ext uri="{FF2B5EF4-FFF2-40B4-BE49-F238E27FC236}">
              <a16:creationId xmlns="" xmlns:a16="http://schemas.microsoft.com/office/drawing/2014/main" id="{00000000-0008-0000-2A00-000077000000}"/>
            </a:ext>
          </a:extLst>
        </xdr:cNvPr>
        <xdr:cNvSpPr/>
      </xdr:nvSpPr>
      <xdr:spPr>
        <a:xfrm>
          <a:off x="10010775" y="2933700"/>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57</xdr:col>
      <xdr:colOff>95250</xdr:colOff>
      <xdr:row>2</xdr:row>
      <xdr:rowOff>6350</xdr:rowOff>
    </xdr:from>
    <xdr:to>
      <xdr:col>61</xdr:col>
      <xdr:colOff>19050</xdr:colOff>
      <xdr:row>20</xdr:row>
      <xdr:rowOff>57150</xdr:rowOff>
    </xdr:to>
    <xdr:sp macro="" textlink="">
      <xdr:nvSpPr>
        <xdr:cNvPr id="882208" name="Rectangle 390" descr="Horizontal brick">
          <a:extLst>
            <a:ext uri="{FF2B5EF4-FFF2-40B4-BE49-F238E27FC236}">
              <a16:creationId xmlns="" xmlns:a16="http://schemas.microsoft.com/office/drawing/2014/main" id="{00000000-0008-0000-2A00-000020760D00}"/>
            </a:ext>
          </a:extLst>
        </xdr:cNvPr>
        <xdr:cNvSpPr>
          <a:spLocks noChangeArrowheads="1"/>
        </xdr:cNvSpPr>
      </xdr:nvSpPr>
      <xdr:spPr bwMode="auto">
        <a:xfrm flipH="1">
          <a:off x="8782050" y="342900"/>
          <a:ext cx="533400" cy="2565400"/>
        </a:xfrm>
        <a:prstGeom prst="rect">
          <a:avLst/>
        </a:prstGeom>
        <a:blipFill dpi="0" rotWithShape="0">
          <a:blip xmlns:r="http://schemas.openxmlformats.org/officeDocument/2006/relationships" r:embed="rId4"/>
          <a:srcRect/>
          <a:tile tx="0" ty="0" sx="100000" sy="100000" flip="none" algn="tl"/>
        </a:blipFill>
        <a:ln w="9525">
          <a:solidFill>
            <a:srgbClr val="000000"/>
          </a:solidFill>
          <a:miter lim="800000"/>
          <a:headEnd/>
          <a:tailEnd/>
        </a:ln>
      </xdr:spPr>
    </xdr:sp>
    <xdr:clientData/>
  </xdr:twoCellAnchor>
  <xdr:twoCellAnchor>
    <xdr:from>
      <xdr:col>57</xdr:col>
      <xdr:colOff>0</xdr:colOff>
      <xdr:row>1</xdr:row>
      <xdr:rowOff>35560</xdr:rowOff>
    </xdr:from>
    <xdr:to>
      <xdr:col>61</xdr:col>
      <xdr:colOff>103677</xdr:colOff>
      <xdr:row>2</xdr:row>
      <xdr:rowOff>349</xdr:rowOff>
    </xdr:to>
    <xdr:sp macro="" textlink="">
      <xdr:nvSpPr>
        <xdr:cNvPr id="121" name="Rectangle 120">
          <a:extLst>
            <a:ext uri="{FF2B5EF4-FFF2-40B4-BE49-F238E27FC236}">
              <a16:creationId xmlns="" xmlns:a16="http://schemas.microsoft.com/office/drawing/2014/main" id="{00000000-0008-0000-2A00-000079000000}"/>
            </a:ext>
          </a:extLst>
        </xdr:cNvPr>
        <xdr:cNvSpPr/>
      </xdr:nvSpPr>
      <xdr:spPr>
        <a:xfrm>
          <a:off x="8839200" y="209550"/>
          <a:ext cx="742950" cy="95250"/>
        </a:xfrm>
        <a:prstGeom prst="rect">
          <a:avLst/>
        </a:prstGeom>
        <a:solidFill>
          <a:schemeClr val="bg2">
            <a:lumMod val="5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58</xdr:col>
      <xdr:colOff>102870</xdr:colOff>
      <xdr:row>2</xdr:row>
      <xdr:rowOff>0</xdr:rowOff>
    </xdr:from>
    <xdr:to>
      <xdr:col>60</xdr:col>
      <xdr:colOff>68488</xdr:colOff>
      <xdr:row>3</xdr:row>
      <xdr:rowOff>20587</xdr:rowOff>
    </xdr:to>
    <xdr:sp macro="" textlink="">
      <xdr:nvSpPr>
        <xdr:cNvPr id="122" name="Rectangle 121">
          <a:extLst>
            <a:ext uri="{FF2B5EF4-FFF2-40B4-BE49-F238E27FC236}">
              <a16:creationId xmlns="" xmlns:a16="http://schemas.microsoft.com/office/drawing/2014/main" id="{00000000-0008-0000-2A00-00007A000000}"/>
            </a:ext>
          </a:extLst>
        </xdr:cNvPr>
        <xdr:cNvSpPr/>
      </xdr:nvSpPr>
      <xdr:spPr>
        <a:xfrm>
          <a:off x="9105900" y="314325"/>
          <a:ext cx="209550" cy="1524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52</xdr:col>
      <xdr:colOff>103505</xdr:colOff>
      <xdr:row>34</xdr:row>
      <xdr:rowOff>0</xdr:rowOff>
    </xdr:from>
    <xdr:to>
      <xdr:col>65</xdr:col>
      <xdr:colOff>103505</xdr:colOff>
      <xdr:row>34</xdr:row>
      <xdr:rowOff>2382</xdr:rowOff>
    </xdr:to>
    <xdr:cxnSp macro="">
      <xdr:nvCxnSpPr>
        <xdr:cNvPr id="123" name="Connecteur droit 122">
          <a:extLst>
            <a:ext uri="{FF2B5EF4-FFF2-40B4-BE49-F238E27FC236}">
              <a16:creationId xmlns="" xmlns:a16="http://schemas.microsoft.com/office/drawing/2014/main" id="{00000000-0008-0000-2A00-00007B000000}"/>
            </a:ext>
          </a:extLst>
        </xdr:cNvPr>
        <xdr:cNvCxnSpPr/>
      </xdr:nvCxnSpPr>
      <xdr:spPr>
        <a:xfrm flipV="1">
          <a:off x="8201025" y="4857750"/>
          <a:ext cx="1981200" cy="9525"/>
        </a:xfrm>
        <a:prstGeom prst="line">
          <a:avLst/>
        </a:prstGeom>
        <a:ln w="38100">
          <a:solidFill>
            <a:sysClr val="windowText" lastClr="00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67945</xdr:colOff>
      <xdr:row>1</xdr:row>
      <xdr:rowOff>40007</xdr:rowOff>
    </xdr:from>
    <xdr:to>
      <xdr:col>72</xdr:col>
      <xdr:colOff>67945</xdr:colOff>
      <xdr:row>44</xdr:row>
      <xdr:rowOff>58599</xdr:rowOff>
    </xdr:to>
    <xdr:cxnSp macro="">
      <xdr:nvCxnSpPr>
        <xdr:cNvPr id="124" name="Connecteur droit avec flèche 123">
          <a:extLst>
            <a:ext uri="{FF2B5EF4-FFF2-40B4-BE49-F238E27FC236}">
              <a16:creationId xmlns="" xmlns:a16="http://schemas.microsoft.com/office/drawing/2014/main" id="{00000000-0008-0000-2A00-00007C000000}"/>
            </a:ext>
          </a:extLst>
        </xdr:cNvPr>
        <xdr:cNvCxnSpPr/>
      </xdr:nvCxnSpPr>
      <xdr:spPr>
        <a:xfrm rot="16200000" flipH="1">
          <a:off x="8057358" y="3248819"/>
          <a:ext cx="6172991" cy="18257"/>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114300</xdr:colOff>
      <xdr:row>41</xdr:row>
      <xdr:rowOff>0</xdr:rowOff>
    </xdr:from>
    <xdr:to>
      <xdr:col>63</xdr:col>
      <xdr:colOff>114300</xdr:colOff>
      <xdr:row>44</xdr:row>
      <xdr:rowOff>0</xdr:rowOff>
    </xdr:to>
    <xdr:sp macro="" textlink="">
      <xdr:nvSpPr>
        <xdr:cNvPr id="882213" name="Rectangle 120" descr="Dark downward diagonal">
          <a:extLst>
            <a:ext uri="{FF2B5EF4-FFF2-40B4-BE49-F238E27FC236}">
              <a16:creationId xmlns="" xmlns:a16="http://schemas.microsoft.com/office/drawing/2014/main" id="{00000000-0008-0000-2A00-000025760D00}"/>
            </a:ext>
          </a:extLst>
        </xdr:cNvPr>
        <xdr:cNvSpPr>
          <a:spLocks noChangeArrowheads="1"/>
        </xdr:cNvSpPr>
      </xdr:nvSpPr>
      <xdr:spPr bwMode="auto">
        <a:xfrm>
          <a:off x="8343900" y="5784850"/>
          <a:ext cx="1371600" cy="419100"/>
        </a:xfrm>
        <a:prstGeom prst="rect">
          <a:avLst/>
        </a:prstGeom>
        <a:blipFill dpi="0" rotWithShape="0">
          <a:blip xmlns:r="http://schemas.openxmlformats.org/officeDocument/2006/relationships" r:embed="rId6"/>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48</xdr:col>
      <xdr:colOff>95250</xdr:colOff>
      <xdr:row>40</xdr:row>
      <xdr:rowOff>107950</xdr:rowOff>
    </xdr:from>
    <xdr:to>
      <xdr:col>51</xdr:col>
      <xdr:colOff>127000</xdr:colOff>
      <xdr:row>43</xdr:row>
      <xdr:rowOff>107950</xdr:rowOff>
    </xdr:to>
    <xdr:sp macro="" textlink="">
      <xdr:nvSpPr>
        <xdr:cNvPr id="882214" name="Rectangle 120" descr="Dark downward diagonal">
          <a:extLst>
            <a:ext uri="{FF2B5EF4-FFF2-40B4-BE49-F238E27FC236}">
              <a16:creationId xmlns="" xmlns:a16="http://schemas.microsoft.com/office/drawing/2014/main" id="{00000000-0008-0000-2A00-000026760D00}"/>
            </a:ext>
          </a:extLst>
        </xdr:cNvPr>
        <xdr:cNvSpPr>
          <a:spLocks noChangeArrowheads="1"/>
        </xdr:cNvSpPr>
      </xdr:nvSpPr>
      <xdr:spPr bwMode="auto">
        <a:xfrm>
          <a:off x="7410450" y="5753100"/>
          <a:ext cx="488950" cy="419100"/>
        </a:xfrm>
        <a:prstGeom prst="rect">
          <a:avLst/>
        </a:prstGeom>
        <a:blipFill dpi="0" rotWithShape="0">
          <a:blip xmlns:r="http://schemas.openxmlformats.org/officeDocument/2006/relationships" r:embed="rId6"/>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67</xdr:col>
      <xdr:colOff>12700</xdr:colOff>
      <xdr:row>41</xdr:row>
      <xdr:rowOff>0</xdr:rowOff>
    </xdr:from>
    <xdr:to>
      <xdr:col>70</xdr:col>
      <xdr:colOff>38100</xdr:colOff>
      <xdr:row>44</xdr:row>
      <xdr:rowOff>0</xdr:rowOff>
    </xdr:to>
    <xdr:sp macro="" textlink="">
      <xdr:nvSpPr>
        <xdr:cNvPr id="882215" name="Rectangle 120" descr="Dark downward diagonal">
          <a:extLst>
            <a:ext uri="{FF2B5EF4-FFF2-40B4-BE49-F238E27FC236}">
              <a16:creationId xmlns="" xmlns:a16="http://schemas.microsoft.com/office/drawing/2014/main" id="{00000000-0008-0000-2A00-000027760D00}"/>
            </a:ext>
          </a:extLst>
        </xdr:cNvPr>
        <xdr:cNvSpPr>
          <a:spLocks noChangeArrowheads="1"/>
        </xdr:cNvSpPr>
      </xdr:nvSpPr>
      <xdr:spPr bwMode="auto">
        <a:xfrm>
          <a:off x="10223500" y="5784850"/>
          <a:ext cx="482600" cy="419100"/>
        </a:xfrm>
        <a:prstGeom prst="rect">
          <a:avLst/>
        </a:prstGeom>
        <a:blipFill dpi="0" rotWithShape="0">
          <a:blip xmlns:r="http://schemas.openxmlformats.org/officeDocument/2006/relationships" r:embed="rId6"/>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56</xdr:col>
      <xdr:colOff>67945</xdr:colOff>
      <xdr:row>52</xdr:row>
      <xdr:rowOff>19685</xdr:rowOff>
    </xdr:from>
    <xdr:to>
      <xdr:col>63</xdr:col>
      <xdr:colOff>64312</xdr:colOff>
      <xdr:row>53</xdr:row>
      <xdr:rowOff>58514</xdr:rowOff>
    </xdr:to>
    <xdr:sp macro="" textlink="">
      <xdr:nvSpPr>
        <xdr:cNvPr id="128" name="ZoneTexte 127">
          <a:extLst>
            <a:ext uri="{FF2B5EF4-FFF2-40B4-BE49-F238E27FC236}">
              <a16:creationId xmlns="" xmlns:a16="http://schemas.microsoft.com/office/drawing/2014/main" id="{00000000-0008-0000-2A00-000080000000}"/>
            </a:ext>
          </a:extLst>
        </xdr:cNvPr>
        <xdr:cNvSpPr txBox="1"/>
      </xdr:nvSpPr>
      <xdr:spPr>
        <a:xfrm>
          <a:off x="8696325" y="7553325"/>
          <a:ext cx="1133475" cy="219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t>COUPE A-A</a:t>
          </a:r>
        </a:p>
      </xdr:txBody>
    </xdr:sp>
    <xdr:clientData/>
  </xdr:twoCellAnchor>
  <xdr:twoCellAnchor>
    <xdr:from>
      <xdr:col>55</xdr:col>
      <xdr:colOff>67945</xdr:colOff>
      <xdr:row>32</xdr:row>
      <xdr:rowOff>0</xdr:rowOff>
    </xdr:from>
    <xdr:to>
      <xdr:col>63</xdr:col>
      <xdr:colOff>82125</xdr:colOff>
      <xdr:row>32</xdr:row>
      <xdr:rowOff>2382</xdr:rowOff>
    </xdr:to>
    <xdr:cxnSp macro="">
      <xdr:nvCxnSpPr>
        <xdr:cNvPr id="129" name="Connecteur droit avec flèche 128">
          <a:extLst>
            <a:ext uri="{FF2B5EF4-FFF2-40B4-BE49-F238E27FC236}">
              <a16:creationId xmlns="" xmlns:a16="http://schemas.microsoft.com/office/drawing/2014/main" id="{00000000-0008-0000-2A00-000081000000}"/>
            </a:ext>
          </a:extLst>
        </xdr:cNvPr>
        <xdr:cNvCxnSpPr/>
      </xdr:nvCxnSpPr>
      <xdr:spPr>
        <a:xfrm>
          <a:off x="8553450" y="4572000"/>
          <a:ext cx="1285875" cy="9525"/>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103505</xdr:colOff>
      <xdr:row>30</xdr:row>
      <xdr:rowOff>56515</xdr:rowOff>
    </xdr:from>
    <xdr:to>
      <xdr:col>60</xdr:col>
      <xdr:colOff>68180</xdr:colOff>
      <xdr:row>31</xdr:row>
      <xdr:rowOff>101876</xdr:rowOff>
    </xdr:to>
    <xdr:sp macro="" textlink="">
      <xdr:nvSpPr>
        <xdr:cNvPr id="130" name="ZoneTexte 129">
          <a:extLst>
            <a:ext uri="{FF2B5EF4-FFF2-40B4-BE49-F238E27FC236}">
              <a16:creationId xmlns="" xmlns:a16="http://schemas.microsoft.com/office/drawing/2014/main" id="{00000000-0008-0000-2A00-000082000000}"/>
            </a:ext>
          </a:extLst>
        </xdr:cNvPr>
        <xdr:cNvSpPr txBox="1"/>
      </xdr:nvSpPr>
      <xdr:spPr>
        <a:xfrm>
          <a:off x="8972550" y="4333875"/>
          <a:ext cx="36195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80</a:t>
          </a:r>
        </a:p>
      </xdr:txBody>
    </xdr:sp>
    <xdr:clientData/>
  </xdr:twoCellAnchor>
  <xdr:twoCellAnchor>
    <xdr:from>
      <xdr:col>53</xdr:col>
      <xdr:colOff>135255</xdr:colOff>
      <xdr:row>21</xdr:row>
      <xdr:rowOff>36830</xdr:rowOff>
    </xdr:from>
    <xdr:to>
      <xdr:col>54</xdr:col>
      <xdr:colOff>39582</xdr:colOff>
      <xdr:row>38</xdr:row>
      <xdr:rowOff>56607</xdr:rowOff>
    </xdr:to>
    <xdr:sp macro="" textlink="">
      <xdr:nvSpPr>
        <xdr:cNvPr id="131" name="Rectangle 130">
          <a:extLst>
            <a:ext uri="{FF2B5EF4-FFF2-40B4-BE49-F238E27FC236}">
              <a16:creationId xmlns="" xmlns:a16="http://schemas.microsoft.com/office/drawing/2014/main" id="{00000000-0008-0000-2A00-000083000000}"/>
            </a:ext>
          </a:extLst>
        </xdr:cNvPr>
        <xdr:cNvSpPr/>
      </xdr:nvSpPr>
      <xdr:spPr>
        <a:xfrm>
          <a:off x="8372475" y="3057525"/>
          <a:ext cx="45719" cy="24193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64</xdr:col>
      <xdr:colOff>20320</xdr:colOff>
      <xdr:row>21</xdr:row>
      <xdr:rowOff>36830</xdr:rowOff>
    </xdr:from>
    <xdr:to>
      <xdr:col>64</xdr:col>
      <xdr:colOff>65129</xdr:colOff>
      <xdr:row>38</xdr:row>
      <xdr:rowOff>56607</xdr:rowOff>
    </xdr:to>
    <xdr:sp macro="" textlink="">
      <xdr:nvSpPr>
        <xdr:cNvPr id="132" name="Rectangle 131">
          <a:extLst>
            <a:ext uri="{FF2B5EF4-FFF2-40B4-BE49-F238E27FC236}">
              <a16:creationId xmlns="" xmlns:a16="http://schemas.microsoft.com/office/drawing/2014/main" id="{00000000-0008-0000-2A00-000084000000}"/>
            </a:ext>
          </a:extLst>
        </xdr:cNvPr>
        <xdr:cNvSpPr/>
      </xdr:nvSpPr>
      <xdr:spPr>
        <a:xfrm>
          <a:off x="9934575" y="3057525"/>
          <a:ext cx="45719" cy="24193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74</xdr:col>
      <xdr:colOff>119223</xdr:colOff>
      <xdr:row>0</xdr:row>
      <xdr:rowOff>97158</xdr:rowOff>
    </xdr:from>
    <xdr:to>
      <xdr:col>74</xdr:col>
      <xdr:colOff>119223</xdr:colOff>
      <xdr:row>44</xdr:row>
      <xdr:rowOff>18012</xdr:rowOff>
    </xdr:to>
    <xdr:cxnSp macro="">
      <xdr:nvCxnSpPr>
        <xdr:cNvPr id="133" name="Connecteur droit avec flèche 132">
          <a:extLst>
            <a:ext uri="{FF2B5EF4-FFF2-40B4-BE49-F238E27FC236}">
              <a16:creationId xmlns="" xmlns:a16="http://schemas.microsoft.com/office/drawing/2014/main" id="{00000000-0008-0000-2A00-000085000000}"/>
            </a:ext>
          </a:extLst>
        </xdr:cNvPr>
        <xdr:cNvCxnSpPr/>
      </xdr:nvCxnSpPr>
      <xdr:spPr>
        <a:xfrm rot="5400000">
          <a:off x="8490747" y="3214689"/>
          <a:ext cx="6163465" cy="793"/>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64135</xdr:colOff>
      <xdr:row>19</xdr:row>
      <xdr:rowOff>84455</xdr:rowOff>
    </xdr:from>
    <xdr:to>
      <xdr:col>75</xdr:col>
      <xdr:colOff>2639</xdr:colOff>
      <xdr:row>23</xdr:row>
      <xdr:rowOff>36991</xdr:rowOff>
    </xdr:to>
    <xdr:sp macro="" textlink="">
      <xdr:nvSpPr>
        <xdr:cNvPr id="134" name="ZoneTexte 133">
          <a:extLst>
            <a:ext uri="{FF2B5EF4-FFF2-40B4-BE49-F238E27FC236}">
              <a16:creationId xmlns="" xmlns:a16="http://schemas.microsoft.com/office/drawing/2014/main" id="{00000000-0008-0000-2A00-000086000000}"/>
            </a:ext>
          </a:extLst>
        </xdr:cNvPr>
        <xdr:cNvSpPr txBox="1"/>
      </xdr:nvSpPr>
      <xdr:spPr>
        <a:xfrm rot="16200000">
          <a:off x="11210925" y="2943225"/>
          <a:ext cx="5334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419.5</a:t>
          </a:r>
        </a:p>
      </xdr:txBody>
    </xdr:sp>
    <xdr:clientData/>
  </xdr:twoCellAnchor>
  <xdr:twoCellAnchor>
    <xdr:from>
      <xdr:col>71</xdr:col>
      <xdr:colOff>102235</xdr:colOff>
      <xdr:row>41</xdr:row>
      <xdr:rowOff>19685</xdr:rowOff>
    </xdr:from>
    <xdr:to>
      <xdr:col>73</xdr:col>
      <xdr:colOff>46762</xdr:colOff>
      <xdr:row>41</xdr:row>
      <xdr:rowOff>20479</xdr:rowOff>
    </xdr:to>
    <xdr:cxnSp macro="">
      <xdr:nvCxnSpPr>
        <xdr:cNvPr id="135" name="Connecteur droit 134">
          <a:extLst>
            <a:ext uri="{FF2B5EF4-FFF2-40B4-BE49-F238E27FC236}">
              <a16:creationId xmlns="" xmlns:a16="http://schemas.microsoft.com/office/drawing/2014/main" id="{00000000-0008-0000-2A00-000087000000}"/>
            </a:ext>
          </a:extLst>
        </xdr:cNvPr>
        <xdr:cNvCxnSpPr/>
      </xdr:nvCxnSpPr>
      <xdr:spPr>
        <a:xfrm>
          <a:off x="11068050" y="5867400"/>
          <a:ext cx="219075"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64135</xdr:colOff>
      <xdr:row>39</xdr:row>
      <xdr:rowOff>0</xdr:rowOff>
    </xdr:from>
    <xdr:to>
      <xdr:col>72</xdr:col>
      <xdr:colOff>103170</xdr:colOff>
      <xdr:row>39</xdr:row>
      <xdr:rowOff>1588</xdr:rowOff>
    </xdr:to>
    <xdr:cxnSp macro="">
      <xdr:nvCxnSpPr>
        <xdr:cNvPr id="136" name="Connecteur droit 135">
          <a:extLst>
            <a:ext uri="{FF2B5EF4-FFF2-40B4-BE49-F238E27FC236}">
              <a16:creationId xmlns="" xmlns:a16="http://schemas.microsoft.com/office/drawing/2014/main" id="{00000000-0008-0000-2A00-000088000000}"/>
            </a:ext>
          </a:extLst>
        </xdr:cNvPr>
        <xdr:cNvCxnSpPr/>
      </xdr:nvCxnSpPr>
      <xdr:spPr>
        <a:xfrm>
          <a:off x="11039475" y="5572125"/>
          <a:ext cx="219075"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64135</xdr:colOff>
      <xdr:row>38</xdr:row>
      <xdr:rowOff>56515</xdr:rowOff>
    </xdr:from>
    <xdr:to>
      <xdr:col>72</xdr:col>
      <xdr:colOff>103170</xdr:colOff>
      <xdr:row>38</xdr:row>
      <xdr:rowOff>58103</xdr:rowOff>
    </xdr:to>
    <xdr:cxnSp macro="">
      <xdr:nvCxnSpPr>
        <xdr:cNvPr id="137" name="Connecteur droit 136">
          <a:extLst>
            <a:ext uri="{FF2B5EF4-FFF2-40B4-BE49-F238E27FC236}">
              <a16:creationId xmlns="" xmlns:a16="http://schemas.microsoft.com/office/drawing/2014/main" id="{00000000-0008-0000-2A00-000089000000}"/>
            </a:ext>
          </a:extLst>
        </xdr:cNvPr>
        <xdr:cNvCxnSpPr/>
      </xdr:nvCxnSpPr>
      <xdr:spPr>
        <a:xfrm>
          <a:off x="11039475" y="5476875"/>
          <a:ext cx="219075"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64135</xdr:colOff>
      <xdr:row>34</xdr:row>
      <xdr:rowOff>0</xdr:rowOff>
    </xdr:from>
    <xdr:to>
      <xdr:col>72</xdr:col>
      <xdr:colOff>103170</xdr:colOff>
      <xdr:row>34</xdr:row>
      <xdr:rowOff>1588</xdr:rowOff>
    </xdr:to>
    <xdr:cxnSp macro="">
      <xdr:nvCxnSpPr>
        <xdr:cNvPr id="138" name="Connecteur droit 137">
          <a:extLst>
            <a:ext uri="{FF2B5EF4-FFF2-40B4-BE49-F238E27FC236}">
              <a16:creationId xmlns="" xmlns:a16="http://schemas.microsoft.com/office/drawing/2014/main" id="{00000000-0008-0000-2A00-00008A000000}"/>
            </a:ext>
          </a:extLst>
        </xdr:cNvPr>
        <xdr:cNvCxnSpPr/>
      </xdr:nvCxnSpPr>
      <xdr:spPr>
        <a:xfrm>
          <a:off x="11039475" y="4857750"/>
          <a:ext cx="219075"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64135</xdr:colOff>
      <xdr:row>21</xdr:row>
      <xdr:rowOff>36830</xdr:rowOff>
    </xdr:from>
    <xdr:to>
      <xdr:col>72</xdr:col>
      <xdr:colOff>103170</xdr:colOff>
      <xdr:row>21</xdr:row>
      <xdr:rowOff>41593</xdr:rowOff>
    </xdr:to>
    <xdr:cxnSp macro="">
      <xdr:nvCxnSpPr>
        <xdr:cNvPr id="139" name="Connecteur droit 138">
          <a:extLst>
            <a:ext uri="{FF2B5EF4-FFF2-40B4-BE49-F238E27FC236}">
              <a16:creationId xmlns="" xmlns:a16="http://schemas.microsoft.com/office/drawing/2014/main" id="{00000000-0008-0000-2A00-00008B000000}"/>
            </a:ext>
          </a:extLst>
        </xdr:cNvPr>
        <xdr:cNvCxnSpPr/>
      </xdr:nvCxnSpPr>
      <xdr:spPr>
        <a:xfrm>
          <a:off x="11039475" y="3057525"/>
          <a:ext cx="219075"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64135</xdr:colOff>
      <xdr:row>20</xdr:row>
      <xdr:rowOff>55245</xdr:rowOff>
    </xdr:from>
    <xdr:to>
      <xdr:col>72</xdr:col>
      <xdr:colOff>103170</xdr:colOff>
      <xdr:row>20</xdr:row>
      <xdr:rowOff>56039</xdr:rowOff>
    </xdr:to>
    <xdr:cxnSp macro="">
      <xdr:nvCxnSpPr>
        <xdr:cNvPr id="140" name="Connecteur droit 139">
          <a:extLst>
            <a:ext uri="{FF2B5EF4-FFF2-40B4-BE49-F238E27FC236}">
              <a16:creationId xmlns="" xmlns:a16="http://schemas.microsoft.com/office/drawing/2014/main" id="{00000000-0008-0000-2A00-00008C000000}"/>
            </a:ext>
          </a:extLst>
        </xdr:cNvPr>
        <xdr:cNvCxnSpPr/>
      </xdr:nvCxnSpPr>
      <xdr:spPr>
        <a:xfrm>
          <a:off x="11039475" y="2924175"/>
          <a:ext cx="219075"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70</xdr:col>
      <xdr:colOff>67310</xdr:colOff>
      <xdr:row>26</xdr:row>
      <xdr:rowOff>102870</xdr:rowOff>
    </xdr:from>
    <xdr:to>
      <xdr:col>71</xdr:col>
      <xdr:colOff>152285</xdr:colOff>
      <xdr:row>30</xdr:row>
      <xdr:rowOff>56102</xdr:rowOff>
    </xdr:to>
    <xdr:sp macro="" textlink="">
      <xdr:nvSpPr>
        <xdr:cNvPr id="141" name="ZoneTexte 140">
          <a:extLst>
            <a:ext uri="{FF2B5EF4-FFF2-40B4-BE49-F238E27FC236}">
              <a16:creationId xmlns="" xmlns:a16="http://schemas.microsoft.com/office/drawing/2014/main" id="{00000000-0008-0000-2A00-00008D000000}"/>
            </a:ext>
          </a:extLst>
        </xdr:cNvPr>
        <xdr:cNvSpPr txBox="1"/>
      </xdr:nvSpPr>
      <xdr:spPr>
        <a:xfrm rot="16200000">
          <a:off x="10725150" y="3962400"/>
          <a:ext cx="5334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57.5</a:t>
          </a:r>
        </a:p>
      </xdr:txBody>
    </xdr:sp>
    <xdr:clientData/>
  </xdr:twoCellAnchor>
  <xdr:twoCellAnchor>
    <xdr:from>
      <xdr:col>70</xdr:col>
      <xdr:colOff>64135</xdr:colOff>
      <xdr:row>34</xdr:row>
      <xdr:rowOff>16509</xdr:rowOff>
    </xdr:from>
    <xdr:to>
      <xdr:col>72</xdr:col>
      <xdr:colOff>2639</xdr:colOff>
      <xdr:row>36</xdr:row>
      <xdr:rowOff>111034</xdr:rowOff>
    </xdr:to>
    <xdr:sp macro="" textlink="">
      <xdr:nvSpPr>
        <xdr:cNvPr id="142" name="ZoneTexte 141">
          <a:extLst>
            <a:ext uri="{FF2B5EF4-FFF2-40B4-BE49-F238E27FC236}">
              <a16:creationId xmlns="" xmlns:a16="http://schemas.microsoft.com/office/drawing/2014/main" id="{00000000-0008-0000-2A00-00008E000000}"/>
            </a:ext>
          </a:extLst>
        </xdr:cNvPr>
        <xdr:cNvSpPr txBox="1"/>
      </xdr:nvSpPr>
      <xdr:spPr>
        <a:xfrm rot="16200000">
          <a:off x="10825162" y="4948237"/>
          <a:ext cx="390526"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35</a:t>
          </a:r>
        </a:p>
      </xdr:txBody>
    </xdr:sp>
    <xdr:clientData/>
  </xdr:twoCellAnchor>
  <xdr:twoCellAnchor>
    <xdr:from>
      <xdr:col>71</xdr:col>
      <xdr:colOff>0</xdr:colOff>
      <xdr:row>38</xdr:row>
      <xdr:rowOff>111125</xdr:rowOff>
    </xdr:from>
    <xdr:to>
      <xdr:col>72</xdr:col>
      <xdr:colOff>103095</xdr:colOff>
      <xdr:row>41</xdr:row>
      <xdr:rowOff>35714</xdr:rowOff>
    </xdr:to>
    <xdr:sp macro="" textlink="">
      <xdr:nvSpPr>
        <xdr:cNvPr id="143" name="ZoneTexte 142">
          <a:extLst>
            <a:ext uri="{FF2B5EF4-FFF2-40B4-BE49-F238E27FC236}">
              <a16:creationId xmlns="" xmlns:a16="http://schemas.microsoft.com/office/drawing/2014/main" id="{00000000-0008-0000-2A00-00008F000000}"/>
            </a:ext>
          </a:extLst>
        </xdr:cNvPr>
        <xdr:cNvSpPr txBox="1"/>
      </xdr:nvSpPr>
      <xdr:spPr>
        <a:xfrm rot="16200000">
          <a:off x="10925175" y="5610225"/>
          <a:ext cx="3619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30</a:t>
          </a:r>
        </a:p>
      </xdr:txBody>
    </xdr:sp>
    <xdr:clientData/>
  </xdr:twoCellAnchor>
  <xdr:twoCellAnchor>
    <xdr:from>
      <xdr:col>70</xdr:col>
      <xdr:colOff>102870</xdr:colOff>
      <xdr:row>41</xdr:row>
      <xdr:rowOff>3809</xdr:rowOff>
    </xdr:from>
    <xdr:to>
      <xdr:col>72</xdr:col>
      <xdr:colOff>48107</xdr:colOff>
      <xdr:row>43</xdr:row>
      <xdr:rowOff>80120</xdr:rowOff>
    </xdr:to>
    <xdr:sp macro="" textlink="">
      <xdr:nvSpPr>
        <xdr:cNvPr id="144" name="ZoneTexte 143">
          <a:extLst>
            <a:ext uri="{FF2B5EF4-FFF2-40B4-BE49-F238E27FC236}">
              <a16:creationId xmlns="" xmlns:a16="http://schemas.microsoft.com/office/drawing/2014/main" id="{00000000-0008-0000-2A00-000090000000}"/>
            </a:ext>
          </a:extLst>
        </xdr:cNvPr>
        <xdr:cNvSpPr txBox="1"/>
      </xdr:nvSpPr>
      <xdr:spPr>
        <a:xfrm rot="16200000">
          <a:off x="10882312" y="5938837"/>
          <a:ext cx="3714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50</a:t>
          </a:r>
        </a:p>
      </xdr:txBody>
    </xdr:sp>
    <xdr:clientData/>
  </xdr:twoCellAnchor>
  <xdr:twoCellAnchor>
    <xdr:from>
      <xdr:col>70</xdr:col>
      <xdr:colOff>20320</xdr:colOff>
      <xdr:row>8</xdr:row>
      <xdr:rowOff>102235</xdr:rowOff>
    </xdr:from>
    <xdr:to>
      <xdr:col>71</xdr:col>
      <xdr:colOff>134865</xdr:colOff>
      <xdr:row>12</xdr:row>
      <xdr:rowOff>56425</xdr:rowOff>
    </xdr:to>
    <xdr:sp macro="" textlink="">
      <xdr:nvSpPr>
        <xdr:cNvPr id="145" name="ZoneTexte 144">
          <a:extLst>
            <a:ext uri="{FF2B5EF4-FFF2-40B4-BE49-F238E27FC236}">
              <a16:creationId xmlns="" xmlns:a16="http://schemas.microsoft.com/office/drawing/2014/main" id="{00000000-0008-0000-2A00-000091000000}"/>
            </a:ext>
          </a:extLst>
        </xdr:cNvPr>
        <xdr:cNvSpPr txBox="1"/>
      </xdr:nvSpPr>
      <xdr:spPr>
        <a:xfrm rot="16200000">
          <a:off x="10715625" y="1371600"/>
          <a:ext cx="5334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200</a:t>
          </a:r>
        </a:p>
      </xdr:txBody>
    </xdr:sp>
    <xdr:clientData/>
  </xdr:twoCellAnchor>
  <xdr:twoCellAnchor>
    <xdr:from>
      <xdr:col>71</xdr:col>
      <xdr:colOff>64135</xdr:colOff>
      <xdr:row>3</xdr:row>
      <xdr:rowOff>635</xdr:rowOff>
    </xdr:from>
    <xdr:to>
      <xdr:col>72</xdr:col>
      <xdr:colOff>103170</xdr:colOff>
      <xdr:row>3</xdr:row>
      <xdr:rowOff>21973</xdr:rowOff>
    </xdr:to>
    <xdr:cxnSp macro="">
      <xdr:nvCxnSpPr>
        <xdr:cNvPr id="146" name="Connecteur droit 145">
          <a:extLst>
            <a:ext uri="{FF2B5EF4-FFF2-40B4-BE49-F238E27FC236}">
              <a16:creationId xmlns="" xmlns:a16="http://schemas.microsoft.com/office/drawing/2014/main" id="{00000000-0008-0000-2A00-000092000000}"/>
            </a:ext>
          </a:extLst>
        </xdr:cNvPr>
        <xdr:cNvCxnSpPr/>
      </xdr:nvCxnSpPr>
      <xdr:spPr>
        <a:xfrm>
          <a:off x="11039475" y="466725"/>
          <a:ext cx="219075"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70</xdr:col>
      <xdr:colOff>67945</xdr:colOff>
      <xdr:row>19</xdr:row>
      <xdr:rowOff>113664</xdr:rowOff>
    </xdr:from>
    <xdr:to>
      <xdr:col>71</xdr:col>
      <xdr:colOff>105006</xdr:colOff>
      <xdr:row>22</xdr:row>
      <xdr:rowOff>15951</xdr:rowOff>
    </xdr:to>
    <xdr:sp macro="" textlink="">
      <xdr:nvSpPr>
        <xdr:cNvPr id="147" name="ZoneTexte 146">
          <a:extLst>
            <a:ext uri="{FF2B5EF4-FFF2-40B4-BE49-F238E27FC236}">
              <a16:creationId xmlns="" xmlns:a16="http://schemas.microsoft.com/office/drawing/2014/main" id="{00000000-0008-0000-2A00-000093000000}"/>
            </a:ext>
          </a:extLst>
        </xdr:cNvPr>
        <xdr:cNvSpPr txBox="1"/>
      </xdr:nvSpPr>
      <xdr:spPr>
        <a:xfrm rot="16200000">
          <a:off x="10796587" y="2871787"/>
          <a:ext cx="3333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10</a:t>
          </a:r>
        </a:p>
      </xdr:txBody>
    </xdr:sp>
    <xdr:clientData/>
  </xdr:twoCellAnchor>
  <xdr:twoCellAnchor>
    <xdr:from>
      <xdr:col>70</xdr:col>
      <xdr:colOff>67310</xdr:colOff>
      <xdr:row>37</xdr:row>
      <xdr:rowOff>84454</xdr:rowOff>
    </xdr:from>
    <xdr:to>
      <xdr:col>72</xdr:col>
      <xdr:colOff>68163</xdr:colOff>
      <xdr:row>40</xdr:row>
      <xdr:rowOff>1723</xdr:rowOff>
    </xdr:to>
    <xdr:sp macro="" textlink="">
      <xdr:nvSpPr>
        <xdr:cNvPr id="148" name="ZoneTexte 147">
          <a:extLst>
            <a:ext uri="{FF2B5EF4-FFF2-40B4-BE49-F238E27FC236}">
              <a16:creationId xmlns="" xmlns:a16="http://schemas.microsoft.com/office/drawing/2014/main" id="{00000000-0008-0000-2A00-000094000000}"/>
            </a:ext>
          </a:extLst>
        </xdr:cNvPr>
        <xdr:cNvSpPr txBox="1"/>
      </xdr:nvSpPr>
      <xdr:spPr>
        <a:xfrm rot="16200000">
          <a:off x="10834687" y="5414962"/>
          <a:ext cx="3333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10</a:t>
          </a:r>
        </a:p>
      </xdr:txBody>
    </xdr:sp>
    <xdr:clientData/>
  </xdr:twoCellAnchor>
  <xdr:twoCellAnchor>
    <xdr:from>
      <xdr:col>71</xdr:col>
      <xdr:colOff>64135</xdr:colOff>
      <xdr:row>2</xdr:row>
      <xdr:rowOff>17145</xdr:rowOff>
    </xdr:from>
    <xdr:to>
      <xdr:col>72</xdr:col>
      <xdr:colOff>103814</xdr:colOff>
      <xdr:row>2</xdr:row>
      <xdr:rowOff>17939</xdr:rowOff>
    </xdr:to>
    <xdr:cxnSp macro="">
      <xdr:nvCxnSpPr>
        <xdr:cNvPr id="149" name="Connecteur droit 148">
          <a:extLst>
            <a:ext uri="{FF2B5EF4-FFF2-40B4-BE49-F238E27FC236}">
              <a16:creationId xmlns="" xmlns:a16="http://schemas.microsoft.com/office/drawing/2014/main" id="{00000000-0008-0000-2A00-000095000000}"/>
            </a:ext>
          </a:extLst>
        </xdr:cNvPr>
        <xdr:cNvCxnSpPr/>
      </xdr:nvCxnSpPr>
      <xdr:spPr>
        <a:xfrm>
          <a:off x="11029950" y="295275"/>
          <a:ext cx="219075"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64135</xdr:colOff>
      <xdr:row>1</xdr:row>
      <xdr:rowOff>19685</xdr:rowOff>
    </xdr:from>
    <xdr:to>
      <xdr:col>72</xdr:col>
      <xdr:colOff>103814</xdr:colOff>
      <xdr:row>1</xdr:row>
      <xdr:rowOff>22543</xdr:rowOff>
    </xdr:to>
    <xdr:cxnSp macro="">
      <xdr:nvCxnSpPr>
        <xdr:cNvPr id="150" name="Connecteur droit 149">
          <a:extLst>
            <a:ext uri="{FF2B5EF4-FFF2-40B4-BE49-F238E27FC236}">
              <a16:creationId xmlns="" xmlns:a16="http://schemas.microsoft.com/office/drawing/2014/main" id="{00000000-0008-0000-2A00-000096000000}"/>
            </a:ext>
          </a:extLst>
        </xdr:cNvPr>
        <xdr:cNvCxnSpPr/>
      </xdr:nvCxnSpPr>
      <xdr:spPr>
        <a:xfrm>
          <a:off x="11029950" y="161925"/>
          <a:ext cx="219075"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70</xdr:col>
      <xdr:colOff>64137</xdr:colOff>
      <xdr:row>1</xdr:row>
      <xdr:rowOff>84454</xdr:rowOff>
    </xdr:from>
    <xdr:to>
      <xdr:col>72</xdr:col>
      <xdr:colOff>68273</xdr:colOff>
      <xdr:row>3</xdr:row>
      <xdr:rowOff>86497</xdr:rowOff>
    </xdr:to>
    <xdr:sp macro="" textlink="">
      <xdr:nvSpPr>
        <xdr:cNvPr id="151" name="ZoneTexte 150">
          <a:extLst>
            <a:ext uri="{FF2B5EF4-FFF2-40B4-BE49-F238E27FC236}">
              <a16:creationId xmlns="" xmlns:a16="http://schemas.microsoft.com/office/drawing/2014/main" id="{00000000-0008-0000-2A00-000097000000}"/>
            </a:ext>
          </a:extLst>
        </xdr:cNvPr>
        <xdr:cNvSpPr txBox="1"/>
      </xdr:nvSpPr>
      <xdr:spPr>
        <a:xfrm rot="16200000">
          <a:off x="10844214" y="261937"/>
          <a:ext cx="3333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20</a:t>
          </a:r>
        </a:p>
      </xdr:txBody>
    </xdr:sp>
    <xdr:clientData/>
  </xdr:twoCellAnchor>
  <xdr:twoCellAnchor>
    <xdr:from>
      <xdr:col>52</xdr:col>
      <xdr:colOff>67945</xdr:colOff>
      <xdr:row>46</xdr:row>
      <xdr:rowOff>111125</xdr:rowOff>
    </xdr:from>
    <xdr:to>
      <xdr:col>67</xdr:col>
      <xdr:colOff>67945</xdr:colOff>
      <xdr:row>46</xdr:row>
      <xdr:rowOff>112713</xdr:rowOff>
    </xdr:to>
    <xdr:cxnSp macro="">
      <xdr:nvCxnSpPr>
        <xdr:cNvPr id="152" name="Connecteur droit avec flèche 151">
          <a:extLst>
            <a:ext uri="{FF2B5EF4-FFF2-40B4-BE49-F238E27FC236}">
              <a16:creationId xmlns="" xmlns:a16="http://schemas.microsoft.com/office/drawing/2014/main" id="{00000000-0008-0000-2A00-000098000000}"/>
            </a:ext>
          </a:extLst>
        </xdr:cNvPr>
        <xdr:cNvCxnSpPr/>
      </xdr:nvCxnSpPr>
      <xdr:spPr>
        <a:xfrm>
          <a:off x="8086725" y="6705600"/>
          <a:ext cx="2286000" cy="1588"/>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67151</xdr:colOff>
      <xdr:row>45</xdr:row>
      <xdr:rowOff>85249</xdr:rowOff>
    </xdr:from>
    <xdr:to>
      <xdr:col>52</xdr:col>
      <xdr:colOff>62389</xdr:colOff>
      <xdr:row>48</xdr:row>
      <xdr:rowOff>20096</xdr:rowOff>
    </xdr:to>
    <xdr:cxnSp macro="">
      <xdr:nvCxnSpPr>
        <xdr:cNvPr id="153" name="Connecteur droit 152">
          <a:extLst>
            <a:ext uri="{FF2B5EF4-FFF2-40B4-BE49-F238E27FC236}">
              <a16:creationId xmlns="" xmlns:a16="http://schemas.microsoft.com/office/drawing/2014/main" id="{00000000-0008-0000-2A00-000099000000}"/>
            </a:ext>
          </a:extLst>
        </xdr:cNvPr>
        <xdr:cNvCxnSpPr/>
      </xdr:nvCxnSpPr>
      <xdr:spPr>
        <a:xfrm rot="5400000">
          <a:off x="7867650" y="6753225"/>
          <a:ext cx="457200" cy="1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2381</xdr:colOff>
      <xdr:row>45</xdr:row>
      <xdr:rowOff>85249</xdr:rowOff>
    </xdr:from>
    <xdr:to>
      <xdr:col>55</xdr:col>
      <xdr:colOff>6668</xdr:colOff>
      <xdr:row>48</xdr:row>
      <xdr:rowOff>20096</xdr:rowOff>
    </xdr:to>
    <xdr:cxnSp macro="">
      <xdr:nvCxnSpPr>
        <xdr:cNvPr id="154" name="Connecteur droit 153">
          <a:extLst>
            <a:ext uri="{FF2B5EF4-FFF2-40B4-BE49-F238E27FC236}">
              <a16:creationId xmlns="" xmlns:a16="http://schemas.microsoft.com/office/drawing/2014/main" id="{00000000-0008-0000-2A00-00009A000000}"/>
            </a:ext>
          </a:extLst>
        </xdr:cNvPr>
        <xdr:cNvCxnSpPr/>
      </xdr:nvCxnSpPr>
      <xdr:spPr>
        <a:xfrm rot="5400000">
          <a:off x="8305800" y="6753225"/>
          <a:ext cx="457200" cy="1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2381</xdr:colOff>
      <xdr:row>45</xdr:row>
      <xdr:rowOff>85249</xdr:rowOff>
    </xdr:from>
    <xdr:to>
      <xdr:col>64</xdr:col>
      <xdr:colOff>6668</xdr:colOff>
      <xdr:row>48</xdr:row>
      <xdr:rowOff>20096</xdr:rowOff>
    </xdr:to>
    <xdr:cxnSp macro="">
      <xdr:nvCxnSpPr>
        <xdr:cNvPr id="155" name="Connecteur droit 154">
          <a:extLst>
            <a:ext uri="{FF2B5EF4-FFF2-40B4-BE49-F238E27FC236}">
              <a16:creationId xmlns="" xmlns:a16="http://schemas.microsoft.com/office/drawing/2014/main" id="{00000000-0008-0000-2A00-00009B000000}"/>
            </a:ext>
          </a:extLst>
        </xdr:cNvPr>
        <xdr:cNvCxnSpPr/>
      </xdr:nvCxnSpPr>
      <xdr:spPr>
        <a:xfrm rot="5400000">
          <a:off x="9677400" y="6753225"/>
          <a:ext cx="457200" cy="1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119221</xdr:colOff>
      <xdr:row>45</xdr:row>
      <xdr:rowOff>85249</xdr:rowOff>
    </xdr:from>
    <xdr:to>
      <xdr:col>66</xdr:col>
      <xdr:colOff>119221</xdr:colOff>
      <xdr:row>48</xdr:row>
      <xdr:rowOff>55863</xdr:rowOff>
    </xdr:to>
    <xdr:cxnSp macro="">
      <xdr:nvCxnSpPr>
        <xdr:cNvPr id="156" name="Connecteur droit 155">
          <a:extLst>
            <a:ext uri="{FF2B5EF4-FFF2-40B4-BE49-F238E27FC236}">
              <a16:creationId xmlns="" xmlns:a16="http://schemas.microsoft.com/office/drawing/2014/main" id="{00000000-0008-0000-2A00-00009C000000}"/>
            </a:ext>
          </a:extLst>
        </xdr:cNvPr>
        <xdr:cNvCxnSpPr/>
      </xdr:nvCxnSpPr>
      <xdr:spPr>
        <a:xfrm rot="5400000">
          <a:off x="10125075" y="6762750"/>
          <a:ext cx="457200" cy="1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102235</xdr:colOff>
      <xdr:row>45</xdr:row>
      <xdr:rowOff>40005</xdr:rowOff>
    </xdr:from>
    <xdr:to>
      <xdr:col>60</xdr:col>
      <xdr:colOff>68248</xdr:colOff>
      <xdr:row>46</xdr:row>
      <xdr:rowOff>110653</xdr:rowOff>
    </xdr:to>
    <xdr:sp macro="" textlink="">
      <xdr:nvSpPr>
        <xdr:cNvPr id="157" name="ZoneTexte 156">
          <a:extLst>
            <a:ext uri="{FF2B5EF4-FFF2-40B4-BE49-F238E27FC236}">
              <a16:creationId xmlns="" xmlns:a16="http://schemas.microsoft.com/office/drawing/2014/main" id="{00000000-0008-0000-2A00-00009D000000}"/>
            </a:ext>
          </a:extLst>
        </xdr:cNvPr>
        <xdr:cNvSpPr txBox="1"/>
      </xdr:nvSpPr>
      <xdr:spPr>
        <a:xfrm>
          <a:off x="8943975" y="6457950"/>
          <a:ext cx="36195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84</a:t>
          </a:r>
        </a:p>
      </xdr:txBody>
    </xdr:sp>
    <xdr:clientData/>
  </xdr:twoCellAnchor>
  <xdr:twoCellAnchor>
    <xdr:from>
      <xdr:col>52</xdr:col>
      <xdr:colOff>81915</xdr:colOff>
      <xdr:row>45</xdr:row>
      <xdr:rowOff>635</xdr:rowOff>
    </xdr:from>
    <xdr:to>
      <xdr:col>54</xdr:col>
      <xdr:colOff>135967</xdr:colOff>
      <xdr:row>46</xdr:row>
      <xdr:rowOff>93821</xdr:rowOff>
    </xdr:to>
    <xdr:sp macro="" textlink="">
      <xdr:nvSpPr>
        <xdr:cNvPr id="158" name="ZoneTexte 157">
          <a:extLst>
            <a:ext uri="{FF2B5EF4-FFF2-40B4-BE49-F238E27FC236}">
              <a16:creationId xmlns="" xmlns:a16="http://schemas.microsoft.com/office/drawing/2014/main" id="{00000000-0008-0000-2A00-00009E000000}"/>
            </a:ext>
          </a:extLst>
        </xdr:cNvPr>
        <xdr:cNvSpPr txBox="1"/>
      </xdr:nvSpPr>
      <xdr:spPr>
        <a:xfrm>
          <a:off x="8162925" y="6467475"/>
          <a:ext cx="36195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40</a:t>
          </a:r>
        </a:p>
      </xdr:txBody>
    </xdr:sp>
    <xdr:clientData/>
  </xdr:twoCellAnchor>
  <xdr:twoCellAnchor>
    <xdr:from>
      <xdr:col>64</xdr:col>
      <xdr:colOff>67310</xdr:colOff>
      <xdr:row>45</xdr:row>
      <xdr:rowOff>40005</xdr:rowOff>
    </xdr:from>
    <xdr:to>
      <xdr:col>66</xdr:col>
      <xdr:colOff>102349</xdr:colOff>
      <xdr:row>46</xdr:row>
      <xdr:rowOff>110653</xdr:rowOff>
    </xdr:to>
    <xdr:sp macro="" textlink="">
      <xdr:nvSpPr>
        <xdr:cNvPr id="159" name="ZoneTexte 158">
          <a:extLst>
            <a:ext uri="{FF2B5EF4-FFF2-40B4-BE49-F238E27FC236}">
              <a16:creationId xmlns="" xmlns:a16="http://schemas.microsoft.com/office/drawing/2014/main" id="{00000000-0008-0000-2A00-00009F000000}"/>
            </a:ext>
          </a:extLst>
        </xdr:cNvPr>
        <xdr:cNvSpPr txBox="1"/>
      </xdr:nvSpPr>
      <xdr:spPr>
        <a:xfrm>
          <a:off x="9953625" y="6457950"/>
          <a:ext cx="36195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40</a:t>
          </a:r>
        </a:p>
      </xdr:txBody>
    </xdr:sp>
    <xdr:clientData/>
  </xdr:twoCellAnchor>
  <xdr:twoCellAnchor>
    <xdr:from>
      <xdr:col>52</xdr:col>
      <xdr:colOff>67945</xdr:colOff>
      <xdr:row>50</xdr:row>
      <xdr:rowOff>0</xdr:rowOff>
    </xdr:from>
    <xdr:to>
      <xdr:col>67</xdr:col>
      <xdr:colOff>67945</xdr:colOff>
      <xdr:row>50</xdr:row>
      <xdr:rowOff>2382</xdr:rowOff>
    </xdr:to>
    <xdr:cxnSp macro="">
      <xdr:nvCxnSpPr>
        <xdr:cNvPr id="160" name="Connecteur droit avec flèche 159">
          <a:extLst>
            <a:ext uri="{FF2B5EF4-FFF2-40B4-BE49-F238E27FC236}">
              <a16:creationId xmlns="" xmlns:a16="http://schemas.microsoft.com/office/drawing/2014/main" id="{00000000-0008-0000-2A00-0000A0000000}"/>
            </a:ext>
          </a:extLst>
        </xdr:cNvPr>
        <xdr:cNvCxnSpPr/>
      </xdr:nvCxnSpPr>
      <xdr:spPr>
        <a:xfrm flipV="1">
          <a:off x="8086725" y="7258050"/>
          <a:ext cx="2295525" cy="9525"/>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67945</xdr:colOff>
      <xdr:row>48</xdr:row>
      <xdr:rowOff>71755</xdr:rowOff>
    </xdr:from>
    <xdr:to>
      <xdr:col>61</xdr:col>
      <xdr:colOff>102422</xdr:colOff>
      <xdr:row>49</xdr:row>
      <xdr:rowOff>78979</xdr:rowOff>
    </xdr:to>
    <xdr:sp macro="" textlink="">
      <xdr:nvSpPr>
        <xdr:cNvPr id="161" name="ZoneTexte 160">
          <a:extLst>
            <a:ext uri="{FF2B5EF4-FFF2-40B4-BE49-F238E27FC236}">
              <a16:creationId xmlns="" xmlns:a16="http://schemas.microsoft.com/office/drawing/2014/main" id="{00000000-0008-0000-2A00-0000A1000000}"/>
            </a:ext>
          </a:extLst>
        </xdr:cNvPr>
        <xdr:cNvSpPr txBox="1"/>
      </xdr:nvSpPr>
      <xdr:spPr>
        <a:xfrm>
          <a:off x="9010650" y="7029450"/>
          <a:ext cx="5334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164</a:t>
          </a:r>
        </a:p>
      </xdr:txBody>
    </xdr:sp>
    <xdr:clientData/>
  </xdr:twoCellAnchor>
  <xdr:twoCellAnchor>
    <xdr:from>
      <xdr:col>58</xdr:col>
      <xdr:colOff>64135</xdr:colOff>
      <xdr:row>1</xdr:row>
      <xdr:rowOff>85090</xdr:rowOff>
    </xdr:from>
    <xdr:to>
      <xdr:col>60</xdr:col>
      <xdr:colOff>136152</xdr:colOff>
      <xdr:row>3</xdr:row>
      <xdr:rowOff>36066</xdr:rowOff>
    </xdr:to>
    <xdr:sp macro="" textlink="">
      <xdr:nvSpPr>
        <xdr:cNvPr id="162" name="ZoneTexte 161">
          <a:extLst>
            <a:ext uri="{FF2B5EF4-FFF2-40B4-BE49-F238E27FC236}">
              <a16:creationId xmlns="" xmlns:a16="http://schemas.microsoft.com/office/drawing/2014/main" id="{00000000-0008-0000-2A00-0000A2000000}"/>
            </a:ext>
          </a:extLst>
        </xdr:cNvPr>
        <xdr:cNvSpPr txBox="1"/>
      </xdr:nvSpPr>
      <xdr:spPr>
        <a:xfrm>
          <a:off x="9048750" y="276225"/>
          <a:ext cx="390525" cy="219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20</a:t>
          </a:r>
        </a:p>
      </xdr:txBody>
    </xdr:sp>
    <xdr:clientData/>
  </xdr:twoCellAnchor>
  <xdr:twoCellAnchor>
    <xdr:from>
      <xdr:col>55</xdr:col>
      <xdr:colOff>1</xdr:colOff>
      <xdr:row>39</xdr:row>
      <xdr:rowOff>40005</xdr:rowOff>
    </xdr:from>
    <xdr:to>
      <xdr:col>63</xdr:col>
      <xdr:colOff>135711</xdr:colOff>
      <xdr:row>40</xdr:row>
      <xdr:rowOff>111710</xdr:rowOff>
    </xdr:to>
    <xdr:sp macro="" textlink="">
      <xdr:nvSpPr>
        <xdr:cNvPr id="163" name="Rectangle 162">
          <a:extLst>
            <a:ext uri="{FF2B5EF4-FFF2-40B4-BE49-F238E27FC236}">
              <a16:creationId xmlns="" xmlns:a16="http://schemas.microsoft.com/office/drawing/2014/main" id="{00000000-0008-0000-2A00-0000A3000000}"/>
            </a:ext>
          </a:extLst>
        </xdr:cNvPr>
        <xdr:cNvSpPr/>
      </xdr:nvSpPr>
      <xdr:spPr>
        <a:xfrm>
          <a:off x="8534401" y="5600700"/>
          <a:ext cx="1362074" cy="247650"/>
        </a:xfrm>
        <a:prstGeom prst="rect">
          <a:avLst/>
        </a:prstGeom>
        <a:blipFill>
          <a:blip xmlns:r="http://schemas.openxmlformats.org/officeDocument/2006/relationships" r:embed="rId7" cstate="print"/>
          <a:tile tx="0" ty="0" sx="100000" sy="100000" flip="none" algn="tl"/>
        </a:blip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15</xdr:col>
      <xdr:colOff>190500</xdr:colOff>
      <xdr:row>67</xdr:row>
      <xdr:rowOff>139700</xdr:rowOff>
    </xdr:from>
    <xdr:to>
      <xdr:col>21</xdr:col>
      <xdr:colOff>38100</xdr:colOff>
      <xdr:row>68</xdr:row>
      <xdr:rowOff>139700</xdr:rowOff>
    </xdr:to>
    <xdr:sp macro="" textlink="">
      <xdr:nvSpPr>
        <xdr:cNvPr id="883447" name="Rectangle 188" descr="Recycled paper">
          <a:extLst>
            <a:ext uri="{FF2B5EF4-FFF2-40B4-BE49-F238E27FC236}">
              <a16:creationId xmlns="" xmlns:a16="http://schemas.microsoft.com/office/drawing/2014/main" id="{00000000-0008-0000-2B00-0000F77A0D00}"/>
            </a:ext>
          </a:extLst>
        </xdr:cNvPr>
        <xdr:cNvSpPr>
          <a:spLocks noChangeArrowheads="1"/>
        </xdr:cNvSpPr>
      </xdr:nvSpPr>
      <xdr:spPr bwMode="auto">
        <a:xfrm rot="120000">
          <a:off x="9334500" y="13328650"/>
          <a:ext cx="3505200" cy="19685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3</xdr:col>
      <xdr:colOff>266700</xdr:colOff>
      <xdr:row>63</xdr:row>
      <xdr:rowOff>6350</xdr:rowOff>
    </xdr:from>
    <xdr:to>
      <xdr:col>4</xdr:col>
      <xdr:colOff>19050</xdr:colOff>
      <xdr:row>64</xdr:row>
      <xdr:rowOff>57150</xdr:rowOff>
    </xdr:to>
    <xdr:sp macro="" textlink="">
      <xdr:nvSpPr>
        <xdr:cNvPr id="883448" name="Rectangle 162" descr="Zig zag">
          <a:extLst>
            <a:ext uri="{FF2B5EF4-FFF2-40B4-BE49-F238E27FC236}">
              <a16:creationId xmlns="" xmlns:a16="http://schemas.microsoft.com/office/drawing/2014/main" id="{00000000-0008-0000-2B00-0000F87A0D00}"/>
            </a:ext>
          </a:extLst>
        </xdr:cNvPr>
        <xdr:cNvSpPr>
          <a:spLocks noChangeArrowheads="1"/>
        </xdr:cNvSpPr>
      </xdr:nvSpPr>
      <xdr:spPr bwMode="auto">
        <a:xfrm flipV="1">
          <a:off x="2095500" y="12407900"/>
          <a:ext cx="361950" cy="247650"/>
        </a:xfrm>
        <a:prstGeom prst="rect">
          <a:avLst/>
        </a:prstGeom>
        <a:blipFill dpi="0" rotWithShape="0">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3175">
              <a:solidFill>
                <a:srgbClr val="000000"/>
              </a:solidFill>
              <a:miter lim="800000"/>
              <a:headEnd/>
              <a:tailEnd/>
            </a14:hiddenLine>
          </a:ext>
        </a:extLst>
      </xdr:spPr>
    </xdr:sp>
    <xdr:clientData/>
  </xdr:twoCellAnchor>
  <xdr:twoCellAnchor>
    <xdr:from>
      <xdr:col>3</xdr:col>
      <xdr:colOff>438150</xdr:colOff>
      <xdr:row>58</xdr:row>
      <xdr:rowOff>38100</xdr:rowOff>
    </xdr:from>
    <xdr:to>
      <xdr:col>7</xdr:col>
      <xdr:colOff>171450</xdr:colOff>
      <xdr:row>64</xdr:row>
      <xdr:rowOff>120650</xdr:rowOff>
    </xdr:to>
    <xdr:sp macro="" textlink="">
      <xdr:nvSpPr>
        <xdr:cNvPr id="883449" name="Rectangle 148" descr="Divot">
          <a:extLst>
            <a:ext uri="{FF2B5EF4-FFF2-40B4-BE49-F238E27FC236}">
              <a16:creationId xmlns="" xmlns:a16="http://schemas.microsoft.com/office/drawing/2014/main" id="{00000000-0008-0000-2B00-0000F97A0D00}"/>
            </a:ext>
          </a:extLst>
        </xdr:cNvPr>
        <xdr:cNvSpPr>
          <a:spLocks noChangeArrowheads="1"/>
        </xdr:cNvSpPr>
      </xdr:nvSpPr>
      <xdr:spPr bwMode="auto">
        <a:xfrm>
          <a:off x="2266950" y="11455400"/>
          <a:ext cx="2171700" cy="1263650"/>
        </a:xfrm>
        <a:prstGeom prst="rect">
          <a:avLst/>
        </a:prstGeom>
        <a:blipFill dpi="0" rotWithShape="0">
          <a:blip xmlns:r="http://schemas.openxmlformats.org/officeDocument/2006/relationships" r:embed="rId3"/>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469900</xdr:colOff>
      <xdr:row>60</xdr:row>
      <xdr:rowOff>38100</xdr:rowOff>
    </xdr:from>
    <xdr:to>
      <xdr:col>3</xdr:col>
      <xdr:colOff>450850</xdr:colOff>
      <xdr:row>65</xdr:row>
      <xdr:rowOff>38100</xdr:rowOff>
    </xdr:to>
    <xdr:sp macro="" textlink="">
      <xdr:nvSpPr>
        <xdr:cNvPr id="883450" name="Rectangle 159" descr="Zig zag">
          <a:extLst>
            <a:ext uri="{FF2B5EF4-FFF2-40B4-BE49-F238E27FC236}">
              <a16:creationId xmlns="" xmlns:a16="http://schemas.microsoft.com/office/drawing/2014/main" id="{00000000-0008-0000-2B00-0000FA7A0D00}"/>
            </a:ext>
          </a:extLst>
        </xdr:cNvPr>
        <xdr:cNvSpPr>
          <a:spLocks noChangeArrowheads="1"/>
        </xdr:cNvSpPr>
      </xdr:nvSpPr>
      <xdr:spPr bwMode="auto">
        <a:xfrm flipV="1">
          <a:off x="469900" y="11849100"/>
          <a:ext cx="1809750" cy="984250"/>
        </a:xfrm>
        <a:prstGeom prst="rect">
          <a:avLst/>
        </a:prstGeom>
        <a:blipFill dpi="0" rotWithShape="0">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3175">
              <a:solidFill>
                <a:srgbClr val="000000"/>
              </a:solidFill>
              <a:miter lim="800000"/>
              <a:headEnd/>
              <a:tailEnd/>
            </a14:hiddenLine>
          </a:ext>
        </a:extLst>
      </xdr:spPr>
    </xdr:sp>
    <xdr:clientData/>
  </xdr:twoCellAnchor>
  <xdr:twoCellAnchor>
    <xdr:from>
      <xdr:col>13</xdr:col>
      <xdr:colOff>419100</xdr:colOff>
      <xdr:row>3</xdr:row>
      <xdr:rowOff>112395</xdr:rowOff>
    </xdr:from>
    <xdr:to>
      <xdr:col>14</xdr:col>
      <xdr:colOff>290206</xdr:colOff>
      <xdr:row>5</xdr:row>
      <xdr:rowOff>19990</xdr:rowOff>
    </xdr:to>
    <xdr:sp macro="" textlink="">
      <xdr:nvSpPr>
        <xdr:cNvPr id="6" name="Text Box 68">
          <a:extLst>
            <a:ext uri="{FF2B5EF4-FFF2-40B4-BE49-F238E27FC236}">
              <a16:creationId xmlns="" xmlns:a16="http://schemas.microsoft.com/office/drawing/2014/main" id="{00000000-0008-0000-2B00-000006000000}"/>
            </a:ext>
          </a:extLst>
        </xdr:cNvPr>
        <xdr:cNvSpPr txBox="1">
          <a:spLocks noChangeArrowheads="1"/>
        </xdr:cNvSpPr>
      </xdr:nvSpPr>
      <xdr:spPr bwMode="auto">
        <a:xfrm>
          <a:off x="8439150" y="752475"/>
          <a:ext cx="466725" cy="256839"/>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0.2 m</a:t>
          </a:r>
        </a:p>
      </xdr:txBody>
    </xdr:sp>
    <xdr:clientData/>
  </xdr:twoCellAnchor>
  <xdr:twoCellAnchor>
    <xdr:from>
      <xdr:col>12</xdr:col>
      <xdr:colOff>152400</xdr:colOff>
      <xdr:row>11</xdr:row>
      <xdr:rowOff>139700</xdr:rowOff>
    </xdr:from>
    <xdr:to>
      <xdr:col>13</xdr:col>
      <xdr:colOff>457200</xdr:colOff>
      <xdr:row>19</xdr:row>
      <xdr:rowOff>139700</xdr:rowOff>
    </xdr:to>
    <xdr:sp macro="" textlink="">
      <xdr:nvSpPr>
        <xdr:cNvPr id="883452" name="Rectangle 120" descr="Dark downward diagonal">
          <a:extLst>
            <a:ext uri="{FF2B5EF4-FFF2-40B4-BE49-F238E27FC236}">
              <a16:creationId xmlns="" xmlns:a16="http://schemas.microsoft.com/office/drawing/2014/main" id="{00000000-0008-0000-2B00-0000FC7A0D00}"/>
            </a:ext>
          </a:extLst>
        </xdr:cNvPr>
        <xdr:cNvSpPr>
          <a:spLocks noChangeArrowheads="1"/>
        </xdr:cNvSpPr>
      </xdr:nvSpPr>
      <xdr:spPr bwMode="auto">
        <a:xfrm>
          <a:off x="7467600" y="2305050"/>
          <a:ext cx="914400" cy="1574800"/>
        </a:xfrm>
        <a:prstGeom prst="rect">
          <a:avLst/>
        </a:prstGeom>
        <a:blipFill dpi="0" rotWithShape="0">
          <a:blip xmlns:r="http://schemas.openxmlformats.org/officeDocument/2006/relationships" r:embed="rId4"/>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476250</xdr:colOff>
      <xdr:row>3</xdr:row>
      <xdr:rowOff>0</xdr:rowOff>
    </xdr:from>
    <xdr:to>
      <xdr:col>8</xdr:col>
      <xdr:colOff>285750</xdr:colOff>
      <xdr:row>26</xdr:row>
      <xdr:rowOff>139700</xdr:rowOff>
    </xdr:to>
    <xdr:sp macro="" textlink="">
      <xdr:nvSpPr>
        <xdr:cNvPr id="883453" name="Rectangle 93" descr="Dark downward diagonal">
          <a:extLst>
            <a:ext uri="{FF2B5EF4-FFF2-40B4-BE49-F238E27FC236}">
              <a16:creationId xmlns="" xmlns:a16="http://schemas.microsoft.com/office/drawing/2014/main" id="{00000000-0008-0000-2B00-0000FD7A0D00}"/>
            </a:ext>
          </a:extLst>
        </xdr:cNvPr>
        <xdr:cNvSpPr>
          <a:spLocks noChangeArrowheads="1"/>
        </xdr:cNvSpPr>
      </xdr:nvSpPr>
      <xdr:spPr bwMode="auto">
        <a:xfrm>
          <a:off x="4133850" y="590550"/>
          <a:ext cx="1028700" cy="4667250"/>
        </a:xfrm>
        <a:prstGeom prst="rect">
          <a:avLst/>
        </a:prstGeom>
        <a:blipFill dpi="0" rotWithShape="0">
          <a:blip xmlns:r="http://schemas.openxmlformats.org/officeDocument/2006/relationships" r:embed="rId4"/>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5</xdr:row>
      <xdr:rowOff>95250</xdr:rowOff>
    </xdr:from>
    <xdr:to>
      <xdr:col>6</xdr:col>
      <xdr:colOff>476250</xdr:colOff>
      <xdr:row>30</xdr:row>
      <xdr:rowOff>139700</xdr:rowOff>
    </xdr:to>
    <xdr:sp macro="" textlink="">
      <xdr:nvSpPr>
        <xdr:cNvPr id="883454" name="Rectangle 92" descr="Zig zag">
          <a:extLst>
            <a:ext uri="{FF2B5EF4-FFF2-40B4-BE49-F238E27FC236}">
              <a16:creationId xmlns="" xmlns:a16="http://schemas.microsoft.com/office/drawing/2014/main" id="{00000000-0008-0000-2B00-0000FE7A0D00}"/>
            </a:ext>
          </a:extLst>
        </xdr:cNvPr>
        <xdr:cNvSpPr>
          <a:spLocks noChangeArrowheads="1"/>
        </xdr:cNvSpPr>
      </xdr:nvSpPr>
      <xdr:spPr bwMode="auto">
        <a:xfrm flipV="1">
          <a:off x="1828800" y="1079500"/>
          <a:ext cx="2305050" cy="4965700"/>
        </a:xfrm>
        <a:prstGeom prst="rect">
          <a:avLst/>
        </a:prstGeom>
        <a:blipFill dpi="0" rotWithShape="0">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3175">
              <a:solidFill>
                <a:srgbClr val="000000"/>
              </a:solidFill>
              <a:miter lim="800000"/>
              <a:headEnd/>
              <a:tailEnd/>
            </a14:hiddenLine>
          </a:ext>
        </a:extLst>
      </xdr:spPr>
    </xdr:sp>
    <xdr:clientData/>
  </xdr:twoCellAnchor>
  <xdr:twoCellAnchor>
    <xdr:from>
      <xdr:col>14</xdr:col>
      <xdr:colOff>127000</xdr:colOff>
      <xdr:row>7</xdr:row>
      <xdr:rowOff>38100</xdr:rowOff>
    </xdr:from>
    <xdr:to>
      <xdr:col>17</xdr:col>
      <xdr:colOff>355600</xdr:colOff>
      <xdr:row>24</xdr:row>
      <xdr:rowOff>63500</xdr:rowOff>
    </xdr:to>
    <xdr:sp macro="" textlink="">
      <xdr:nvSpPr>
        <xdr:cNvPr id="883455" name="Rectangle 72" descr="Recycled paper">
          <a:extLst>
            <a:ext uri="{FF2B5EF4-FFF2-40B4-BE49-F238E27FC236}">
              <a16:creationId xmlns="" xmlns:a16="http://schemas.microsoft.com/office/drawing/2014/main" id="{00000000-0008-0000-2B00-0000FF7A0D00}"/>
            </a:ext>
          </a:extLst>
        </xdr:cNvPr>
        <xdr:cNvSpPr>
          <a:spLocks noChangeArrowheads="1"/>
        </xdr:cNvSpPr>
      </xdr:nvSpPr>
      <xdr:spPr bwMode="auto">
        <a:xfrm>
          <a:off x="8661400" y="1416050"/>
          <a:ext cx="2057400" cy="3371850"/>
        </a:xfrm>
        <a:prstGeom prst="rect">
          <a:avLst/>
        </a:prstGeom>
        <a:blipFill dpi="0" rotWithShape="0">
          <a:blip xmlns:r="http://schemas.openxmlformats.org/officeDocument/2006/relationships" r:embed="rId1"/>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14</xdr:col>
      <xdr:colOff>304800</xdr:colOff>
      <xdr:row>13</xdr:row>
      <xdr:rowOff>57150</xdr:rowOff>
    </xdr:from>
    <xdr:to>
      <xdr:col>16</xdr:col>
      <xdr:colOff>31750</xdr:colOff>
      <xdr:row>17</xdr:row>
      <xdr:rowOff>95250</xdr:rowOff>
    </xdr:to>
    <xdr:sp macro="" textlink="">
      <xdr:nvSpPr>
        <xdr:cNvPr id="883456" name="Freeform 71" descr="Sand">
          <a:extLst>
            <a:ext uri="{FF2B5EF4-FFF2-40B4-BE49-F238E27FC236}">
              <a16:creationId xmlns="" xmlns:a16="http://schemas.microsoft.com/office/drawing/2014/main" id="{00000000-0008-0000-2B00-0000007B0D00}"/>
            </a:ext>
          </a:extLst>
        </xdr:cNvPr>
        <xdr:cNvSpPr>
          <a:spLocks/>
        </xdr:cNvSpPr>
      </xdr:nvSpPr>
      <xdr:spPr bwMode="auto">
        <a:xfrm>
          <a:off x="8839200" y="2616200"/>
          <a:ext cx="946150" cy="825500"/>
        </a:xfrm>
        <a:custGeom>
          <a:avLst/>
          <a:gdLst>
            <a:gd name="T0" fmla="*/ 2147483646 w 66"/>
            <a:gd name="T1" fmla="*/ 2147483646 h 75"/>
            <a:gd name="T2" fmla="*/ 2147483646 w 66"/>
            <a:gd name="T3" fmla="*/ 2147483646 h 75"/>
            <a:gd name="T4" fmla="*/ 2147483646 w 66"/>
            <a:gd name="T5" fmla="*/ 2147483646 h 75"/>
            <a:gd name="T6" fmla="*/ 2147483646 w 66"/>
            <a:gd name="T7" fmla="*/ 2147483646 h 75"/>
            <a:gd name="T8" fmla="*/ 2147483646 w 66"/>
            <a:gd name="T9" fmla="*/ 2147483646 h 75"/>
            <a:gd name="T10" fmla="*/ 0 w 66"/>
            <a:gd name="T11" fmla="*/ 2147483646 h 75"/>
            <a:gd name="T12" fmla="*/ 0 w 66"/>
            <a:gd name="T13" fmla="*/ 2147483646 h 75"/>
            <a:gd name="T14" fmla="*/ 2147483646 w 66"/>
            <a:gd name="T15" fmla="*/ 2147483646 h 75"/>
            <a:gd name="T16" fmla="*/ 2147483646 w 66"/>
            <a:gd name="T17" fmla="*/ 2147483646 h 75"/>
            <a:gd name="T18" fmla="*/ 2147483646 w 66"/>
            <a:gd name="T19" fmla="*/ 2147483646 h 75"/>
            <a:gd name="T20" fmla="*/ 2147483646 w 66"/>
            <a:gd name="T21" fmla="*/ 2147483646 h 75"/>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66"/>
            <a:gd name="T34" fmla="*/ 0 h 75"/>
            <a:gd name="T35" fmla="*/ 66 w 66"/>
            <a:gd name="T36" fmla="*/ 75 h 75"/>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66" h="75">
              <a:moveTo>
                <a:pt x="27" y="7"/>
              </a:moveTo>
              <a:cubicBezTo>
                <a:pt x="38" y="14"/>
                <a:pt x="66" y="0"/>
                <a:pt x="55" y="16"/>
              </a:cubicBezTo>
              <a:cubicBezTo>
                <a:pt x="53" y="30"/>
                <a:pt x="55" y="44"/>
                <a:pt x="47" y="57"/>
              </a:cubicBezTo>
              <a:cubicBezTo>
                <a:pt x="45" y="75"/>
                <a:pt x="35" y="66"/>
                <a:pt x="11" y="65"/>
              </a:cubicBezTo>
              <a:cubicBezTo>
                <a:pt x="8" y="62"/>
                <a:pt x="6" y="61"/>
                <a:pt x="4" y="57"/>
              </a:cubicBezTo>
              <a:cubicBezTo>
                <a:pt x="3" y="55"/>
                <a:pt x="0" y="51"/>
                <a:pt x="0" y="51"/>
              </a:cubicBezTo>
              <a:cubicBezTo>
                <a:pt x="2" y="42"/>
                <a:pt x="3" y="37"/>
                <a:pt x="0" y="28"/>
              </a:cubicBezTo>
              <a:cubicBezTo>
                <a:pt x="2" y="20"/>
                <a:pt x="6" y="19"/>
                <a:pt x="10" y="12"/>
              </a:cubicBezTo>
              <a:cubicBezTo>
                <a:pt x="11" y="6"/>
                <a:pt x="13" y="4"/>
                <a:pt x="19" y="2"/>
              </a:cubicBezTo>
              <a:cubicBezTo>
                <a:pt x="23" y="2"/>
                <a:pt x="29" y="1"/>
                <a:pt x="30" y="5"/>
              </a:cubicBezTo>
              <a:cubicBezTo>
                <a:pt x="31" y="12"/>
                <a:pt x="27" y="7"/>
                <a:pt x="27" y="7"/>
              </a:cubicBezTo>
              <a:close/>
            </a:path>
          </a:pathLst>
        </a:custGeom>
        <a:blipFill dpi="0" rotWithShape="0">
          <a:blip xmlns:r="http://schemas.openxmlformats.org/officeDocument/2006/relationships" r:embed="rId5"/>
          <a:srcRect/>
          <a:tile tx="0" ty="0" sx="100000" sy="100000" flip="none" algn="tl"/>
        </a:blipFill>
        <a:ln w="9525">
          <a:solidFill>
            <a:srgbClr val="000000"/>
          </a:solidFill>
          <a:round/>
          <a:headEnd/>
          <a:tailEnd/>
        </a:ln>
      </xdr:spPr>
    </xdr:sp>
    <xdr:clientData/>
  </xdr:twoCellAnchor>
  <xdr:twoCellAnchor>
    <xdr:from>
      <xdr:col>3</xdr:col>
      <xdr:colOff>279400</xdr:colOff>
      <xdr:row>10</xdr:row>
      <xdr:rowOff>139700</xdr:rowOff>
    </xdr:from>
    <xdr:to>
      <xdr:col>7</xdr:col>
      <xdr:colOff>0</xdr:colOff>
      <xdr:row>20</xdr:row>
      <xdr:rowOff>95250</xdr:rowOff>
    </xdr:to>
    <xdr:sp macro="" textlink="">
      <xdr:nvSpPr>
        <xdr:cNvPr id="883457" name="Rectangle 1" descr="Divot">
          <a:extLst>
            <a:ext uri="{FF2B5EF4-FFF2-40B4-BE49-F238E27FC236}">
              <a16:creationId xmlns="" xmlns:a16="http://schemas.microsoft.com/office/drawing/2014/main" id="{00000000-0008-0000-2B00-0000017B0D00}"/>
            </a:ext>
          </a:extLst>
        </xdr:cNvPr>
        <xdr:cNvSpPr>
          <a:spLocks noChangeArrowheads="1"/>
        </xdr:cNvSpPr>
      </xdr:nvSpPr>
      <xdr:spPr bwMode="auto">
        <a:xfrm>
          <a:off x="2108200" y="2108200"/>
          <a:ext cx="2159000" cy="192405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6</xdr:col>
      <xdr:colOff>476250</xdr:colOff>
      <xdr:row>5</xdr:row>
      <xdr:rowOff>139700</xdr:rowOff>
    </xdr:from>
    <xdr:to>
      <xdr:col>7</xdr:col>
      <xdr:colOff>184150</xdr:colOff>
      <xdr:row>25</xdr:row>
      <xdr:rowOff>0</xdr:rowOff>
    </xdr:to>
    <xdr:sp macro="" textlink="">
      <xdr:nvSpPr>
        <xdr:cNvPr id="883458" name="Rectangle 2" descr="Recycled paper">
          <a:extLst>
            <a:ext uri="{FF2B5EF4-FFF2-40B4-BE49-F238E27FC236}">
              <a16:creationId xmlns="" xmlns:a16="http://schemas.microsoft.com/office/drawing/2014/main" id="{00000000-0008-0000-2B00-0000027B0D00}"/>
            </a:ext>
          </a:extLst>
        </xdr:cNvPr>
        <xdr:cNvSpPr>
          <a:spLocks noChangeArrowheads="1"/>
        </xdr:cNvSpPr>
      </xdr:nvSpPr>
      <xdr:spPr bwMode="auto">
        <a:xfrm>
          <a:off x="4133850" y="1123950"/>
          <a:ext cx="317500" cy="37973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6</xdr:col>
      <xdr:colOff>241300</xdr:colOff>
      <xdr:row>20</xdr:row>
      <xdr:rowOff>57150</xdr:rowOff>
    </xdr:from>
    <xdr:to>
      <xdr:col>6</xdr:col>
      <xdr:colOff>381000</xdr:colOff>
      <xdr:row>21</xdr:row>
      <xdr:rowOff>44450</xdr:rowOff>
    </xdr:to>
    <xdr:sp macro="" textlink="">
      <xdr:nvSpPr>
        <xdr:cNvPr id="883459" name="Freeform 11">
          <a:extLst>
            <a:ext uri="{FF2B5EF4-FFF2-40B4-BE49-F238E27FC236}">
              <a16:creationId xmlns="" xmlns:a16="http://schemas.microsoft.com/office/drawing/2014/main" id="{00000000-0008-0000-2B00-0000037B0D00}"/>
            </a:ext>
          </a:extLst>
        </xdr:cNvPr>
        <xdr:cNvSpPr>
          <a:spLocks/>
        </xdr:cNvSpPr>
      </xdr:nvSpPr>
      <xdr:spPr bwMode="auto">
        <a:xfrm>
          <a:off x="3898900" y="3994150"/>
          <a:ext cx="139700" cy="1841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4</xdr:col>
      <xdr:colOff>38100</xdr:colOff>
      <xdr:row>20</xdr:row>
      <xdr:rowOff>57150</xdr:rowOff>
    </xdr:from>
    <xdr:to>
      <xdr:col>4</xdr:col>
      <xdr:colOff>184150</xdr:colOff>
      <xdr:row>21</xdr:row>
      <xdr:rowOff>44450</xdr:rowOff>
    </xdr:to>
    <xdr:sp macro="" textlink="">
      <xdr:nvSpPr>
        <xdr:cNvPr id="883460" name="Freeform 14">
          <a:extLst>
            <a:ext uri="{FF2B5EF4-FFF2-40B4-BE49-F238E27FC236}">
              <a16:creationId xmlns="" xmlns:a16="http://schemas.microsoft.com/office/drawing/2014/main" id="{00000000-0008-0000-2B00-0000047B0D00}"/>
            </a:ext>
          </a:extLst>
        </xdr:cNvPr>
        <xdr:cNvSpPr>
          <a:spLocks/>
        </xdr:cNvSpPr>
      </xdr:nvSpPr>
      <xdr:spPr bwMode="auto">
        <a:xfrm>
          <a:off x="2476500" y="3994150"/>
          <a:ext cx="146050" cy="1841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4</xdr:col>
      <xdr:colOff>279400</xdr:colOff>
      <xdr:row>20</xdr:row>
      <xdr:rowOff>63500</xdr:rowOff>
    </xdr:from>
    <xdr:to>
      <xdr:col>4</xdr:col>
      <xdr:colOff>419100</xdr:colOff>
      <xdr:row>21</xdr:row>
      <xdr:rowOff>57150</xdr:rowOff>
    </xdr:to>
    <xdr:sp macro="" textlink="">
      <xdr:nvSpPr>
        <xdr:cNvPr id="883461" name="Freeform 16">
          <a:extLst>
            <a:ext uri="{FF2B5EF4-FFF2-40B4-BE49-F238E27FC236}">
              <a16:creationId xmlns="" xmlns:a16="http://schemas.microsoft.com/office/drawing/2014/main" id="{00000000-0008-0000-2B00-0000057B0D00}"/>
            </a:ext>
          </a:extLst>
        </xdr:cNvPr>
        <xdr:cNvSpPr>
          <a:spLocks/>
        </xdr:cNvSpPr>
      </xdr:nvSpPr>
      <xdr:spPr bwMode="auto">
        <a:xfrm>
          <a:off x="2717800" y="4000500"/>
          <a:ext cx="139700" cy="1905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14</xdr:row>
      <xdr:rowOff>139700</xdr:rowOff>
    </xdr:from>
    <xdr:to>
      <xdr:col>3</xdr:col>
      <xdr:colOff>317500</xdr:colOff>
      <xdr:row>15</xdr:row>
      <xdr:rowOff>114300</xdr:rowOff>
    </xdr:to>
    <xdr:sp macro="" textlink="">
      <xdr:nvSpPr>
        <xdr:cNvPr id="883462" name="Freeform 19">
          <a:extLst>
            <a:ext uri="{FF2B5EF4-FFF2-40B4-BE49-F238E27FC236}">
              <a16:creationId xmlns="" xmlns:a16="http://schemas.microsoft.com/office/drawing/2014/main" id="{00000000-0008-0000-2B00-0000067B0D00}"/>
            </a:ext>
          </a:extLst>
        </xdr:cNvPr>
        <xdr:cNvSpPr>
          <a:spLocks/>
        </xdr:cNvSpPr>
      </xdr:nvSpPr>
      <xdr:spPr bwMode="auto">
        <a:xfrm>
          <a:off x="2000250" y="2895600"/>
          <a:ext cx="146050" cy="171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14</xdr:row>
      <xdr:rowOff>6350</xdr:rowOff>
    </xdr:from>
    <xdr:to>
      <xdr:col>3</xdr:col>
      <xdr:colOff>317500</xdr:colOff>
      <xdr:row>14</xdr:row>
      <xdr:rowOff>146050</xdr:rowOff>
    </xdr:to>
    <xdr:sp macro="" textlink="">
      <xdr:nvSpPr>
        <xdr:cNvPr id="883463" name="Freeform 20">
          <a:extLst>
            <a:ext uri="{FF2B5EF4-FFF2-40B4-BE49-F238E27FC236}">
              <a16:creationId xmlns="" xmlns:a16="http://schemas.microsoft.com/office/drawing/2014/main" id="{00000000-0008-0000-2B00-0000077B0D00}"/>
            </a:ext>
          </a:extLst>
        </xdr:cNvPr>
        <xdr:cNvSpPr>
          <a:spLocks/>
        </xdr:cNvSpPr>
      </xdr:nvSpPr>
      <xdr:spPr bwMode="auto">
        <a:xfrm>
          <a:off x="2000250" y="2762250"/>
          <a:ext cx="146050" cy="1397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15</xdr:row>
      <xdr:rowOff>95250</xdr:rowOff>
    </xdr:from>
    <xdr:to>
      <xdr:col>3</xdr:col>
      <xdr:colOff>323850</xdr:colOff>
      <xdr:row>16</xdr:row>
      <xdr:rowOff>82550</xdr:rowOff>
    </xdr:to>
    <xdr:sp macro="" textlink="">
      <xdr:nvSpPr>
        <xdr:cNvPr id="883464" name="Freeform 21">
          <a:extLst>
            <a:ext uri="{FF2B5EF4-FFF2-40B4-BE49-F238E27FC236}">
              <a16:creationId xmlns="" xmlns:a16="http://schemas.microsoft.com/office/drawing/2014/main" id="{00000000-0008-0000-2B00-0000087B0D00}"/>
            </a:ext>
          </a:extLst>
        </xdr:cNvPr>
        <xdr:cNvSpPr>
          <a:spLocks/>
        </xdr:cNvSpPr>
      </xdr:nvSpPr>
      <xdr:spPr bwMode="auto">
        <a:xfrm>
          <a:off x="2000250" y="3048000"/>
          <a:ext cx="152400" cy="1841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16</xdr:row>
      <xdr:rowOff>63500</xdr:rowOff>
    </xdr:from>
    <xdr:to>
      <xdr:col>3</xdr:col>
      <xdr:colOff>323850</xdr:colOff>
      <xdr:row>17</xdr:row>
      <xdr:rowOff>57150</xdr:rowOff>
    </xdr:to>
    <xdr:sp macro="" textlink="">
      <xdr:nvSpPr>
        <xdr:cNvPr id="883465" name="Freeform 22">
          <a:extLst>
            <a:ext uri="{FF2B5EF4-FFF2-40B4-BE49-F238E27FC236}">
              <a16:creationId xmlns="" xmlns:a16="http://schemas.microsoft.com/office/drawing/2014/main" id="{00000000-0008-0000-2B00-0000097B0D00}"/>
            </a:ext>
          </a:extLst>
        </xdr:cNvPr>
        <xdr:cNvSpPr>
          <a:spLocks/>
        </xdr:cNvSpPr>
      </xdr:nvSpPr>
      <xdr:spPr bwMode="auto">
        <a:xfrm>
          <a:off x="2000250" y="3213100"/>
          <a:ext cx="152400" cy="1905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17</xdr:row>
      <xdr:rowOff>38100</xdr:rowOff>
    </xdr:from>
    <xdr:to>
      <xdr:col>3</xdr:col>
      <xdr:colOff>323850</xdr:colOff>
      <xdr:row>18</xdr:row>
      <xdr:rowOff>19050</xdr:rowOff>
    </xdr:to>
    <xdr:sp macro="" textlink="">
      <xdr:nvSpPr>
        <xdr:cNvPr id="883466" name="Freeform 23">
          <a:extLst>
            <a:ext uri="{FF2B5EF4-FFF2-40B4-BE49-F238E27FC236}">
              <a16:creationId xmlns="" xmlns:a16="http://schemas.microsoft.com/office/drawing/2014/main" id="{00000000-0008-0000-2B00-00000A7B0D00}"/>
            </a:ext>
          </a:extLst>
        </xdr:cNvPr>
        <xdr:cNvSpPr>
          <a:spLocks/>
        </xdr:cNvSpPr>
      </xdr:nvSpPr>
      <xdr:spPr bwMode="auto">
        <a:xfrm>
          <a:off x="2000250" y="3384550"/>
          <a:ext cx="15240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18</xdr:row>
      <xdr:rowOff>19050</xdr:rowOff>
    </xdr:from>
    <xdr:to>
      <xdr:col>3</xdr:col>
      <xdr:colOff>323850</xdr:colOff>
      <xdr:row>19</xdr:row>
      <xdr:rowOff>0</xdr:rowOff>
    </xdr:to>
    <xdr:sp macro="" textlink="">
      <xdr:nvSpPr>
        <xdr:cNvPr id="883467" name="Freeform 24">
          <a:extLst>
            <a:ext uri="{FF2B5EF4-FFF2-40B4-BE49-F238E27FC236}">
              <a16:creationId xmlns="" xmlns:a16="http://schemas.microsoft.com/office/drawing/2014/main" id="{00000000-0008-0000-2B00-00000B7B0D00}"/>
            </a:ext>
          </a:extLst>
        </xdr:cNvPr>
        <xdr:cNvSpPr>
          <a:spLocks/>
        </xdr:cNvSpPr>
      </xdr:nvSpPr>
      <xdr:spPr bwMode="auto">
        <a:xfrm>
          <a:off x="2000250" y="3562350"/>
          <a:ext cx="15240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13</xdr:row>
      <xdr:rowOff>38100</xdr:rowOff>
    </xdr:from>
    <xdr:to>
      <xdr:col>3</xdr:col>
      <xdr:colOff>323850</xdr:colOff>
      <xdr:row>14</xdr:row>
      <xdr:rowOff>19050</xdr:rowOff>
    </xdr:to>
    <xdr:sp macro="" textlink="">
      <xdr:nvSpPr>
        <xdr:cNvPr id="883468" name="Freeform 26">
          <a:extLst>
            <a:ext uri="{FF2B5EF4-FFF2-40B4-BE49-F238E27FC236}">
              <a16:creationId xmlns="" xmlns:a16="http://schemas.microsoft.com/office/drawing/2014/main" id="{00000000-0008-0000-2B00-00000C7B0D00}"/>
            </a:ext>
          </a:extLst>
        </xdr:cNvPr>
        <xdr:cNvSpPr>
          <a:spLocks/>
        </xdr:cNvSpPr>
      </xdr:nvSpPr>
      <xdr:spPr bwMode="auto">
        <a:xfrm>
          <a:off x="2000250" y="2597150"/>
          <a:ext cx="15240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12</xdr:row>
      <xdr:rowOff>63500</xdr:rowOff>
    </xdr:from>
    <xdr:to>
      <xdr:col>3</xdr:col>
      <xdr:colOff>317500</xdr:colOff>
      <xdr:row>13</xdr:row>
      <xdr:rowOff>57150</xdr:rowOff>
    </xdr:to>
    <xdr:sp macro="" textlink="">
      <xdr:nvSpPr>
        <xdr:cNvPr id="883469" name="Freeform 27">
          <a:extLst>
            <a:ext uri="{FF2B5EF4-FFF2-40B4-BE49-F238E27FC236}">
              <a16:creationId xmlns="" xmlns:a16="http://schemas.microsoft.com/office/drawing/2014/main" id="{00000000-0008-0000-2B00-00000D7B0D00}"/>
            </a:ext>
          </a:extLst>
        </xdr:cNvPr>
        <xdr:cNvSpPr>
          <a:spLocks/>
        </xdr:cNvSpPr>
      </xdr:nvSpPr>
      <xdr:spPr bwMode="auto">
        <a:xfrm>
          <a:off x="2000250" y="2425700"/>
          <a:ext cx="146050" cy="1905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11</xdr:row>
      <xdr:rowOff>114300</xdr:rowOff>
    </xdr:from>
    <xdr:to>
      <xdr:col>3</xdr:col>
      <xdr:colOff>323850</xdr:colOff>
      <xdr:row>12</xdr:row>
      <xdr:rowOff>95250</xdr:rowOff>
    </xdr:to>
    <xdr:sp macro="" textlink="">
      <xdr:nvSpPr>
        <xdr:cNvPr id="883470" name="Freeform 28">
          <a:extLst>
            <a:ext uri="{FF2B5EF4-FFF2-40B4-BE49-F238E27FC236}">
              <a16:creationId xmlns="" xmlns:a16="http://schemas.microsoft.com/office/drawing/2014/main" id="{00000000-0008-0000-2B00-00000E7B0D00}"/>
            </a:ext>
          </a:extLst>
        </xdr:cNvPr>
        <xdr:cNvSpPr>
          <a:spLocks/>
        </xdr:cNvSpPr>
      </xdr:nvSpPr>
      <xdr:spPr bwMode="auto">
        <a:xfrm>
          <a:off x="2000250" y="2279650"/>
          <a:ext cx="15240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11</xdr:row>
      <xdr:rowOff>0</xdr:rowOff>
    </xdr:from>
    <xdr:to>
      <xdr:col>3</xdr:col>
      <xdr:colOff>317500</xdr:colOff>
      <xdr:row>11</xdr:row>
      <xdr:rowOff>139700</xdr:rowOff>
    </xdr:to>
    <xdr:sp macro="" textlink="">
      <xdr:nvSpPr>
        <xdr:cNvPr id="883471" name="Freeform 29">
          <a:extLst>
            <a:ext uri="{FF2B5EF4-FFF2-40B4-BE49-F238E27FC236}">
              <a16:creationId xmlns="" xmlns:a16="http://schemas.microsoft.com/office/drawing/2014/main" id="{00000000-0008-0000-2B00-00000F7B0D00}"/>
            </a:ext>
          </a:extLst>
        </xdr:cNvPr>
        <xdr:cNvSpPr>
          <a:spLocks/>
        </xdr:cNvSpPr>
      </xdr:nvSpPr>
      <xdr:spPr bwMode="auto">
        <a:xfrm>
          <a:off x="2000250" y="2165350"/>
          <a:ext cx="146050" cy="1397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10</xdr:row>
      <xdr:rowOff>44450</xdr:rowOff>
    </xdr:from>
    <xdr:to>
      <xdr:col>3</xdr:col>
      <xdr:colOff>317500</xdr:colOff>
      <xdr:row>11</xdr:row>
      <xdr:rowOff>25400</xdr:rowOff>
    </xdr:to>
    <xdr:sp macro="" textlink="">
      <xdr:nvSpPr>
        <xdr:cNvPr id="883472" name="Freeform 30">
          <a:extLst>
            <a:ext uri="{FF2B5EF4-FFF2-40B4-BE49-F238E27FC236}">
              <a16:creationId xmlns="" xmlns:a16="http://schemas.microsoft.com/office/drawing/2014/main" id="{00000000-0008-0000-2B00-0000107B0D00}"/>
            </a:ext>
          </a:extLst>
        </xdr:cNvPr>
        <xdr:cNvSpPr>
          <a:spLocks/>
        </xdr:cNvSpPr>
      </xdr:nvSpPr>
      <xdr:spPr bwMode="auto">
        <a:xfrm>
          <a:off x="2000250" y="2012950"/>
          <a:ext cx="14605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4</xdr:col>
      <xdr:colOff>114300</xdr:colOff>
      <xdr:row>10</xdr:row>
      <xdr:rowOff>19050</xdr:rowOff>
    </xdr:from>
    <xdr:to>
      <xdr:col>4</xdr:col>
      <xdr:colOff>260350</xdr:colOff>
      <xdr:row>11</xdr:row>
      <xdr:rowOff>0</xdr:rowOff>
    </xdr:to>
    <xdr:sp macro="" textlink="">
      <xdr:nvSpPr>
        <xdr:cNvPr id="883473" name="Freeform 31">
          <a:extLst>
            <a:ext uri="{FF2B5EF4-FFF2-40B4-BE49-F238E27FC236}">
              <a16:creationId xmlns="" xmlns:a16="http://schemas.microsoft.com/office/drawing/2014/main" id="{00000000-0008-0000-2B00-0000117B0D00}"/>
            </a:ext>
          </a:extLst>
        </xdr:cNvPr>
        <xdr:cNvSpPr>
          <a:spLocks/>
        </xdr:cNvSpPr>
      </xdr:nvSpPr>
      <xdr:spPr bwMode="auto">
        <a:xfrm>
          <a:off x="2552700" y="1987550"/>
          <a:ext cx="14605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476250</xdr:colOff>
      <xdr:row>10</xdr:row>
      <xdr:rowOff>6350</xdr:rowOff>
    </xdr:from>
    <xdr:to>
      <xdr:col>4</xdr:col>
      <xdr:colOff>133350</xdr:colOff>
      <xdr:row>10</xdr:row>
      <xdr:rowOff>139700</xdr:rowOff>
    </xdr:to>
    <xdr:sp macro="" textlink="">
      <xdr:nvSpPr>
        <xdr:cNvPr id="883474" name="Freeform 32">
          <a:extLst>
            <a:ext uri="{FF2B5EF4-FFF2-40B4-BE49-F238E27FC236}">
              <a16:creationId xmlns="" xmlns:a16="http://schemas.microsoft.com/office/drawing/2014/main" id="{00000000-0008-0000-2B00-0000127B0D00}"/>
            </a:ext>
          </a:extLst>
        </xdr:cNvPr>
        <xdr:cNvSpPr>
          <a:spLocks/>
        </xdr:cNvSpPr>
      </xdr:nvSpPr>
      <xdr:spPr bwMode="auto">
        <a:xfrm>
          <a:off x="2305050" y="1974850"/>
          <a:ext cx="266700" cy="1333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361950</xdr:colOff>
      <xdr:row>10</xdr:row>
      <xdr:rowOff>19050</xdr:rowOff>
    </xdr:from>
    <xdr:to>
      <xdr:col>4</xdr:col>
      <xdr:colOff>19050</xdr:colOff>
      <xdr:row>11</xdr:row>
      <xdr:rowOff>0</xdr:rowOff>
    </xdr:to>
    <xdr:sp macro="" textlink="">
      <xdr:nvSpPr>
        <xdr:cNvPr id="883475" name="Freeform 33">
          <a:extLst>
            <a:ext uri="{FF2B5EF4-FFF2-40B4-BE49-F238E27FC236}">
              <a16:creationId xmlns="" xmlns:a16="http://schemas.microsoft.com/office/drawing/2014/main" id="{00000000-0008-0000-2B00-0000137B0D00}"/>
            </a:ext>
          </a:extLst>
        </xdr:cNvPr>
        <xdr:cNvSpPr>
          <a:spLocks/>
        </xdr:cNvSpPr>
      </xdr:nvSpPr>
      <xdr:spPr bwMode="auto">
        <a:xfrm>
          <a:off x="2190750" y="1987550"/>
          <a:ext cx="26670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260350</xdr:colOff>
      <xdr:row>10</xdr:row>
      <xdr:rowOff>25400</xdr:rowOff>
    </xdr:from>
    <xdr:to>
      <xdr:col>3</xdr:col>
      <xdr:colOff>400050</xdr:colOff>
      <xdr:row>11</xdr:row>
      <xdr:rowOff>6350</xdr:rowOff>
    </xdr:to>
    <xdr:sp macro="" textlink="">
      <xdr:nvSpPr>
        <xdr:cNvPr id="883476" name="Freeform 34">
          <a:extLst>
            <a:ext uri="{FF2B5EF4-FFF2-40B4-BE49-F238E27FC236}">
              <a16:creationId xmlns="" xmlns:a16="http://schemas.microsoft.com/office/drawing/2014/main" id="{00000000-0008-0000-2B00-0000147B0D00}"/>
            </a:ext>
          </a:extLst>
        </xdr:cNvPr>
        <xdr:cNvSpPr>
          <a:spLocks/>
        </xdr:cNvSpPr>
      </xdr:nvSpPr>
      <xdr:spPr bwMode="auto">
        <a:xfrm>
          <a:off x="2089150" y="1993900"/>
          <a:ext cx="13970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4</xdr:col>
      <xdr:colOff>342900</xdr:colOff>
      <xdr:row>10</xdr:row>
      <xdr:rowOff>6350</xdr:rowOff>
    </xdr:from>
    <xdr:to>
      <xdr:col>5</xdr:col>
      <xdr:colOff>0</xdr:colOff>
      <xdr:row>10</xdr:row>
      <xdr:rowOff>139700</xdr:rowOff>
    </xdr:to>
    <xdr:sp macro="" textlink="">
      <xdr:nvSpPr>
        <xdr:cNvPr id="883477" name="Freeform 35">
          <a:extLst>
            <a:ext uri="{FF2B5EF4-FFF2-40B4-BE49-F238E27FC236}">
              <a16:creationId xmlns="" xmlns:a16="http://schemas.microsoft.com/office/drawing/2014/main" id="{00000000-0008-0000-2B00-0000157B0D00}"/>
            </a:ext>
          </a:extLst>
        </xdr:cNvPr>
        <xdr:cNvSpPr>
          <a:spLocks/>
        </xdr:cNvSpPr>
      </xdr:nvSpPr>
      <xdr:spPr bwMode="auto">
        <a:xfrm>
          <a:off x="2781300" y="1974850"/>
          <a:ext cx="266700" cy="1333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4</xdr:col>
      <xdr:colOff>469900</xdr:colOff>
      <xdr:row>10</xdr:row>
      <xdr:rowOff>6350</xdr:rowOff>
    </xdr:from>
    <xdr:to>
      <xdr:col>5</xdr:col>
      <xdr:colOff>127000</xdr:colOff>
      <xdr:row>10</xdr:row>
      <xdr:rowOff>139700</xdr:rowOff>
    </xdr:to>
    <xdr:sp macro="" textlink="">
      <xdr:nvSpPr>
        <xdr:cNvPr id="883478" name="Freeform 36">
          <a:extLst>
            <a:ext uri="{FF2B5EF4-FFF2-40B4-BE49-F238E27FC236}">
              <a16:creationId xmlns="" xmlns:a16="http://schemas.microsoft.com/office/drawing/2014/main" id="{00000000-0008-0000-2B00-0000167B0D00}"/>
            </a:ext>
          </a:extLst>
        </xdr:cNvPr>
        <xdr:cNvSpPr>
          <a:spLocks/>
        </xdr:cNvSpPr>
      </xdr:nvSpPr>
      <xdr:spPr bwMode="auto">
        <a:xfrm>
          <a:off x="2908300" y="1974850"/>
          <a:ext cx="266700" cy="1333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5</xdr:col>
      <xdr:colOff>95250</xdr:colOff>
      <xdr:row>10</xdr:row>
      <xdr:rowOff>6350</xdr:rowOff>
    </xdr:from>
    <xdr:to>
      <xdr:col>5</xdr:col>
      <xdr:colOff>241300</xdr:colOff>
      <xdr:row>10</xdr:row>
      <xdr:rowOff>146050</xdr:rowOff>
    </xdr:to>
    <xdr:sp macro="" textlink="">
      <xdr:nvSpPr>
        <xdr:cNvPr id="883479" name="Freeform 37">
          <a:extLst>
            <a:ext uri="{FF2B5EF4-FFF2-40B4-BE49-F238E27FC236}">
              <a16:creationId xmlns="" xmlns:a16="http://schemas.microsoft.com/office/drawing/2014/main" id="{00000000-0008-0000-2B00-0000177B0D00}"/>
            </a:ext>
          </a:extLst>
        </xdr:cNvPr>
        <xdr:cNvSpPr>
          <a:spLocks/>
        </xdr:cNvSpPr>
      </xdr:nvSpPr>
      <xdr:spPr bwMode="auto">
        <a:xfrm>
          <a:off x="3143250" y="1974850"/>
          <a:ext cx="146050" cy="1397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5</xdr:col>
      <xdr:colOff>209550</xdr:colOff>
      <xdr:row>10</xdr:row>
      <xdr:rowOff>19050</xdr:rowOff>
    </xdr:from>
    <xdr:to>
      <xdr:col>5</xdr:col>
      <xdr:colOff>355600</xdr:colOff>
      <xdr:row>11</xdr:row>
      <xdr:rowOff>0</xdr:rowOff>
    </xdr:to>
    <xdr:sp macro="" textlink="">
      <xdr:nvSpPr>
        <xdr:cNvPr id="883480" name="Freeform 38">
          <a:extLst>
            <a:ext uri="{FF2B5EF4-FFF2-40B4-BE49-F238E27FC236}">
              <a16:creationId xmlns="" xmlns:a16="http://schemas.microsoft.com/office/drawing/2014/main" id="{00000000-0008-0000-2B00-0000187B0D00}"/>
            </a:ext>
          </a:extLst>
        </xdr:cNvPr>
        <xdr:cNvSpPr>
          <a:spLocks/>
        </xdr:cNvSpPr>
      </xdr:nvSpPr>
      <xdr:spPr bwMode="auto">
        <a:xfrm>
          <a:off x="3257550" y="1987550"/>
          <a:ext cx="14605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4</xdr:col>
      <xdr:colOff>228600</xdr:colOff>
      <xdr:row>10</xdr:row>
      <xdr:rowOff>19050</xdr:rowOff>
    </xdr:from>
    <xdr:to>
      <xdr:col>4</xdr:col>
      <xdr:colOff>374650</xdr:colOff>
      <xdr:row>11</xdr:row>
      <xdr:rowOff>0</xdr:rowOff>
    </xdr:to>
    <xdr:sp macro="" textlink="">
      <xdr:nvSpPr>
        <xdr:cNvPr id="883481" name="Freeform 39">
          <a:extLst>
            <a:ext uri="{FF2B5EF4-FFF2-40B4-BE49-F238E27FC236}">
              <a16:creationId xmlns="" xmlns:a16="http://schemas.microsoft.com/office/drawing/2014/main" id="{00000000-0008-0000-2B00-0000197B0D00}"/>
            </a:ext>
          </a:extLst>
        </xdr:cNvPr>
        <xdr:cNvSpPr>
          <a:spLocks/>
        </xdr:cNvSpPr>
      </xdr:nvSpPr>
      <xdr:spPr bwMode="auto">
        <a:xfrm>
          <a:off x="2667000" y="1987550"/>
          <a:ext cx="14605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5</xdr:col>
      <xdr:colOff>412750</xdr:colOff>
      <xdr:row>10</xdr:row>
      <xdr:rowOff>0</xdr:rowOff>
    </xdr:from>
    <xdr:to>
      <xdr:col>6</xdr:col>
      <xdr:colOff>69850</xdr:colOff>
      <xdr:row>10</xdr:row>
      <xdr:rowOff>139700</xdr:rowOff>
    </xdr:to>
    <xdr:sp macro="" textlink="">
      <xdr:nvSpPr>
        <xdr:cNvPr id="883482" name="Freeform 40">
          <a:extLst>
            <a:ext uri="{FF2B5EF4-FFF2-40B4-BE49-F238E27FC236}">
              <a16:creationId xmlns="" xmlns:a16="http://schemas.microsoft.com/office/drawing/2014/main" id="{00000000-0008-0000-2B00-00001A7B0D00}"/>
            </a:ext>
          </a:extLst>
        </xdr:cNvPr>
        <xdr:cNvSpPr>
          <a:spLocks/>
        </xdr:cNvSpPr>
      </xdr:nvSpPr>
      <xdr:spPr bwMode="auto">
        <a:xfrm>
          <a:off x="3460750" y="1968500"/>
          <a:ext cx="266700" cy="1397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6</xdr:col>
      <xdr:colOff>38100</xdr:colOff>
      <xdr:row>10</xdr:row>
      <xdr:rowOff>19050</xdr:rowOff>
    </xdr:from>
    <xdr:to>
      <xdr:col>6</xdr:col>
      <xdr:colOff>184150</xdr:colOff>
      <xdr:row>11</xdr:row>
      <xdr:rowOff>0</xdr:rowOff>
    </xdr:to>
    <xdr:sp macro="" textlink="">
      <xdr:nvSpPr>
        <xdr:cNvPr id="883483" name="Freeform 41">
          <a:extLst>
            <a:ext uri="{FF2B5EF4-FFF2-40B4-BE49-F238E27FC236}">
              <a16:creationId xmlns="" xmlns:a16="http://schemas.microsoft.com/office/drawing/2014/main" id="{00000000-0008-0000-2B00-00001B7B0D00}"/>
            </a:ext>
          </a:extLst>
        </xdr:cNvPr>
        <xdr:cNvSpPr>
          <a:spLocks/>
        </xdr:cNvSpPr>
      </xdr:nvSpPr>
      <xdr:spPr bwMode="auto">
        <a:xfrm>
          <a:off x="3695700" y="1987550"/>
          <a:ext cx="14605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6</xdr:col>
      <xdr:colOff>146050</xdr:colOff>
      <xdr:row>10</xdr:row>
      <xdr:rowOff>6350</xdr:rowOff>
    </xdr:from>
    <xdr:to>
      <xdr:col>6</xdr:col>
      <xdr:colOff>292100</xdr:colOff>
      <xdr:row>10</xdr:row>
      <xdr:rowOff>146050</xdr:rowOff>
    </xdr:to>
    <xdr:sp macro="" textlink="">
      <xdr:nvSpPr>
        <xdr:cNvPr id="883484" name="Freeform 42">
          <a:extLst>
            <a:ext uri="{FF2B5EF4-FFF2-40B4-BE49-F238E27FC236}">
              <a16:creationId xmlns="" xmlns:a16="http://schemas.microsoft.com/office/drawing/2014/main" id="{00000000-0008-0000-2B00-00001C7B0D00}"/>
            </a:ext>
          </a:extLst>
        </xdr:cNvPr>
        <xdr:cNvSpPr>
          <a:spLocks/>
        </xdr:cNvSpPr>
      </xdr:nvSpPr>
      <xdr:spPr bwMode="auto">
        <a:xfrm>
          <a:off x="3803650" y="1974850"/>
          <a:ext cx="146050" cy="1397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6</xdr:col>
      <xdr:colOff>247650</xdr:colOff>
      <xdr:row>10</xdr:row>
      <xdr:rowOff>0</xdr:rowOff>
    </xdr:from>
    <xdr:to>
      <xdr:col>6</xdr:col>
      <xdr:colOff>393700</xdr:colOff>
      <xdr:row>10</xdr:row>
      <xdr:rowOff>139700</xdr:rowOff>
    </xdr:to>
    <xdr:sp macro="" textlink="">
      <xdr:nvSpPr>
        <xdr:cNvPr id="883485" name="Freeform 43">
          <a:extLst>
            <a:ext uri="{FF2B5EF4-FFF2-40B4-BE49-F238E27FC236}">
              <a16:creationId xmlns="" xmlns:a16="http://schemas.microsoft.com/office/drawing/2014/main" id="{00000000-0008-0000-2B00-00001D7B0D00}"/>
            </a:ext>
          </a:extLst>
        </xdr:cNvPr>
        <xdr:cNvSpPr>
          <a:spLocks/>
        </xdr:cNvSpPr>
      </xdr:nvSpPr>
      <xdr:spPr bwMode="auto">
        <a:xfrm>
          <a:off x="3905250" y="1968500"/>
          <a:ext cx="146050" cy="1397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5</xdr:col>
      <xdr:colOff>317500</xdr:colOff>
      <xdr:row>10</xdr:row>
      <xdr:rowOff>0</xdr:rowOff>
    </xdr:from>
    <xdr:to>
      <xdr:col>5</xdr:col>
      <xdr:colOff>463550</xdr:colOff>
      <xdr:row>10</xdr:row>
      <xdr:rowOff>139700</xdr:rowOff>
    </xdr:to>
    <xdr:sp macro="" textlink="">
      <xdr:nvSpPr>
        <xdr:cNvPr id="883486" name="Freeform 44">
          <a:extLst>
            <a:ext uri="{FF2B5EF4-FFF2-40B4-BE49-F238E27FC236}">
              <a16:creationId xmlns="" xmlns:a16="http://schemas.microsoft.com/office/drawing/2014/main" id="{00000000-0008-0000-2B00-00001E7B0D00}"/>
            </a:ext>
          </a:extLst>
        </xdr:cNvPr>
        <xdr:cNvSpPr>
          <a:spLocks/>
        </xdr:cNvSpPr>
      </xdr:nvSpPr>
      <xdr:spPr bwMode="auto">
        <a:xfrm>
          <a:off x="3365500" y="1968500"/>
          <a:ext cx="146050" cy="1397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6</xdr:col>
      <xdr:colOff>361950</xdr:colOff>
      <xdr:row>10</xdr:row>
      <xdr:rowOff>6350</xdr:rowOff>
    </xdr:from>
    <xdr:to>
      <xdr:col>7</xdr:col>
      <xdr:colOff>19050</xdr:colOff>
      <xdr:row>10</xdr:row>
      <xdr:rowOff>139700</xdr:rowOff>
    </xdr:to>
    <xdr:sp macro="" textlink="">
      <xdr:nvSpPr>
        <xdr:cNvPr id="883487" name="Freeform 45">
          <a:extLst>
            <a:ext uri="{FF2B5EF4-FFF2-40B4-BE49-F238E27FC236}">
              <a16:creationId xmlns="" xmlns:a16="http://schemas.microsoft.com/office/drawing/2014/main" id="{00000000-0008-0000-2B00-00001F7B0D00}"/>
            </a:ext>
          </a:extLst>
        </xdr:cNvPr>
        <xdr:cNvSpPr>
          <a:spLocks/>
        </xdr:cNvSpPr>
      </xdr:nvSpPr>
      <xdr:spPr bwMode="auto">
        <a:xfrm>
          <a:off x="4019550" y="1974850"/>
          <a:ext cx="266700" cy="1333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6</xdr:col>
      <xdr:colOff>298450</xdr:colOff>
      <xdr:row>7</xdr:row>
      <xdr:rowOff>57150</xdr:rowOff>
    </xdr:from>
    <xdr:to>
      <xdr:col>6</xdr:col>
      <xdr:colOff>298450</xdr:colOff>
      <xdr:row>10</xdr:row>
      <xdr:rowOff>63500</xdr:rowOff>
    </xdr:to>
    <xdr:sp macro="" textlink="">
      <xdr:nvSpPr>
        <xdr:cNvPr id="883488" name="Line 49">
          <a:extLst>
            <a:ext uri="{FF2B5EF4-FFF2-40B4-BE49-F238E27FC236}">
              <a16:creationId xmlns="" xmlns:a16="http://schemas.microsoft.com/office/drawing/2014/main" id="{00000000-0008-0000-2B00-0000207B0D00}"/>
            </a:ext>
          </a:extLst>
        </xdr:cNvPr>
        <xdr:cNvSpPr>
          <a:spLocks noChangeShapeType="1"/>
        </xdr:cNvSpPr>
      </xdr:nvSpPr>
      <xdr:spPr bwMode="auto">
        <a:xfrm>
          <a:off x="3956050" y="1435100"/>
          <a:ext cx="0" cy="596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450850</xdr:colOff>
      <xdr:row>6</xdr:row>
      <xdr:rowOff>25400</xdr:rowOff>
    </xdr:from>
    <xdr:to>
      <xdr:col>17</xdr:col>
      <xdr:colOff>355600</xdr:colOff>
      <xdr:row>7</xdr:row>
      <xdr:rowOff>95250</xdr:rowOff>
    </xdr:to>
    <xdr:sp macro="" textlink="">
      <xdr:nvSpPr>
        <xdr:cNvPr id="883489" name="Rectangle 53" descr="Recycled paper">
          <a:extLst>
            <a:ext uri="{FF2B5EF4-FFF2-40B4-BE49-F238E27FC236}">
              <a16:creationId xmlns="" xmlns:a16="http://schemas.microsoft.com/office/drawing/2014/main" id="{00000000-0008-0000-2B00-0000217B0D00}"/>
            </a:ext>
          </a:extLst>
        </xdr:cNvPr>
        <xdr:cNvSpPr>
          <a:spLocks noChangeArrowheads="1"/>
        </xdr:cNvSpPr>
      </xdr:nvSpPr>
      <xdr:spPr bwMode="auto">
        <a:xfrm>
          <a:off x="8375650" y="1206500"/>
          <a:ext cx="2343150" cy="2667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13</xdr:col>
      <xdr:colOff>438150</xdr:colOff>
      <xdr:row>6</xdr:row>
      <xdr:rowOff>25400</xdr:rowOff>
    </xdr:from>
    <xdr:to>
      <xdr:col>14</xdr:col>
      <xdr:colOff>171450</xdr:colOff>
      <xdr:row>31</xdr:row>
      <xdr:rowOff>82550</xdr:rowOff>
    </xdr:to>
    <xdr:sp macro="" textlink="">
      <xdr:nvSpPr>
        <xdr:cNvPr id="883490" name="Rectangle 54" descr="Recycled paper">
          <a:extLst>
            <a:ext uri="{FF2B5EF4-FFF2-40B4-BE49-F238E27FC236}">
              <a16:creationId xmlns="" xmlns:a16="http://schemas.microsoft.com/office/drawing/2014/main" id="{00000000-0008-0000-2B00-0000227B0D00}"/>
            </a:ext>
          </a:extLst>
        </xdr:cNvPr>
        <xdr:cNvSpPr>
          <a:spLocks noChangeArrowheads="1"/>
        </xdr:cNvSpPr>
      </xdr:nvSpPr>
      <xdr:spPr bwMode="auto">
        <a:xfrm>
          <a:off x="8362950" y="1206500"/>
          <a:ext cx="342900" cy="49784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14</xdr:col>
      <xdr:colOff>171450</xdr:colOff>
      <xdr:row>24</xdr:row>
      <xdr:rowOff>38100</xdr:rowOff>
    </xdr:from>
    <xdr:to>
      <xdr:col>17</xdr:col>
      <xdr:colOff>152400</xdr:colOff>
      <xdr:row>25</xdr:row>
      <xdr:rowOff>101600</xdr:rowOff>
    </xdr:to>
    <xdr:sp macro="" textlink="">
      <xdr:nvSpPr>
        <xdr:cNvPr id="883491" name="Rectangle 55" descr="Recycled paper">
          <a:extLst>
            <a:ext uri="{FF2B5EF4-FFF2-40B4-BE49-F238E27FC236}">
              <a16:creationId xmlns="" xmlns:a16="http://schemas.microsoft.com/office/drawing/2014/main" id="{00000000-0008-0000-2B00-0000237B0D00}"/>
            </a:ext>
          </a:extLst>
        </xdr:cNvPr>
        <xdr:cNvSpPr>
          <a:spLocks noChangeArrowheads="1"/>
        </xdr:cNvSpPr>
      </xdr:nvSpPr>
      <xdr:spPr bwMode="auto">
        <a:xfrm>
          <a:off x="8705850" y="4762500"/>
          <a:ext cx="1809750" cy="26035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14</xdr:col>
      <xdr:colOff>171450</xdr:colOff>
      <xdr:row>25</xdr:row>
      <xdr:rowOff>101600</xdr:rowOff>
    </xdr:from>
    <xdr:to>
      <xdr:col>17</xdr:col>
      <xdr:colOff>152400</xdr:colOff>
      <xdr:row>27</xdr:row>
      <xdr:rowOff>25400</xdr:rowOff>
    </xdr:to>
    <xdr:sp macro="" textlink="">
      <xdr:nvSpPr>
        <xdr:cNvPr id="883492" name="Rectangle 56" descr="Recycled paper">
          <a:extLst>
            <a:ext uri="{FF2B5EF4-FFF2-40B4-BE49-F238E27FC236}">
              <a16:creationId xmlns="" xmlns:a16="http://schemas.microsoft.com/office/drawing/2014/main" id="{00000000-0008-0000-2B00-0000247B0D00}"/>
            </a:ext>
          </a:extLst>
        </xdr:cNvPr>
        <xdr:cNvSpPr>
          <a:spLocks noChangeArrowheads="1"/>
        </xdr:cNvSpPr>
      </xdr:nvSpPr>
      <xdr:spPr bwMode="auto">
        <a:xfrm>
          <a:off x="8705850" y="5022850"/>
          <a:ext cx="1809750" cy="3175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14</xdr:col>
      <xdr:colOff>171450</xdr:colOff>
      <xdr:row>27</xdr:row>
      <xdr:rowOff>25400</xdr:rowOff>
    </xdr:from>
    <xdr:to>
      <xdr:col>17</xdr:col>
      <xdr:colOff>152400</xdr:colOff>
      <xdr:row>28</xdr:row>
      <xdr:rowOff>95250</xdr:rowOff>
    </xdr:to>
    <xdr:sp macro="" textlink="">
      <xdr:nvSpPr>
        <xdr:cNvPr id="883493" name="Rectangle 57" descr="Recycled paper">
          <a:extLst>
            <a:ext uri="{FF2B5EF4-FFF2-40B4-BE49-F238E27FC236}">
              <a16:creationId xmlns="" xmlns:a16="http://schemas.microsoft.com/office/drawing/2014/main" id="{00000000-0008-0000-2B00-0000257B0D00}"/>
            </a:ext>
          </a:extLst>
        </xdr:cNvPr>
        <xdr:cNvSpPr>
          <a:spLocks noChangeArrowheads="1"/>
        </xdr:cNvSpPr>
      </xdr:nvSpPr>
      <xdr:spPr bwMode="auto">
        <a:xfrm>
          <a:off x="8705850" y="5340350"/>
          <a:ext cx="1809750" cy="2667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14</xdr:col>
      <xdr:colOff>171450</xdr:colOff>
      <xdr:row>28</xdr:row>
      <xdr:rowOff>95250</xdr:rowOff>
    </xdr:from>
    <xdr:to>
      <xdr:col>17</xdr:col>
      <xdr:colOff>152400</xdr:colOff>
      <xdr:row>30</xdr:row>
      <xdr:rowOff>19050</xdr:rowOff>
    </xdr:to>
    <xdr:sp macro="" textlink="">
      <xdr:nvSpPr>
        <xdr:cNvPr id="883494" name="Rectangle 58" descr="Recycled paper">
          <a:extLst>
            <a:ext uri="{FF2B5EF4-FFF2-40B4-BE49-F238E27FC236}">
              <a16:creationId xmlns="" xmlns:a16="http://schemas.microsoft.com/office/drawing/2014/main" id="{00000000-0008-0000-2B00-0000267B0D00}"/>
            </a:ext>
          </a:extLst>
        </xdr:cNvPr>
        <xdr:cNvSpPr>
          <a:spLocks noChangeArrowheads="1"/>
        </xdr:cNvSpPr>
      </xdr:nvSpPr>
      <xdr:spPr bwMode="auto">
        <a:xfrm>
          <a:off x="8705850" y="5607050"/>
          <a:ext cx="1809750" cy="3175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14</xdr:col>
      <xdr:colOff>171450</xdr:colOff>
      <xdr:row>30</xdr:row>
      <xdr:rowOff>19050</xdr:rowOff>
    </xdr:from>
    <xdr:to>
      <xdr:col>17</xdr:col>
      <xdr:colOff>152400</xdr:colOff>
      <xdr:row>31</xdr:row>
      <xdr:rowOff>82550</xdr:rowOff>
    </xdr:to>
    <xdr:sp macro="" textlink="">
      <xdr:nvSpPr>
        <xdr:cNvPr id="883495" name="Rectangle 59" descr="Recycled paper">
          <a:extLst>
            <a:ext uri="{FF2B5EF4-FFF2-40B4-BE49-F238E27FC236}">
              <a16:creationId xmlns="" xmlns:a16="http://schemas.microsoft.com/office/drawing/2014/main" id="{00000000-0008-0000-2B00-0000277B0D00}"/>
            </a:ext>
          </a:extLst>
        </xdr:cNvPr>
        <xdr:cNvSpPr>
          <a:spLocks noChangeArrowheads="1"/>
        </xdr:cNvSpPr>
      </xdr:nvSpPr>
      <xdr:spPr bwMode="auto">
        <a:xfrm>
          <a:off x="8705850" y="5924550"/>
          <a:ext cx="1809750" cy="26035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14</xdr:col>
      <xdr:colOff>171450</xdr:colOff>
      <xdr:row>22</xdr:row>
      <xdr:rowOff>114300</xdr:rowOff>
    </xdr:from>
    <xdr:to>
      <xdr:col>17</xdr:col>
      <xdr:colOff>152400</xdr:colOff>
      <xdr:row>24</xdr:row>
      <xdr:rowOff>38100</xdr:rowOff>
    </xdr:to>
    <xdr:sp macro="" textlink="">
      <xdr:nvSpPr>
        <xdr:cNvPr id="883496" name="Rectangle 60" descr="Recycled paper">
          <a:extLst>
            <a:ext uri="{FF2B5EF4-FFF2-40B4-BE49-F238E27FC236}">
              <a16:creationId xmlns="" xmlns:a16="http://schemas.microsoft.com/office/drawing/2014/main" id="{00000000-0008-0000-2B00-0000287B0D00}"/>
            </a:ext>
          </a:extLst>
        </xdr:cNvPr>
        <xdr:cNvSpPr>
          <a:spLocks noChangeArrowheads="1"/>
        </xdr:cNvSpPr>
      </xdr:nvSpPr>
      <xdr:spPr bwMode="auto">
        <a:xfrm>
          <a:off x="8705850" y="4445000"/>
          <a:ext cx="1809750" cy="3175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17</xdr:col>
      <xdr:colOff>146050</xdr:colOff>
      <xdr:row>22</xdr:row>
      <xdr:rowOff>114300</xdr:rowOff>
    </xdr:from>
    <xdr:to>
      <xdr:col>17</xdr:col>
      <xdr:colOff>361950</xdr:colOff>
      <xdr:row>31</xdr:row>
      <xdr:rowOff>82550</xdr:rowOff>
    </xdr:to>
    <xdr:sp macro="" textlink="">
      <xdr:nvSpPr>
        <xdr:cNvPr id="883497" name="Rectangle 61" descr="Recycled paper">
          <a:extLst>
            <a:ext uri="{FF2B5EF4-FFF2-40B4-BE49-F238E27FC236}">
              <a16:creationId xmlns="" xmlns:a16="http://schemas.microsoft.com/office/drawing/2014/main" id="{00000000-0008-0000-2B00-0000297B0D00}"/>
            </a:ext>
          </a:extLst>
        </xdr:cNvPr>
        <xdr:cNvSpPr>
          <a:spLocks noChangeArrowheads="1"/>
        </xdr:cNvSpPr>
      </xdr:nvSpPr>
      <xdr:spPr bwMode="auto">
        <a:xfrm>
          <a:off x="10509250" y="4445000"/>
          <a:ext cx="215900" cy="17399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14</xdr:col>
      <xdr:colOff>171450</xdr:colOff>
      <xdr:row>5</xdr:row>
      <xdr:rowOff>0</xdr:rowOff>
    </xdr:from>
    <xdr:to>
      <xdr:col>17</xdr:col>
      <xdr:colOff>355600</xdr:colOff>
      <xdr:row>5</xdr:row>
      <xdr:rowOff>0</xdr:rowOff>
    </xdr:to>
    <xdr:sp macro="" textlink="">
      <xdr:nvSpPr>
        <xdr:cNvPr id="883498" name="Line 65">
          <a:extLst>
            <a:ext uri="{FF2B5EF4-FFF2-40B4-BE49-F238E27FC236}">
              <a16:creationId xmlns="" xmlns:a16="http://schemas.microsoft.com/office/drawing/2014/main" id="{00000000-0008-0000-2B00-00002A7B0D00}"/>
            </a:ext>
          </a:extLst>
        </xdr:cNvPr>
        <xdr:cNvSpPr>
          <a:spLocks noChangeShapeType="1"/>
        </xdr:cNvSpPr>
      </xdr:nvSpPr>
      <xdr:spPr bwMode="auto">
        <a:xfrm flipV="1">
          <a:off x="8705850" y="984250"/>
          <a:ext cx="2012950" cy="0"/>
        </a:xfrm>
        <a:prstGeom prst="line">
          <a:avLst/>
        </a:prstGeom>
        <a:noFill/>
        <a:ln w="9525">
          <a:solidFill>
            <a:srgbClr val="000000"/>
          </a:solidFill>
          <a:round/>
          <a:headEnd type="triangle" w="sm" len="med"/>
          <a:tailEnd type="triangle" w="sm" len="med"/>
        </a:ln>
        <a:extLst>
          <a:ext uri="{909E8E84-426E-40DD-AFC4-6F175D3DCCD1}">
            <a14:hiddenFill xmlns:a14="http://schemas.microsoft.com/office/drawing/2010/main">
              <a:noFill/>
            </a14:hiddenFill>
          </a:ext>
        </a:extLst>
      </xdr:spPr>
    </xdr:sp>
    <xdr:clientData/>
  </xdr:twoCellAnchor>
  <xdr:twoCellAnchor>
    <xdr:from>
      <xdr:col>15</xdr:col>
      <xdr:colOff>336550</xdr:colOff>
      <xdr:row>3</xdr:row>
      <xdr:rowOff>114935</xdr:rowOff>
    </xdr:from>
    <xdr:to>
      <xdr:col>16</xdr:col>
      <xdr:colOff>227746</xdr:colOff>
      <xdr:row>5</xdr:row>
      <xdr:rowOff>20197</xdr:rowOff>
    </xdr:to>
    <xdr:sp macro="" textlink="">
      <xdr:nvSpPr>
        <xdr:cNvPr id="54" name="Text Box 66">
          <a:extLst>
            <a:ext uri="{FF2B5EF4-FFF2-40B4-BE49-F238E27FC236}">
              <a16:creationId xmlns="" xmlns:a16="http://schemas.microsoft.com/office/drawing/2014/main" id="{00000000-0008-0000-2B00-000036000000}"/>
            </a:ext>
          </a:extLst>
        </xdr:cNvPr>
        <xdr:cNvSpPr txBox="1">
          <a:spLocks noChangeArrowheads="1"/>
        </xdr:cNvSpPr>
      </xdr:nvSpPr>
      <xdr:spPr bwMode="auto">
        <a:xfrm>
          <a:off x="9572625" y="771525"/>
          <a:ext cx="466725" cy="247146"/>
        </a:xfrm>
        <a:prstGeom prst="rect">
          <a:avLst/>
        </a:prstGeom>
        <a:noFill/>
        <a:ln w="9525">
          <a:noFill/>
          <a:miter lim="800000"/>
          <a:headEnd/>
          <a:tailEnd/>
        </a:ln>
      </xdr:spPr>
      <xdr:txBody>
        <a:bodyPr vertOverflow="clip" wrap="square" lIns="27432" tIns="22860" rIns="0" bIns="0" anchor="t" upright="1"/>
        <a:lstStyle/>
        <a:p>
          <a:pPr algn="l" rtl="0">
            <a:defRPr sz="1000"/>
          </a:pPr>
          <a:r>
            <a:rPr lang="en-GB" sz="900" b="0" i="0" u="none" strike="noStrike" baseline="0">
              <a:solidFill>
                <a:srgbClr val="000000"/>
              </a:solidFill>
              <a:latin typeface="Arial"/>
              <a:cs typeface="Arial"/>
            </a:rPr>
            <a:t>1.00 m</a:t>
          </a:r>
        </a:p>
      </xdr:txBody>
    </xdr:sp>
    <xdr:clientData/>
  </xdr:twoCellAnchor>
  <xdr:twoCellAnchor>
    <xdr:from>
      <xdr:col>13</xdr:col>
      <xdr:colOff>438150</xdr:colOff>
      <xdr:row>5</xdr:row>
      <xdr:rowOff>0</xdr:rowOff>
    </xdr:from>
    <xdr:to>
      <xdr:col>14</xdr:col>
      <xdr:colOff>203200</xdr:colOff>
      <xdr:row>5</xdr:row>
      <xdr:rowOff>0</xdr:rowOff>
    </xdr:to>
    <xdr:sp macro="" textlink="">
      <xdr:nvSpPr>
        <xdr:cNvPr id="883500" name="Line 67">
          <a:extLst>
            <a:ext uri="{FF2B5EF4-FFF2-40B4-BE49-F238E27FC236}">
              <a16:creationId xmlns="" xmlns:a16="http://schemas.microsoft.com/office/drawing/2014/main" id="{00000000-0008-0000-2B00-00002C7B0D00}"/>
            </a:ext>
          </a:extLst>
        </xdr:cNvPr>
        <xdr:cNvSpPr>
          <a:spLocks noChangeShapeType="1"/>
        </xdr:cNvSpPr>
      </xdr:nvSpPr>
      <xdr:spPr bwMode="auto">
        <a:xfrm flipV="1">
          <a:off x="8362950" y="984250"/>
          <a:ext cx="374650" cy="0"/>
        </a:xfrm>
        <a:prstGeom prst="line">
          <a:avLst/>
        </a:prstGeom>
        <a:noFill/>
        <a:ln w="9525">
          <a:solidFill>
            <a:srgbClr val="000000"/>
          </a:solidFill>
          <a:round/>
          <a:headEnd type="triangle" w="sm" len="med"/>
          <a:tailEnd type="triangle" w="sm" len="med"/>
        </a:ln>
        <a:extLst>
          <a:ext uri="{909E8E84-426E-40DD-AFC4-6F175D3DCCD1}">
            <a14:hiddenFill xmlns:a14="http://schemas.microsoft.com/office/drawing/2010/main">
              <a:noFill/>
            </a14:hiddenFill>
          </a:ext>
        </a:extLst>
      </xdr:spPr>
    </xdr:sp>
    <xdr:clientData/>
  </xdr:twoCellAnchor>
  <xdr:twoCellAnchor>
    <xdr:from>
      <xdr:col>17</xdr:col>
      <xdr:colOff>285750</xdr:colOff>
      <xdr:row>8</xdr:row>
      <xdr:rowOff>44450</xdr:rowOff>
    </xdr:from>
    <xdr:to>
      <xdr:col>17</xdr:col>
      <xdr:colOff>469900</xdr:colOff>
      <xdr:row>22</xdr:row>
      <xdr:rowOff>38100</xdr:rowOff>
    </xdr:to>
    <xdr:sp macro="" textlink="">
      <xdr:nvSpPr>
        <xdr:cNvPr id="883501" name="Rectangle 73" descr="Recycled paper">
          <a:extLst>
            <a:ext uri="{FF2B5EF4-FFF2-40B4-BE49-F238E27FC236}">
              <a16:creationId xmlns="" xmlns:a16="http://schemas.microsoft.com/office/drawing/2014/main" id="{00000000-0008-0000-2B00-00002D7B0D00}"/>
            </a:ext>
          </a:extLst>
        </xdr:cNvPr>
        <xdr:cNvSpPr>
          <a:spLocks noChangeArrowheads="1"/>
        </xdr:cNvSpPr>
      </xdr:nvSpPr>
      <xdr:spPr bwMode="auto">
        <a:xfrm>
          <a:off x="10648950" y="1619250"/>
          <a:ext cx="184150" cy="2749550"/>
        </a:xfrm>
        <a:prstGeom prst="rect">
          <a:avLst/>
        </a:prstGeom>
        <a:blipFill dpi="0" rotWithShape="0">
          <a:blip xmlns:r="http://schemas.openxmlformats.org/officeDocument/2006/relationships" r:embed="rId1"/>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17</xdr:col>
      <xdr:colOff>419100</xdr:colOff>
      <xdr:row>9</xdr:row>
      <xdr:rowOff>95250</xdr:rowOff>
    </xdr:from>
    <xdr:to>
      <xdr:col>18</xdr:col>
      <xdr:colOff>171450</xdr:colOff>
      <xdr:row>21</xdr:row>
      <xdr:rowOff>114300</xdr:rowOff>
    </xdr:to>
    <xdr:sp macro="" textlink="">
      <xdr:nvSpPr>
        <xdr:cNvPr id="883502" name="Rectangle 74" descr="Recycled paper">
          <a:extLst>
            <a:ext uri="{FF2B5EF4-FFF2-40B4-BE49-F238E27FC236}">
              <a16:creationId xmlns="" xmlns:a16="http://schemas.microsoft.com/office/drawing/2014/main" id="{00000000-0008-0000-2B00-00002E7B0D00}"/>
            </a:ext>
          </a:extLst>
        </xdr:cNvPr>
        <xdr:cNvSpPr>
          <a:spLocks noChangeArrowheads="1"/>
        </xdr:cNvSpPr>
      </xdr:nvSpPr>
      <xdr:spPr bwMode="auto">
        <a:xfrm>
          <a:off x="10782300" y="1866900"/>
          <a:ext cx="361950" cy="2381250"/>
        </a:xfrm>
        <a:prstGeom prst="rect">
          <a:avLst/>
        </a:prstGeom>
        <a:blipFill dpi="0" rotWithShape="0">
          <a:blip xmlns:r="http://schemas.openxmlformats.org/officeDocument/2006/relationships" r:embed="rId1"/>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18</xdr:col>
      <xdr:colOff>152400</xdr:colOff>
      <xdr:row>10</xdr:row>
      <xdr:rowOff>120650</xdr:rowOff>
    </xdr:from>
    <xdr:to>
      <xdr:col>18</xdr:col>
      <xdr:colOff>361950</xdr:colOff>
      <xdr:row>20</xdr:row>
      <xdr:rowOff>82550</xdr:rowOff>
    </xdr:to>
    <xdr:sp macro="" textlink="">
      <xdr:nvSpPr>
        <xdr:cNvPr id="883503" name="Rectangle 75" descr="Recycled paper">
          <a:extLst>
            <a:ext uri="{FF2B5EF4-FFF2-40B4-BE49-F238E27FC236}">
              <a16:creationId xmlns="" xmlns:a16="http://schemas.microsoft.com/office/drawing/2014/main" id="{00000000-0008-0000-2B00-00002F7B0D00}"/>
            </a:ext>
          </a:extLst>
        </xdr:cNvPr>
        <xdr:cNvSpPr>
          <a:spLocks noChangeArrowheads="1"/>
        </xdr:cNvSpPr>
      </xdr:nvSpPr>
      <xdr:spPr bwMode="auto">
        <a:xfrm>
          <a:off x="11125200" y="2089150"/>
          <a:ext cx="209550" cy="1930400"/>
        </a:xfrm>
        <a:prstGeom prst="rect">
          <a:avLst/>
        </a:prstGeom>
        <a:blipFill dpi="0" rotWithShape="0">
          <a:blip xmlns:r="http://schemas.openxmlformats.org/officeDocument/2006/relationships" r:embed="rId1"/>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18</xdr:col>
      <xdr:colOff>323850</xdr:colOff>
      <xdr:row>12</xdr:row>
      <xdr:rowOff>0</xdr:rowOff>
    </xdr:from>
    <xdr:to>
      <xdr:col>19</xdr:col>
      <xdr:colOff>31750</xdr:colOff>
      <xdr:row>19</xdr:row>
      <xdr:rowOff>114300</xdr:rowOff>
    </xdr:to>
    <xdr:sp macro="" textlink="">
      <xdr:nvSpPr>
        <xdr:cNvPr id="883504" name="Rectangle 76" descr="Recycled paper">
          <a:extLst>
            <a:ext uri="{FF2B5EF4-FFF2-40B4-BE49-F238E27FC236}">
              <a16:creationId xmlns="" xmlns:a16="http://schemas.microsoft.com/office/drawing/2014/main" id="{00000000-0008-0000-2B00-0000307B0D00}"/>
            </a:ext>
          </a:extLst>
        </xdr:cNvPr>
        <xdr:cNvSpPr>
          <a:spLocks noChangeArrowheads="1"/>
        </xdr:cNvSpPr>
      </xdr:nvSpPr>
      <xdr:spPr bwMode="auto">
        <a:xfrm>
          <a:off x="11296650" y="2362200"/>
          <a:ext cx="317500" cy="1492250"/>
        </a:xfrm>
        <a:prstGeom prst="rect">
          <a:avLst/>
        </a:prstGeom>
        <a:blipFill dpi="0" rotWithShape="0">
          <a:blip xmlns:r="http://schemas.openxmlformats.org/officeDocument/2006/relationships" r:embed="rId1"/>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16</xdr:col>
      <xdr:colOff>476250</xdr:colOff>
      <xdr:row>8</xdr:row>
      <xdr:rowOff>120650</xdr:rowOff>
    </xdr:from>
    <xdr:to>
      <xdr:col>19</xdr:col>
      <xdr:colOff>146050</xdr:colOff>
      <xdr:row>10</xdr:row>
      <xdr:rowOff>25400</xdr:rowOff>
    </xdr:to>
    <xdr:sp macro="" textlink="">
      <xdr:nvSpPr>
        <xdr:cNvPr id="883505" name="Rectangle 62" descr="Recycled paper">
          <a:extLst>
            <a:ext uri="{FF2B5EF4-FFF2-40B4-BE49-F238E27FC236}">
              <a16:creationId xmlns="" xmlns:a16="http://schemas.microsoft.com/office/drawing/2014/main" id="{00000000-0008-0000-2B00-0000317B0D00}"/>
            </a:ext>
          </a:extLst>
        </xdr:cNvPr>
        <xdr:cNvSpPr>
          <a:spLocks noChangeArrowheads="1"/>
        </xdr:cNvSpPr>
      </xdr:nvSpPr>
      <xdr:spPr bwMode="auto">
        <a:xfrm rot="2100000">
          <a:off x="10229850" y="1695450"/>
          <a:ext cx="1498600" cy="29845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17</xdr:col>
      <xdr:colOff>107950</xdr:colOff>
      <xdr:row>20</xdr:row>
      <xdr:rowOff>19050</xdr:rowOff>
    </xdr:from>
    <xdr:to>
      <xdr:col>19</xdr:col>
      <xdr:colOff>165100</xdr:colOff>
      <xdr:row>21</xdr:row>
      <xdr:rowOff>95250</xdr:rowOff>
    </xdr:to>
    <xdr:sp macro="" textlink="">
      <xdr:nvSpPr>
        <xdr:cNvPr id="883506" name="Rectangle 63" descr="Recycled paper">
          <a:extLst>
            <a:ext uri="{FF2B5EF4-FFF2-40B4-BE49-F238E27FC236}">
              <a16:creationId xmlns="" xmlns:a16="http://schemas.microsoft.com/office/drawing/2014/main" id="{00000000-0008-0000-2B00-0000327B0D00}"/>
            </a:ext>
          </a:extLst>
        </xdr:cNvPr>
        <xdr:cNvSpPr>
          <a:spLocks noChangeArrowheads="1"/>
        </xdr:cNvSpPr>
      </xdr:nvSpPr>
      <xdr:spPr bwMode="auto">
        <a:xfrm rot="3300000" flipH="1">
          <a:off x="10972800" y="3454400"/>
          <a:ext cx="273050" cy="127635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16</xdr:col>
      <xdr:colOff>334645</xdr:colOff>
      <xdr:row>0</xdr:row>
      <xdr:rowOff>149225</xdr:rowOff>
    </xdr:from>
    <xdr:to>
      <xdr:col>19</xdr:col>
      <xdr:colOff>179622</xdr:colOff>
      <xdr:row>2</xdr:row>
      <xdr:rowOff>111867</xdr:rowOff>
    </xdr:to>
    <xdr:sp macro="" textlink="">
      <xdr:nvSpPr>
        <xdr:cNvPr id="62" name="Text Box 77">
          <a:extLst>
            <a:ext uri="{FF2B5EF4-FFF2-40B4-BE49-F238E27FC236}">
              <a16:creationId xmlns="" xmlns:a16="http://schemas.microsoft.com/office/drawing/2014/main" id="{00000000-0008-0000-2B00-00003E000000}"/>
            </a:ext>
          </a:extLst>
        </xdr:cNvPr>
        <xdr:cNvSpPr txBox="1">
          <a:spLocks noChangeArrowheads="1"/>
        </xdr:cNvSpPr>
      </xdr:nvSpPr>
      <xdr:spPr bwMode="auto">
        <a:xfrm>
          <a:off x="10153650" y="180975"/>
          <a:ext cx="1647825" cy="352299"/>
        </a:xfrm>
        <a:prstGeom prst="rect">
          <a:avLst/>
        </a:prstGeom>
        <a:noFill/>
        <a:ln w="9525">
          <a:noFill/>
          <a:miter lim="800000"/>
          <a:headEnd/>
          <a:tailEnd/>
        </a:ln>
      </xdr:spPr>
      <xdr:txBody>
        <a:bodyPr vertOverflow="clip" wrap="square" lIns="27432" tIns="22860" rIns="0" bIns="0" anchor="t" upright="1"/>
        <a:lstStyle/>
        <a:p>
          <a:pPr algn="l" rtl="0">
            <a:defRPr sz="1000"/>
          </a:pPr>
          <a:r>
            <a:rPr lang="en-GB" sz="900" b="0" i="0" u="none" strike="noStrike" baseline="0">
              <a:solidFill>
                <a:srgbClr val="000000"/>
              </a:solidFill>
              <a:latin typeface="Arial"/>
              <a:cs typeface="Arial"/>
            </a:rPr>
            <a:t>Max Hight of the walls = 0.9 m</a:t>
          </a:r>
        </a:p>
      </xdr:txBody>
    </xdr:sp>
    <xdr:clientData/>
  </xdr:twoCellAnchor>
  <xdr:twoCellAnchor>
    <xdr:from>
      <xdr:col>13</xdr:col>
      <xdr:colOff>241300</xdr:colOff>
      <xdr:row>6</xdr:row>
      <xdr:rowOff>44450</xdr:rowOff>
    </xdr:from>
    <xdr:to>
      <xdr:col>13</xdr:col>
      <xdr:colOff>241300</xdr:colOff>
      <xdr:row>31</xdr:row>
      <xdr:rowOff>95250</xdr:rowOff>
    </xdr:to>
    <xdr:sp macro="" textlink="">
      <xdr:nvSpPr>
        <xdr:cNvPr id="883508" name="Line 78">
          <a:extLst>
            <a:ext uri="{FF2B5EF4-FFF2-40B4-BE49-F238E27FC236}">
              <a16:creationId xmlns="" xmlns:a16="http://schemas.microsoft.com/office/drawing/2014/main" id="{00000000-0008-0000-2B00-0000347B0D00}"/>
            </a:ext>
          </a:extLst>
        </xdr:cNvPr>
        <xdr:cNvSpPr>
          <a:spLocks noChangeShapeType="1"/>
        </xdr:cNvSpPr>
      </xdr:nvSpPr>
      <xdr:spPr bwMode="auto">
        <a:xfrm>
          <a:off x="8166100" y="1225550"/>
          <a:ext cx="0" cy="4972050"/>
        </a:xfrm>
        <a:prstGeom prst="line">
          <a:avLst/>
        </a:prstGeom>
        <a:noFill/>
        <a:ln w="9525">
          <a:solidFill>
            <a:srgbClr val="000000"/>
          </a:solidFill>
          <a:round/>
          <a:headEnd type="triangle" w="sm" len="med"/>
          <a:tailEnd type="triangle" w="sm" len="med"/>
        </a:ln>
        <a:extLst>
          <a:ext uri="{909E8E84-426E-40DD-AFC4-6F175D3DCCD1}">
            <a14:hiddenFill xmlns:a14="http://schemas.microsoft.com/office/drawing/2010/main">
              <a:noFill/>
            </a14:hiddenFill>
          </a:ext>
        </a:extLst>
      </xdr:spPr>
    </xdr:sp>
    <xdr:clientData/>
  </xdr:twoCellAnchor>
  <xdr:twoCellAnchor>
    <xdr:from>
      <xdr:col>12</xdr:col>
      <xdr:colOff>334645</xdr:colOff>
      <xdr:row>17</xdr:row>
      <xdr:rowOff>133985</xdr:rowOff>
    </xdr:from>
    <xdr:to>
      <xdr:col>13</xdr:col>
      <xdr:colOff>197410</xdr:colOff>
      <xdr:row>19</xdr:row>
      <xdr:rowOff>2776</xdr:rowOff>
    </xdr:to>
    <xdr:sp macro="" textlink="">
      <xdr:nvSpPr>
        <xdr:cNvPr id="64" name="Text Box 79">
          <a:extLst>
            <a:ext uri="{FF2B5EF4-FFF2-40B4-BE49-F238E27FC236}">
              <a16:creationId xmlns="" xmlns:a16="http://schemas.microsoft.com/office/drawing/2014/main" id="{00000000-0008-0000-2B00-000040000000}"/>
            </a:ext>
          </a:extLst>
        </xdr:cNvPr>
        <xdr:cNvSpPr txBox="1">
          <a:spLocks noChangeArrowheads="1"/>
        </xdr:cNvSpPr>
      </xdr:nvSpPr>
      <xdr:spPr bwMode="auto">
        <a:xfrm>
          <a:off x="7715250" y="3552825"/>
          <a:ext cx="466725" cy="257531"/>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2.50 m</a:t>
          </a:r>
        </a:p>
      </xdr:txBody>
    </xdr:sp>
    <xdr:clientData/>
  </xdr:twoCellAnchor>
  <xdr:twoCellAnchor>
    <xdr:from>
      <xdr:col>14</xdr:col>
      <xdr:colOff>209550</xdr:colOff>
      <xdr:row>32</xdr:row>
      <xdr:rowOff>101600</xdr:rowOff>
    </xdr:from>
    <xdr:to>
      <xdr:col>17</xdr:col>
      <xdr:colOff>133350</xdr:colOff>
      <xdr:row>32</xdr:row>
      <xdr:rowOff>101600</xdr:rowOff>
    </xdr:to>
    <xdr:sp macro="" textlink="">
      <xdr:nvSpPr>
        <xdr:cNvPr id="883510" name="Line 80">
          <a:extLst>
            <a:ext uri="{FF2B5EF4-FFF2-40B4-BE49-F238E27FC236}">
              <a16:creationId xmlns="" xmlns:a16="http://schemas.microsoft.com/office/drawing/2014/main" id="{00000000-0008-0000-2B00-0000367B0D00}"/>
            </a:ext>
          </a:extLst>
        </xdr:cNvPr>
        <xdr:cNvSpPr>
          <a:spLocks noChangeShapeType="1"/>
        </xdr:cNvSpPr>
      </xdr:nvSpPr>
      <xdr:spPr bwMode="auto">
        <a:xfrm flipV="1">
          <a:off x="8743950" y="6400800"/>
          <a:ext cx="1752600" cy="0"/>
        </a:xfrm>
        <a:prstGeom prst="line">
          <a:avLst/>
        </a:prstGeom>
        <a:noFill/>
        <a:ln w="9525">
          <a:solidFill>
            <a:srgbClr val="000000"/>
          </a:solidFill>
          <a:round/>
          <a:headEnd type="triangle" w="sm" len="med"/>
          <a:tailEnd type="triangle" w="sm" len="med"/>
        </a:ln>
        <a:extLst>
          <a:ext uri="{909E8E84-426E-40DD-AFC4-6F175D3DCCD1}">
            <a14:hiddenFill xmlns:a14="http://schemas.microsoft.com/office/drawing/2010/main">
              <a:noFill/>
            </a14:hiddenFill>
          </a:ext>
        </a:extLst>
      </xdr:spPr>
    </xdr:sp>
    <xdr:clientData/>
  </xdr:twoCellAnchor>
  <xdr:twoCellAnchor>
    <xdr:from>
      <xdr:col>15</xdr:col>
      <xdr:colOff>294640</xdr:colOff>
      <xdr:row>33</xdr:row>
      <xdr:rowOff>0</xdr:rowOff>
    </xdr:from>
    <xdr:to>
      <xdr:col>16</xdr:col>
      <xdr:colOff>175518</xdr:colOff>
      <xdr:row>34</xdr:row>
      <xdr:rowOff>58544</xdr:rowOff>
    </xdr:to>
    <xdr:sp macro="" textlink="">
      <xdr:nvSpPr>
        <xdr:cNvPr id="66" name="Text Box 81">
          <a:extLst>
            <a:ext uri="{FF2B5EF4-FFF2-40B4-BE49-F238E27FC236}">
              <a16:creationId xmlns="" xmlns:a16="http://schemas.microsoft.com/office/drawing/2014/main" id="{00000000-0008-0000-2B00-000042000000}"/>
            </a:ext>
          </a:extLst>
        </xdr:cNvPr>
        <xdr:cNvSpPr txBox="1">
          <a:spLocks noChangeArrowheads="1"/>
        </xdr:cNvSpPr>
      </xdr:nvSpPr>
      <xdr:spPr bwMode="auto">
        <a:xfrm>
          <a:off x="9477375" y="6600825"/>
          <a:ext cx="466725" cy="247745"/>
        </a:xfrm>
        <a:prstGeom prst="rect">
          <a:avLst/>
        </a:prstGeom>
        <a:noFill/>
        <a:ln w="9525">
          <a:noFill/>
          <a:miter lim="800000"/>
          <a:headEnd/>
          <a:tailEnd/>
        </a:ln>
      </xdr:spPr>
      <xdr:txBody>
        <a:bodyPr vertOverflow="clip" wrap="square" lIns="27432" tIns="22860" rIns="0" bIns="0" anchor="t" upright="1"/>
        <a:lstStyle/>
        <a:p>
          <a:pPr algn="l" rtl="0">
            <a:defRPr sz="1000"/>
          </a:pPr>
          <a:r>
            <a:rPr lang="en-GB" sz="900" b="0" i="0" u="none" strike="noStrike" baseline="0">
              <a:solidFill>
                <a:srgbClr val="000000"/>
              </a:solidFill>
              <a:latin typeface="Arial"/>
              <a:cs typeface="Arial"/>
            </a:rPr>
            <a:t>0.8 m</a:t>
          </a:r>
        </a:p>
      </xdr:txBody>
    </xdr:sp>
    <xdr:clientData/>
  </xdr:twoCellAnchor>
  <xdr:twoCellAnchor>
    <xdr:from>
      <xdr:col>17</xdr:col>
      <xdr:colOff>133350</xdr:colOff>
      <xdr:row>32</xdr:row>
      <xdr:rowOff>101600</xdr:rowOff>
    </xdr:from>
    <xdr:to>
      <xdr:col>17</xdr:col>
      <xdr:colOff>381000</xdr:colOff>
      <xdr:row>32</xdr:row>
      <xdr:rowOff>101600</xdr:rowOff>
    </xdr:to>
    <xdr:sp macro="" textlink="">
      <xdr:nvSpPr>
        <xdr:cNvPr id="883512" name="Line 82">
          <a:extLst>
            <a:ext uri="{FF2B5EF4-FFF2-40B4-BE49-F238E27FC236}">
              <a16:creationId xmlns="" xmlns:a16="http://schemas.microsoft.com/office/drawing/2014/main" id="{00000000-0008-0000-2B00-0000387B0D00}"/>
            </a:ext>
          </a:extLst>
        </xdr:cNvPr>
        <xdr:cNvSpPr>
          <a:spLocks noChangeShapeType="1"/>
        </xdr:cNvSpPr>
      </xdr:nvSpPr>
      <xdr:spPr bwMode="auto">
        <a:xfrm flipV="1">
          <a:off x="10496550" y="6400800"/>
          <a:ext cx="247650" cy="0"/>
        </a:xfrm>
        <a:prstGeom prst="line">
          <a:avLst/>
        </a:prstGeom>
        <a:noFill/>
        <a:ln w="9525">
          <a:solidFill>
            <a:srgbClr val="000000"/>
          </a:solidFill>
          <a:round/>
          <a:headEnd type="triangle" w="sm" len="med"/>
          <a:tailEnd type="triangle" w="sm" len="med"/>
        </a:ln>
        <a:extLst>
          <a:ext uri="{909E8E84-426E-40DD-AFC4-6F175D3DCCD1}">
            <a14:hiddenFill xmlns:a14="http://schemas.microsoft.com/office/drawing/2010/main">
              <a:noFill/>
            </a14:hiddenFill>
          </a:ext>
        </a:extLst>
      </xdr:spPr>
    </xdr:sp>
    <xdr:clientData/>
  </xdr:twoCellAnchor>
  <xdr:twoCellAnchor>
    <xdr:from>
      <xdr:col>17</xdr:col>
      <xdr:colOff>135255</xdr:colOff>
      <xdr:row>33</xdr:row>
      <xdr:rowOff>0</xdr:rowOff>
    </xdr:from>
    <xdr:to>
      <xdr:col>18</xdr:col>
      <xdr:colOff>1196</xdr:colOff>
      <xdr:row>34</xdr:row>
      <xdr:rowOff>58544</xdr:rowOff>
    </xdr:to>
    <xdr:sp macro="" textlink="">
      <xdr:nvSpPr>
        <xdr:cNvPr id="68" name="Text Box 83">
          <a:extLst>
            <a:ext uri="{FF2B5EF4-FFF2-40B4-BE49-F238E27FC236}">
              <a16:creationId xmlns="" xmlns:a16="http://schemas.microsoft.com/office/drawing/2014/main" id="{00000000-0008-0000-2B00-000044000000}"/>
            </a:ext>
          </a:extLst>
        </xdr:cNvPr>
        <xdr:cNvSpPr txBox="1">
          <a:spLocks noChangeArrowheads="1"/>
        </xdr:cNvSpPr>
      </xdr:nvSpPr>
      <xdr:spPr bwMode="auto">
        <a:xfrm>
          <a:off x="10506075" y="6600825"/>
          <a:ext cx="466725" cy="247745"/>
        </a:xfrm>
        <a:prstGeom prst="rect">
          <a:avLst/>
        </a:prstGeom>
        <a:noFill/>
        <a:ln w="9525">
          <a:noFill/>
          <a:miter lim="800000"/>
          <a:headEnd/>
          <a:tailEnd/>
        </a:ln>
      </xdr:spPr>
      <xdr:txBody>
        <a:bodyPr vertOverflow="clip" wrap="square" lIns="27432" tIns="22860" rIns="0" bIns="0" anchor="t" upright="1"/>
        <a:lstStyle/>
        <a:p>
          <a:pPr algn="l" rtl="0">
            <a:defRPr sz="1000"/>
          </a:pPr>
          <a:r>
            <a:rPr lang="en-GB" sz="900" b="0" i="0" u="none" strike="noStrike" baseline="0">
              <a:solidFill>
                <a:srgbClr val="000000"/>
              </a:solidFill>
              <a:latin typeface="Arial"/>
              <a:cs typeface="Arial"/>
            </a:rPr>
            <a:t>0.2 m</a:t>
          </a:r>
        </a:p>
      </xdr:txBody>
    </xdr:sp>
    <xdr:clientData/>
  </xdr:twoCellAnchor>
  <xdr:twoCellAnchor>
    <xdr:from>
      <xdr:col>13</xdr:col>
      <xdr:colOff>457200</xdr:colOff>
      <xdr:row>32</xdr:row>
      <xdr:rowOff>101600</xdr:rowOff>
    </xdr:from>
    <xdr:to>
      <xdr:col>14</xdr:col>
      <xdr:colOff>209550</xdr:colOff>
      <xdr:row>32</xdr:row>
      <xdr:rowOff>101600</xdr:rowOff>
    </xdr:to>
    <xdr:sp macro="" textlink="">
      <xdr:nvSpPr>
        <xdr:cNvPr id="883514" name="Line 84">
          <a:extLst>
            <a:ext uri="{FF2B5EF4-FFF2-40B4-BE49-F238E27FC236}">
              <a16:creationId xmlns="" xmlns:a16="http://schemas.microsoft.com/office/drawing/2014/main" id="{00000000-0008-0000-2B00-00003A7B0D00}"/>
            </a:ext>
          </a:extLst>
        </xdr:cNvPr>
        <xdr:cNvSpPr>
          <a:spLocks noChangeShapeType="1"/>
        </xdr:cNvSpPr>
      </xdr:nvSpPr>
      <xdr:spPr bwMode="auto">
        <a:xfrm flipV="1">
          <a:off x="8382000" y="6400800"/>
          <a:ext cx="361950" cy="0"/>
        </a:xfrm>
        <a:prstGeom prst="line">
          <a:avLst/>
        </a:prstGeom>
        <a:noFill/>
        <a:ln w="9525">
          <a:solidFill>
            <a:srgbClr val="000000"/>
          </a:solidFill>
          <a:round/>
          <a:headEnd type="triangle" w="sm" len="med"/>
          <a:tailEnd type="triangle" w="sm" len="med"/>
        </a:ln>
        <a:extLst>
          <a:ext uri="{909E8E84-426E-40DD-AFC4-6F175D3DCCD1}">
            <a14:hiddenFill xmlns:a14="http://schemas.microsoft.com/office/drawing/2010/main">
              <a:noFill/>
            </a14:hiddenFill>
          </a:ext>
        </a:extLst>
      </xdr:spPr>
    </xdr:sp>
    <xdr:clientData/>
  </xdr:twoCellAnchor>
  <xdr:twoCellAnchor>
    <xdr:from>
      <xdr:col>13</xdr:col>
      <xdr:colOff>420370</xdr:colOff>
      <xdr:row>33</xdr:row>
      <xdr:rowOff>19685</xdr:rowOff>
    </xdr:from>
    <xdr:to>
      <xdr:col>14</xdr:col>
      <xdr:colOff>297898</xdr:colOff>
      <xdr:row>34</xdr:row>
      <xdr:rowOff>58783</xdr:rowOff>
    </xdr:to>
    <xdr:sp macro="" textlink="">
      <xdr:nvSpPr>
        <xdr:cNvPr id="70" name="Text Box 85">
          <a:extLst>
            <a:ext uri="{FF2B5EF4-FFF2-40B4-BE49-F238E27FC236}">
              <a16:creationId xmlns="" xmlns:a16="http://schemas.microsoft.com/office/drawing/2014/main" id="{00000000-0008-0000-2B00-000046000000}"/>
            </a:ext>
          </a:extLst>
        </xdr:cNvPr>
        <xdr:cNvSpPr txBox="1">
          <a:spLocks noChangeArrowheads="1"/>
        </xdr:cNvSpPr>
      </xdr:nvSpPr>
      <xdr:spPr bwMode="auto">
        <a:xfrm>
          <a:off x="8420100" y="6610350"/>
          <a:ext cx="466725" cy="247745"/>
        </a:xfrm>
        <a:prstGeom prst="rect">
          <a:avLst/>
        </a:prstGeom>
        <a:solidFill>
          <a:srgbClr val="FFFFFF"/>
        </a:solidFill>
        <a:ln w="9525">
          <a:noFill/>
          <a:miter lim="800000"/>
          <a:headEnd/>
          <a:tailEnd/>
        </a:ln>
        <a:effectLst/>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0.2 m</a:t>
          </a:r>
        </a:p>
      </xdr:txBody>
    </xdr:sp>
    <xdr:clientData/>
  </xdr:twoCellAnchor>
  <xdr:twoCellAnchor>
    <xdr:from>
      <xdr:col>18</xdr:col>
      <xdr:colOff>38100</xdr:colOff>
      <xdr:row>6</xdr:row>
      <xdr:rowOff>19050</xdr:rowOff>
    </xdr:from>
    <xdr:to>
      <xdr:col>18</xdr:col>
      <xdr:colOff>38100</xdr:colOff>
      <xdr:row>8</xdr:row>
      <xdr:rowOff>6350</xdr:rowOff>
    </xdr:to>
    <xdr:sp macro="" textlink="">
      <xdr:nvSpPr>
        <xdr:cNvPr id="883516" name="Line 86">
          <a:extLst>
            <a:ext uri="{FF2B5EF4-FFF2-40B4-BE49-F238E27FC236}">
              <a16:creationId xmlns="" xmlns:a16="http://schemas.microsoft.com/office/drawing/2014/main" id="{00000000-0008-0000-2B00-00003C7B0D00}"/>
            </a:ext>
          </a:extLst>
        </xdr:cNvPr>
        <xdr:cNvSpPr>
          <a:spLocks noChangeShapeType="1"/>
        </xdr:cNvSpPr>
      </xdr:nvSpPr>
      <xdr:spPr bwMode="auto">
        <a:xfrm>
          <a:off x="11010900" y="1200150"/>
          <a:ext cx="0" cy="381000"/>
        </a:xfrm>
        <a:prstGeom prst="line">
          <a:avLst/>
        </a:prstGeom>
        <a:noFill/>
        <a:ln w="9525">
          <a:solidFill>
            <a:srgbClr val="000000"/>
          </a:solidFill>
          <a:round/>
          <a:headEnd type="triangle" w="sm" len="med"/>
          <a:tailEnd type="triangle" w="sm" len="med"/>
        </a:ln>
        <a:extLst>
          <a:ext uri="{909E8E84-426E-40DD-AFC4-6F175D3DCCD1}">
            <a14:hiddenFill xmlns:a14="http://schemas.microsoft.com/office/drawing/2010/main">
              <a:noFill/>
            </a14:hiddenFill>
          </a:ext>
        </a:extLst>
      </xdr:spPr>
    </xdr:sp>
    <xdr:clientData/>
  </xdr:twoCellAnchor>
  <xdr:twoCellAnchor>
    <xdr:from>
      <xdr:col>18</xdr:col>
      <xdr:colOff>102235</xdr:colOff>
      <xdr:row>6</xdr:row>
      <xdr:rowOff>80010</xdr:rowOff>
    </xdr:from>
    <xdr:to>
      <xdr:col>18</xdr:col>
      <xdr:colOff>460500</xdr:colOff>
      <xdr:row>7</xdr:row>
      <xdr:rowOff>112201</xdr:rowOff>
    </xdr:to>
    <xdr:sp macro="" textlink="">
      <xdr:nvSpPr>
        <xdr:cNvPr id="72" name="Text Box 87">
          <a:extLst>
            <a:ext uri="{FF2B5EF4-FFF2-40B4-BE49-F238E27FC236}">
              <a16:creationId xmlns="" xmlns:a16="http://schemas.microsoft.com/office/drawing/2014/main" id="{00000000-0008-0000-2B00-000048000000}"/>
            </a:ext>
          </a:extLst>
        </xdr:cNvPr>
        <xdr:cNvSpPr txBox="1">
          <a:spLocks noChangeArrowheads="1"/>
        </xdr:cNvSpPr>
      </xdr:nvSpPr>
      <xdr:spPr bwMode="auto">
        <a:xfrm>
          <a:off x="11077575" y="1304925"/>
          <a:ext cx="466725" cy="238125"/>
        </a:xfrm>
        <a:prstGeom prst="rect">
          <a:avLst/>
        </a:prstGeom>
        <a:noFill/>
        <a:ln w="9525">
          <a:noFill/>
          <a:miter lim="800000"/>
          <a:headEnd/>
          <a:tailEnd/>
        </a:ln>
      </xdr:spPr>
      <xdr:txBody>
        <a:bodyPr vertOverflow="clip" wrap="square" lIns="27432" tIns="22860" rIns="0" bIns="0" anchor="t" upright="1"/>
        <a:lstStyle/>
        <a:p>
          <a:pPr algn="l" rtl="0">
            <a:defRPr sz="1000"/>
          </a:pPr>
          <a:r>
            <a:rPr lang="en-GB" sz="900" b="0" i="0" u="none" strike="noStrike" baseline="0">
              <a:solidFill>
                <a:srgbClr val="000000"/>
              </a:solidFill>
              <a:latin typeface="Arial"/>
              <a:cs typeface="Arial"/>
            </a:rPr>
            <a:t>0.3 m</a:t>
          </a:r>
        </a:p>
      </xdr:txBody>
    </xdr:sp>
    <xdr:clientData/>
  </xdr:twoCellAnchor>
  <xdr:twoCellAnchor>
    <xdr:from>
      <xdr:col>17</xdr:col>
      <xdr:colOff>476250</xdr:colOff>
      <xdr:row>29</xdr:row>
      <xdr:rowOff>95250</xdr:rowOff>
    </xdr:from>
    <xdr:to>
      <xdr:col>17</xdr:col>
      <xdr:colOff>476250</xdr:colOff>
      <xdr:row>31</xdr:row>
      <xdr:rowOff>82550</xdr:rowOff>
    </xdr:to>
    <xdr:sp macro="" textlink="">
      <xdr:nvSpPr>
        <xdr:cNvPr id="883518" name="Line 88">
          <a:extLst>
            <a:ext uri="{FF2B5EF4-FFF2-40B4-BE49-F238E27FC236}">
              <a16:creationId xmlns="" xmlns:a16="http://schemas.microsoft.com/office/drawing/2014/main" id="{00000000-0008-0000-2B00-00003E7B0D00}"/>
            </a:ext>
          </a:extLst>
        </xdr:cNvPr>
        <xdr:cNvSpPr>
          <a:spLocks noChangeShapeType="1"/>
        </xdr:cNvSpPr>
      </xdr:nvSpPr>
      <xdr:spPr bwMode="auto">
        <a:xfrm>
          <a:off x="10839450" y="5803900"/>
          <a:ext cx="0" cy="381000"/>
        </a:xfrm>
        <a:prstGeom prst="line">
          <a:avLst/>
        </a:prstGeom>
        <a:noFill/>
        <a:ln w="9525">
          <a:solidFill>
            <a:srgbClr val="000000"/>
          </a:solidFill>
          <a:round/>
          <a:headEnd type="triangle" w="sm" len="med"/>
          <a:tailEnd type="triangle" w="sm" len="med"/>
        </a:ln>
        <a:extLst>
          <a:ext uri="{909E8E84-426E-40DD-AFC4-6F175D3DCCD1}">
            <a14:hiddenFill xmlns:a14="http://schemas.microsoft.com/office/drawing/2010/main">
              <a:noFill/>
            </a14:hiddenFill>
          </a:ext>
        </a:extLst>
      </xdr:spPr>
    </xdr:sp>
    <xdr:clientData/>
  </xdr:twoCellAnchor>
  <xdr:twoCellAnchor>
    <xdr:from>
      <xdr:col>18</xdr:col>
      <xdr:colOff>67310</xdr:colOff>
      <xdr:row>30</xdr:row>
      <xdr:rowOff>0</xdr:rowOff>
    </xdr:from>
    <xdr:to>
      <xdr:col>18</xdr:col>
      <xdr:colOff>424611</xdr:colOff>
      <xdr:row>31</xdr:row>
      <xdr:rowOff>37561</xdr:rowOff>
    </xdr:to>
    <xdr:sp macro="" textlink="">
      <xdr:nvSpPr>
        <xdr:cNvPr id="74" name="Text Box 89">
          <a:extLst>
            <a:ext uri="{FF2B5EF4-FFF2-40B4-BE49-F238E27FC236}">
              <a16:creationId xmlns="" xmlns:a16="http://schemas.microsoft.com/office/drawing/2014/main" id="{00000000-0008-0000-2B00-00004A000000}"/>
            </a:ext>
          </a:extLst>
        </xdr:cNvPr>
        <xdr:cNvSpPr txBox="1">
          <a:spLocks noChangeArrowheads="1"/>
        </xdr:cNvSpPr>
      </xdr:nvSpPr>
      <xdr:spPr bwMode="auto">
        <a:xfrm>
          <a:off x="11010900" y="6000750"/>
          <a:ext cx="466725" cy="247745"/>
        </a:xfrm>
        <a:prstGeom prst="rect">
          <a:avLst/>
        </a:prstGeom>
        <a:noFill/>
        <a:ln w="9525">
          <a:noFill/>
          <a:miter lim="800000"/>
          <a:headEnd/>
          <a:tailEnd/>
        </a:ln>
      </xdr:spPr>
      <xdr:txBody>
        <a:bodyPr vertOverflow="clip" wrap="square" lIns="27432" tIns="22860" rIns="0" bIns="0" anchor="t" upright="1"/>
        <a:lstStyle/>
        <a:p>
          <a:pPr algn="l" rtl="0">
            <a:defRPr sz="1000"/>
          </a:pPr>
          <a:r>
            <a:rPr lang="en-GB" sz="900" b="0" i="0" u="none" strike="noStrike" baseline="0">
              <a:solidFill>
                <a:srgbClr val="000000"/>
              </a:solidFill>
              <a:latin typeface="Arial"/>
              <a:cs typeface="Arial"/>
            </a:rPr>
            <a:t>0.3 m</a:t>
          </a:r>
        </a:p>
      </xdr:txBody>
    </xdr:sp>
    <xdr:clientData/>
  </xdr:twoCellAnchor>
  <xdr:twoCellAnchor>
    <xdr:from>
      <xdr:col>3</xdr:col>
      <xdr:colOff>38100</xdr:colOff>
      <xdr:row>20</xdr:row>
      <xdr:rowOff>57150</xdr:rowOff>
    </xdr:from>
    <xdr:to>
      <xdr:col>7</xdr:col>
      <xdr:colOff>0</xdr:colOff>
      <xdr:row>24</xdr:row>
      <xdr:rowOff>82550</xdr:rowOff>
    </xdr:to>
    <xdr:grpSp>
      <xdr:nvGrpSpPr>
        <xdr:cNvPr id="883520" name="Group 102">
          <a:extLst>
            <a:ext uri="{FF2B5EF4-FFF2-40B4-BE49-F238E27FC236}">
              <a16:creationId xmlns="" xmlns:a16="http://schemas.microsoft.com/office/drawing/2014/main" id="{00000000-0008-0000-2B00-0000407B0D00}"/>
            </a:ext>
          </a:extLst>
        </xdr:cNvPr>
        <xdr:cNvGrpSpPr>
          <a:grpSpLocks/>
        </xdr:cNvGrpSpPr>
      </xdr:nvGrpSpPr>
      <xdr:grpSpPr bwMode="auto">
        <a:xfrm>
          <a:off x="1866900" y="3994150"/>
          <a:ext cx="2400300" cy="812800"/>
          <a:chOff x="197" y="347"/>
          <a:chExt cx="251" cy="71"/>
        </a:xfrm>
      </xdr:grpSpPr>
      <xdr:sp macro="" textlink="">
        <xdr:nvSpPr>
          <xdr:cNvPr id="883649" name="Freeform 5">
            <a:extLst>
              <a:ext uri="{FF2B5EF4-FFF2-40B4-BE49-F238E27FC236}">
                <a16:creationId xmlns="" xmlns:a16="http://schemas.microsoft.com/office/drawing/2014/main" id="{00000000-0008-0000-2B00-0000C17B0D00}"/>
              </a:ext>
            </a:extLst>
          </xdr:cNvPr>
          <xdr:cNvSpPr>
            <a:spLocks/>
          </xdr:cNvSpPr>
        </xdr:nvSpPr>
        <xdr:spPr bwMode="auto">
          <a:xfrm>
            <a:off x="429" y="347"/>
            <a:ext cx="19" cy="15"/>
          </a:xfrm>
          <a:custGeom>
            <a:avLst/>
            <a:gdLst>
              <a:gd name="T0" fmla="*/ 0 w 18"/>
              <a:gd name="T1" fmla="*/ 61695 h 12"/>
              <a:gd name="T2" fmla="*/ 6 w 18"/>
              <a:gd name="T3" fmla="*/ 278505 h 12"/>
              <a:gd name="T4" fmla="*/ 187 w 18"/>
              <a:gd name="T5" fmla="*/ 238054 h 12"/>
              <a:gd name="T6" fmla="*/ 168 w 18"/>
              <a:gd name="T7" fmla="*/ 194645 h 12"/>
              <a:gd name="T8" fmla="*/ 4 w 18"/>
              <a:gd name="T9" fmla="*/ 61695 h 12"/>
              <a:gd name="T10" fmla="*/ 0 w 18"/>
              <a:gd name="T11" fmla="*/ 61695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3650" name="Freeform 6">
            <a:extLst>
              <a:ext uri="{FF2B5EF4-FFF2-40B4-BE49-F238E27FC236}">
                <a16:creationId xmlns="" xmlns:a16="http://schemas.microsoft.com/office/drawing/2014/main" id="{00000000-0008-0000-2B00-0000C27B0D00}"/>
              </a:ext>
            </a:extLst>
          </xdr:cNvPr>
          <xdr:cNvSpPr>
            <a:spLocks/>
          </xdr:cNvSpPr>
        </xdr:nvSpPr>
        <xdr:spPr bwMode="auto">
          <a:xfrm>
            <a:off x="338" y="347"/>
            <a:ext cx="19" cy="15"/>
          </a:xfrm>
          <a:custGeom>
            <a:avLst/>
            <a:gdLst>
              <a:gd name="T0" fmla="*/ 0 w 18"/>
              <a:gd name="T1" fmla="*/ 61695 h 12"/>
              <a:gd name="T2" fmla="*/ 6 w 18"/>
              <a:gd name="T3" fmla="*/ 278505 h 12"/>
              <a:gd name="T4" fmla="*/ 187 w 18"/>
              <a:gd name="T5" fmla="*/ 238054 h 12"/>
              <a:gd name="T6" fmla="*/ 168 w 18"/>
              <a:gd name="T7" fmla="*/ 194645 h 12"/>
              <a:gd name="T8" fmla="*/ 4 w 18"/>
              <a:gd name="T9" fmla="*/ 61695 h 12"/>
              <a:gd name="T10" fmla="*/ 0 w 18"/>
              <a:gd name="T11" fmla="*/ 61695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3651" name="Freeform 7">
            <a:extLst>
              <a:ext uri="{FF2B5EF4-FFF2-40B4-BE49-F238E27FC236}">
                <a16:creationId xmlns="" xmlns:a16="http://schemas.microsoft.com/office/drawing/2014/main" id="{00000000-0008-0000-2B00-0000C37B0D00}"/>
              </a:ext>
            </a:extLst>
          </xdr:cNvPr>
          <xdr:cNvSpPr>
            <a:spLocks/>
          </xdr:cNvSpPr>
        </xdr:nvSpPr>
        <xdr:spPr bwMode="auto">
          <a:xfrm>
            <a:off x="354" y="347"/>
            <a:ext cx="19" cy="15"/>
          </a:xfrm>
          <a:custGeom>
            <a:avLst/>
            <a:gdLst>
              <a:gd name="T0" fmla="*/ 0 w 18"/>
              <a:gd name="T1" fmla="*/ 61695 h 12"/>
              <a:gd name="T2" fmla="*/ 6 w 18"/>
              <a:gd name="T3" fmla="*/ 278505 h 12"/>
              <a:gd name="T4" fmla="*/ 187 w 18"/>
              <a:gd name="T5" fmla="*/ 238054 h 12"/>
              <a:gd name="T6" fmla="*/ 168 w 18"/>
              <a:gd name="T7" fmla="*/ 194645 h 12"/>
              <a:gd name="T8" fmla="*/ 4 w 18"/>
              <a:gd name="T9" fmla="*/ 61695 h 12"/>
              <a:gd name="T10" fmla="*/ 0 w 18"/>
              <a:gd name="T11" fmla="*/ 61695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3652" name="Freeform 8">
            <a:extLst>
              <a:ext uri="{FF2B5EF4-FFF2-40B4-BE49-F238E27FC236}">
                <a16:creationId xmlns="" xmlns:a16="http://schemas.microsoft.com/office/drawing/2014/main" id="{00000000-0008-0000-2B00-0000C47B0D00}"/>
              </a:ext>
            </a:extLst>
          </xdr:cNvPr>
          <xdr:cNvSpPr>
            <a:spLocks/>
          </xdr:cNvSpPr>
        </xdr:nvSpPr>
        <xdr:spPr bwMode="auto">
          <a:xfrm>
            <a:off x="370" y="347"/>
            <a:ext cx="19" cy="15"/>
          </a:xfrm>
          <a:custGeom>
            <a:avLst/>
            <a:gdLst>
              <a:gd name="T0" fmla="*/ 0 w 18"/>
              <a:gd name="T1" fmla="*/ 61695 h 12"/>
              <a:gd name="T2" fmla="*/ 6 w 18"/>
              <a:gd name="T3" fmla="*/ 278505 h 12"/>
              <a:gd name="T4" fmla="*/ 187 w 18"/>
              <a:gd name="T5" fmla="*/ 238054 h 12"/>
              <a:gd name="T6" fmla="*/ 168 w 18"/>
              <a:gd name="T7" fmla="*/ 194645 h 12"/>
              <a:gd name="T8" fmla="*/ 4 w 18"/>
              <a:gd name="T9" fmla="*/ 61695 h 12"/>
              <a:gd name="T10" fmla="*/ 0 w 18"/>
              <a:gd name="T11" fmla="*/ 61695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3653" name="Freeform 9">
            <a:extLst>
              <a:ext uri="{FF2B5EF4-FFF2-40B4-BE49-F238E27FC236}">
                <a16:creationId xmlns="" xmlns:a16="http://schemas.microsoft.com/office/drawing/2014/main" id="{00000000-0008-0000-2B00-0000C57B0D00}"/>
              </a:ext>
            </a:extLst>
          </xdr:cNvPr>
          <xdr:cNvSpPr>
            <a:spLocks/>
          </xdr:cNvSpPr>
        </xdr:nvSpPr>
        <xdr:spPr bwMode="auto">
          <a:xfrm>
            <a:off x="385" y="347"/>
            <a:ext cx="19" cy="15"/>
          </a:xfrm>
          <a:custGeom>
            <a:avLst/>
            <a:gdLst>
              <a:gd name="T0" fmla="*/ 0 w 18"/>
              <a:gd name="T1" fmla="*/ 61695 h 12"/>
              <a:gd name="T2" fmla="*/ 6 w 18"/>
              <a:gd name="T3" fmla="*/ 278505 h 12"/>
              <a:gd name="T4" fmla="*/ 187 w 18"/>
              <a:gd name="T5" fmla="*/ 238054 h 12"/>
              <a:gd name="T6" fmla="*/ 168 w 18"/>
              <a:gd name="T7" fmla="*/ 194645 h 12"/>
              <a:gd name="T8" fmla="*/ 4 w 18"/>
              <a:gd name="T9" fmla="*/ 61695 h 12"/>
              <a:gd name="T10" fmla="*/ 0 w 18"/>
              <a:gd name="T11" fmla="*/ 61695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3654" name="Freeform 10">
            <a:extLst>
              <a:ext uri="{FF2B5EF4-FFF2-40B4-BE49-F238E27FC236}">
                <a16:creationId xmlns="" xmlns:a16="http://schemas.microsoft.com/office/drawing/2014/main" id="{00000000-0008-0000-2B00-0000C67B0D00}"/>
              </a:ext>
            </a:extLst>
          </xdr:cNvPr>
          <xdr:cNvSpPr>
            <a:spLocks/>
          </xdr:cNvSpPr>
        </xdr:nvSpPr>
        <xdr:spPr bwMode="auto">
          <a:xfrm>
            <a:off x="400" y="348"/>
            <a:ext cx="19" cy="15"/>
          </a:xfrm>
          <a:custGeom>
            <a:avLst/>
            <a:gdLst>
              <a:gd name="T0" fmla="*/ 0 w 18"/>
              <a:gd name="T1" fmla="*/ 61695 h 12"/>
              <a:gd name="T2" fmla="*/ 6 w 18"/>
              <a:gd name="T3" fmla="*/ 278505 h 12"/>
              <a:gd name="T4" fmla="*/ 187 w 18"/>
              <a:gd name="T5" fmla="*/ 238054 h 12"/>
              <a:gd name="T6" fmla="*/ 168 w 18"/>
              <a:gd name="T7" fmla="*/ 194645 h 12"/>
              <a:gd name="T8" fmla="*/ 4 w 18"/>
              <a:gd name="T9" fmla="*/ 61695 h 12"/>
              <a:gd name="T10" fmla="*/ 0 w 18"/>
              <a:gd name="T11" fmla="*/ 61695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3655" name="Freeform 12">
            <a:extLst>
              <a:ext uri="{FF2B5EF4-FFF2-40B4-BE49-F238E27FC236}">
                <a16:creationId xmlns="" xmlns:a16="http://schemas.microsoft.com/office/drawing/2014/main" id="{00000000-0008-0000-2B00-0000C77B0D00}"/>
              </a:ext>
            </a:extLst>
          </xdr:cNvPr>
          <xdr:cNvSpPr>
            <a:spLocks/>
          </xdr:cNvSpPr>
        </xdr:nvSpPr>
        <xdr:spPr bwMode="auto">
          <a:xfrm>
            <a:off x="233" y="348"/>
            <a:ext cx="19" cy="15"/>
          </a:xfrm>
          <a:custGeom>
            <a:avLst/>
            <a:gdLst>
              <a:gd name="T0" fmla="*/ 0 w 18"/>
              <a:gd name="T1" fmla="*/ 61695 h 12"/>
              <a:gd name="T2" fmla="*/ 6 w 18"/>
              <a:gd name="T3" fmla="*/ 278505 h 12"/>
              <a:gd name="T4" fmla="*/ 187 w 18"/>
              <a:gd name="T5" fmla="*/ 238054 h 12"/>
              <a:gd name="T6" fmla="*/ 168 w 18"/>
              <a:gd name="T7" fmla="*/ 194645 h 12"/>
              <a:gd name="T8" fmla="*/ 4 w 18"/>
              <a:gd name="T9" fmla="*/ 61695 h 12"/>
              <a:gd name="T10" fmla="*/ 0 w 18"/>
              <a:gd name="T11" fmla="*/ 61695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3656" name="Freeform 13">
            <a:extLst>
              <a:ext uri="{FF2B5EF4-FFF2-40B4-BE49-F238E27FC236}">
                <a16:creationId xmlns="" xmlns:a16="http://schemas.microsoft.com/office/drawing/2014/main" id="{00000000-0008-0000-2B00-0000C87B0D00}"/>
              </a:ext>
            </a:extLst>
          </xdr:cNvPr>
          <xdr:cNvSpPr>
            <a:spLocks/>
          </xdr:cNvSpPr>
        </xdr:nvSpPr>
        <xdr:spPr bwMode="auto">
          <a:xfrm>
            <a:off x="247" y="347"/>
            <a:ext cx="19" cy="15"/>
          </a:xfrm>
          <a:custGeom>
            <a:avLst/>
            <a:gdLst>
              <a:gd name="T0" fmla="*/ 0 w 18"/>
              <a:gd name="T1" fmla="*/ 61695 h 12"/>
              <a:gd name="T2" fmla="*/ 6 w 18"/>
              <a:gd name="T3" fmla="*/ 278505 h 12"/>
              <a:gd name="T4" fmla="*/ 187 w 18"/>
              <a:gd name="T5" fmla="*/ 238054 h 12"/>
              <a:gd name="T6" fmla="*/ 168 w 18"/>
              <a:gd name="T7" fmla="*/ 194645 h 12"/>
              <a:gd name="T8" fmla="*/ 4 w 18"/>
              <a:gd name="T9" fmla="*/ 61695 h 12"/>
              <a:gd name="T10" fmla="*/ 0 w 18"/>
              <a:gd name="T11" fmla="*/ 61695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3657" name="Freeform 15">
            <a:extLst>
              <a:ext uri="{FF2B5EF4-FFF2-40B4-BE49-F238E27FC236}">
                <a16:creationId xmlns="" xmlns:a16="http://schemas.microsoft.com/office/drawing/2014/main" id="{00000000-0008-0000-2B00-0000C97B0D00}"/>
              </a:ext>
            </a:extLst>
          </xdr:cNvPr>
          <xdr:cNvSpPr>
            <a:spLocks/>
          </xdr:cNvSpPr>
        </xdr:nvSpPr>
        <xdr:spPr bwMode="auto">
          <a:xfrm>
            <a:off x="277" y="348"/>
            <a:ext cx="19" cy="15"/>
          </a:xfrm>
          <a:custGeom>
            <a:avLst/>
            <a:gdLst>
              <a:gd name="T0" fmla="*/ 0 w 18"/>
              <a:gd name="T1" fmla="*/ 61695 h 12"/>
              <a:gd name="T2" fmla="*/ 6 w 18"/>
              <a:gd name="T3" fmla="*/ 278505 h 12"/>
              <a:gd name="T4" fmla="*/ 187 w 18"/>
              <a:gd name="T5" fmla="*/ 238054 h 12"/>
              <a:gd name="T6" fmla="*/ 168 w 18"/>
              <a:gd name="T7" fmla="*/ 194645 h 12"/>
              <a:gd name="T8" fmla="*/ 4 w 18"/>
              <a:gd name="T9" fmla="*/ 61695 h 12"/>
              <a:gd name="T10" fmla="*/ 0 w 18"/>
              <a:gd name="T11" fmla="*/ 61695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3658" name="Freeform 17">
            <a:extLst>
              <a:ext uri="{FF2B5EF4-FFF2-40B4-BE49-F238E27FC236}">
                <a16:creationId xmlns="" xmlns:a16="http://schemas.microsoft.com/office/drawing/2014/main" id="{00000000-0008-0000-2B00-0000CA7B0D00}"/>
              </a:ext>
            </a:extLst>
          </xdr:cNvPr>
          <xdr:cNvSpPr>
            <a:spLocks/>
          </xdr:cNvSpPr>
        </xdr:nvSpPr>
        <xdr:spPr bwMode="auto">
          <a:xfrm>
            <a:off x="307" y="348"/>
            <a:ext cx="19" cy="15"/>
          </a:xfrm>
          <a:custGeom>
            <a:avLst/>
            <a:gdLst>
              <a:gd name="T0" fmla="*/ 0 w 18"/>
              <a:gd name="T1" fmla="*/ 61695 h 12"/>
              <a:gd name="T2" fmla="*/ 6 w 18"/>
              <a:gd name="T3" fmla="*/ 278505 h 12"/>
              <a:gd name="T4" fmla="*/ 187 w 18"/>
              <a:gd name="T5" fmla="*/ 238054 h 12"/>
              <a:gd name="T6" fmla="*/ 168 w 18"/>
              <a:gd name="T7" fmla="*/ 194645 h 12"/>
              <a:gd name="T8" fmla="*/ 4 w 18"/>
              <a:gd name="T9" fmla="*/ 61695 h 12"/>
              <a:gd name="T10" fmla="*/ 0 w 18"/>
              <a:gd name="T11" fmla="*/ 61695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3659" name="Freeform 18">
            <a:extLst>
              <a:ext uri="{FF2B5EF4-FFF2-40B4-BE49-F238E27FC236}">
                <a16:creationId xmlns="" xmlns:a16="http://schemas.microsoft.com/office/drawing/2014/main" id="{00000000-0008-0000-2B00-0000CB7B0D00}"/>
              </a:ext>
            </a:extLst>
          </xdr:cNvPr>
          <xdr:cNvSpPr>
            <a:spLocks/>
          </xdr:cNvSpPr>
        </xdr:nvSpPr>
        <xdr:spPr bwMode="auto">
          <a:xfrm>
            <a:off x="323" y="348"/>
            <a:ext cx="19" cy="15"/>
          </a:xfrm>
          <a:custGeom>
            <a:avLst/>
            <a:gdLst>
              <a:gd name="T0" fmla="*/ 0 w 18"/>
              <a:gd name="T1" fmla="*/ 61695 h 12"/>
              <a:gd name="T2" fmla="*/ 6 w 18"/>
              <a:gd name="T3" fmla="*/ 278505 h 12"/>
              <a:gd name="T4" fmla="*/ 187 w 18"/>
              <a:gd name="T5" fmla="*/ 238054 h 12"/>
              <a:gd name="T6" fmla="*/ 168 w 18"/>
              <a:gd name="T7" fmla="*/ 194645 h 12"/>
              <a:gd name="T8" fmla="*/ 4 w 18"/>
              <a:gd name="T9" fmla="*/ 61695 h 12"/>
              <a:gd name="T10" fmla="*/ 0 w 18"/>
              <a:gd name="T11" fmla="*/ 61695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3660" name="Freeform 25">
            <a:extLst>
              <a:ext uri="{FF2B5EF4-FFF2-40B4-BE49-F238E27FC236}">
                <a16:creationId xmlns="" xmlns:a16="http://schemas.microsoft.com/office/drawing/2014/main" id="{00000000-0008-0000-2B00-0000CC7B0D00}"/>
              </a:ext>
            </a:extLst>
          </xdr:cNvPr>
          <xdr:cNvSpPr>
            <a:spLocks/>
          </xdr:cNvSpPr>
        </xdr:nvSpPr>
        <xdr:spPr bwMode="auto">
          <a:xfrm>
            <a:off x="216" y="347"/>
            <a:ext cx="19" cy="15"/>
          </a:xfrm>
          <a:custGeom>
            <a:avLst/>
            <a:gdLst>
              <a:gd name="T0" fmla="*/ 0 w 18"/>
              <a:gd name="T1" fmla="*/ 61695 h 12"/>
              <a:gd name="T2" fmla="*/ 6 w 18"/>
              <a:gd name="T3" fmla="*/ 278505 h 12"/>
              <a:gd name="T4" fmla="*/ 187 w 18"/>
              <a:gd name="T5" fmla="*/ 238054 h 12"/>
              <a:gd name="T6" fmla="*/ 168 w 18"/>
              <a:gd name="T7" fmla="*/ 194645 h 12"/>
              <a:gd name="T8" fmla="*/ 4 w 18"/>
              <a:gd name="T9" fmla="*/ 61695 h 12"/>
              <a:gd name="T10" fmla="*/ 0 w 18"/>
              <a:gd name="T11" fmla="*/ 61695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3661" name="Line 51">
            <a:extLst>
              <a:ext uri="{FF2B5EF4-FFF2-40B4-BE49-F238E27FC236}">
                <a16:creationId xmlns="" xmlns:a16="http://schemas.microsoft.com/office/drawing/2014/main" id="{00000000-0008-0000-2B00-0000CD7B0D00}"/>
              </a:ext>
            </a:extLst>
          </xdr:cNvPr>
          <xdr:cNvSpPr>
            <a:spLocks noChangeShapeType="1"/>
          </xdr:cNvSpPr>
        </xdr:nvSpPr>
        <xdr:spPr bwMode="auto">
          <a:xfrm>
            <a:off x="424" y="361"/>
            <a:ext cx="0" cy="5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9" name="Text Box 90">
            <a:extLst>
              <a:ext uri="{FF2B5EF4-FFF2-40B4-BE49-F238E27FC236}">
                <a16:creationId xmlns="" xmlns:a16="http://schemas.microsoft.com/office/drawing/2014/main" id="{00000000-0008-0000-2B00-000059000000}"/>
              </a:ext>
            </a:extLst>
          </xdr:cNvPr>
          <xdr:cNvSpPr txBox="1">
            <a:spLocks noChangeArrowheads="1"/>
          </xdr:cNvSpPr>
        </xdr:nvSpPr>
        <xdr:spPr bwMode="auto">
          <a:xfrm>
            <a:off x="197" y="393"/>
            <a:ext cx="67" cy="2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moellon</a:t>
            </a:r>
          </a:p>
        </xdr:txBody>
      </xdr:sp>
      <xdr:sp macro="" textlink="">
        <xdr:nvSpPr>
          <xdr:cNvPr id="883663" name="Line 91">
            <a:extLst>
              <a:ext uri="{FF2B5EF4-FFF2-40B4-BE49-F238E27FC236}">
                <a16:creationId xmlns="" xmlns:a16="http://schemas.microsoft.com/office/drawing/2014/main" id="{00000000-0008-0000-2B00-0000CF7B0D00}"/>
              </a:ext>
            </a:extLst>
          </xdr:cNvPr>
          <xdr:cNvSpPr>
            <a:spLocks noChangeShapeType="1"/>
          </xdr:cNvSpPr>
        </xdr:nvSpPr>
        <xdr:spPr bwMode="auto">
          <a:xfrm flipV="1">
            <a:off x="251" y="357"/>
            <a:ext cx="19" cy="38"/>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grpSp>
    <xdr:clientData/>
  </xdr:twoCellAnchor>
  <xdr:twoCellAnchor>
    <xdr:from>
      <xdr:col>3</xdr:col>
      <xdr:colOff>102870</xdr:colOff>
      <xdr:row>6</xdr:row>
      <xdr:rowOff>18415</xdr:rowOff>
    </xdr:from>
    <xdr:to>
      <xdr:col>4</xdr:col>
      <xdr:colOff>421001</xdr:colOff>
      <xdr:row>7</xdr:row>
      <xdr:rowOff>95172</xdr:rowOff>
    </xdr:to>
    <xdr:sp macro="" textlink="">
      <xdr:nvSpPr>
        <xdr:cNvPr id="91" name="Text Box 94">
          <a:extLst>
            <a:ext uri="{FF2B5EF4-FFF2-40B4-BE49-F238E27FC236}">
              <a16:creationId xmlns="" xmlns:a16="http://schemas.microsoft.com/office/drawing/2014/main" id="{00000000-0008-0000-2B00-00005B000000}"/>
            </a:ext>
          </a:extLst>
        </xdr:cNvPr>
        <xdr:cNvSpPr txBox="1">
          <a:spLocks noChangeArrowheads="1"/>
        </xdr:cNvSpPr>
      </xdr:nvSpPr>
      <xdr:spPr bwMode="auto">
        <a:xfrm>
          <a:off x="1943100" y="1209675"/>
          <a:ext cx="1009650" cy="29477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1100" b="0" i="0" u="none" strike="noStrike" baseline="0">
              <a:solidFill>
                <a:srgbClr val="000000"/>
              </a:solidFill>
              <a:latin typeface="Arial"/>
              <a:cs typeface="Arial"/>
            </a:rPr>
            <a:t>Terrain natural</a:t>
          </a:r>
        </a:p>
      </xdr:txBody>
    </xdr:sp>
    <xdr:clientData/>
  </xdr:twoCellAnchor>
  <xdr:twoCellAnchor>
    <xdr:from>
      <xdr:col>3</xdr:col>
      <xdr:colOff>462915</xdr:colOff>
      <xdr:row>11</xdr:row>
      <xdr:rowOff>56515</xdr:rowOff>
    </xdr:from>
    <xdr:to>
      <xdr:col>5</xdr:col>
      <xdr:colOff>463546</xdr:colOff>
      <xdr:row>14</xdr:row>
      <xdr:rowOff>57820</xdr:rowOff>
    </xdr:to>
    <xdr:sp macro="" textlink="">
      <xdr:nvSpPr>
        <xdr:cNvPr id="92" name="Text Box 95">
          <a:extLst>
            <a:ext uri="{FF2B5EF4-FFF2-40B4-BE49-F238E27FC236}">
              <a16:creationId xmlns="" xmlns:a16="http://schemas.microsoft.com/office/drawing/2014/main" id="{00000000-0008-0000-2B00-00005C000000}"/>
            </a:ext>
          </a:extLst>
        </xdr:cNvPr>
        <xdr:cNvSpPr txBox="1">
          <a:spLocks noChangeArrowheads="1"/>
        </xdr:cNvSpPr>
      </xdr:nvSpPr>
      <xdr:spPr bwMode="auto">
        <a:xfrm>
          <a:off x="2390775" y="2286000"/>
          <a:ext cx="1228725" cy="590550"/>
        </a:xfrm>
        <a:prstGeom prst="rect">
          <a:avLst/>
        </a:prstGeom>
        <a:solidFill>
          <a:srgbClr val="FFFFFF"/>
        </a:solidFill>
        <a:ln w="9525">
          <a:noFill/>
          <a:miter lim="800000"/>
          <a:headEnd/>
          <a:tailEnd/>
        </a:ln>
        <a:effectLst/>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Massif filtrant de gravier (D=5-25mm) et moellon</a:t>
          </a:r>
        </a:p>
      </xdr:txBody>
    </xdr:sp>
    <xdr:clientData/>
  </xdr:twoCellAnchor>
  <xdr:twoCellAnchor>
    <xdr:from>
      <xdr:col>6</xdr:col>
      <xdr:colOff>361950</xdr:colOff>
      <xdr:row>24</xdr:row>
      <xdr:rowOff>57150</xdr:rowOff>
    </xdr:from>
    <xdr:to>
      <xdr:col>7</xdr:col>
      <xdr:colOff>127000</xdr:colOff>
      <xdr:row>27</xdr:row>
      <xdr:rowOff>0</xdr:rowOff>
    </xdr:to>
    <xdr:sp macro="" textlink="">
      <xdr:nvSpPr>
        <xdr:cNvPr id="883523" name="Line 96">
          <a:extLst>
            <a:ext uri="{FF2B5EF4-FFF2-40B4-BE49-F238E27FC236}">
              <a16:creationId xmlns="" xmlns:a16="http://schemas.microsoft.com/office/drawing/2014/main" id="{00000000-0008-0000-2B00-0000437B0D00}"/>
            </a:ext>
          </a:extLst>
        </xdr:cNvPr>
        <xdr:cNvSpPr>
          <a:spLocks noChangeShapeType="1"/>
        </xdr:cNvSpPr>
      </xdr:nvSpPr>
      <xdr:spPr bwMode="auto">
        <a:xfrm flipV="1">
          <a:off x="4019550" y="4781550"/>
          <a:ext cx="374650" cy="53340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4</xdr:col>
      <xdr:colOff>411480</xdr:colOff>
      <xdr:row>27</xdr:row>
      <xdr:rowOff>36830</xdr:rowOff>
    </xdr:from>
    <xdr:to>
      <xdr:col>8</xdr:col>
      <xdr:colOff>231649</xdr:colOff>
      <xdr:row>30</xdr:row>
      <xdr:rowOff>58020</xdr:rowOff>
    </xdr:to>
    <xdr:sp macro="" textlink="">
      <xdr:nvSpPr>
        <xdr:cNvPr id="94" name="Text Box 97">
          <a:extLst>
            <a:ext uri="{FF2B5EF4-FFF2-40B4-BE49-F238E27FC236}">
              <a16:creationId xmlns="" xmlns:a16="http://schemas.microsoft.com/office/drawing/2014/main" id="{00000000-0008-0000-2B00-00005E000000}"/>
            </a:ext>
          </a:extLst>
        </xdr:cNvPr>
        <xdr:cNvSpPr txBox="1">
          <a:spLocks noChangeArrowheads="1"/>
        </xdr:cNvSpPr>
      </xdr:nvSpPr>
      <xdr:spPr bwMode="auto">
        <a:xfrm>
          <a:off x="2905125" y="5457825"/>
          <a:ext cx="2286000" cy="60007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lnSpc>
              <a:spcPts val="800"/>
            </a:lnSpc>
            <a:defRPr sz="1000"/>
          </a:pPr>
          <a:r>
            <a:rPr lang="en-GB" sz="900" b="0" i="0" u="none" strike="noStrike" baseline="0">
              <a:solidFill>
                <a:srgbClr val="000000"/>
              </a:solidFill>
              <a:latin typeface="Arial"/>
              <a:cs typeface="Arial"/>
            </a:rPr>
            <a:t>Mur de captage (en beton dose' a 300 kg/m3) - dimensions moyennes L=2.0m; l=0.2m max; H=0.8m ancre' dans le sol impermeable</a:t>
          </a:r>
        </a:p>
      </xdr:txBody>
    </xdr:sp>
    <xdr:clientData/>
  </xdr:twoCellAnchor>
  <xdr:twoCellAnchor>
    <xdr:from>
      <xdr:col>7</xdr:col>
      <xdr:colOff>317500</xdr:colOff>
      <xdr:row>5</xdr:row>
      <xdr:rowOff>139700</xdr:rowOff>
    </xdr:from>
    <xdr:to>
      <xdr:col>7</xdr:col>
      <xdr:colOff>317500</xdr:colOff>
      <xdr:row>25</xdr:row>
      <xdr:rowOff>19050</xdr:rowOff>
    </xdr:to>
    <xdr:sp macro="" textlink="">
      <xdr:nvSpPr>
        <xdr:cNvPr id="883525" name="Line 98">
          <a:extLst>
            <a:ext uri="{FF2B5EF4-FFF2-40B4-BE49-F238E27FC236}">
              <a16:creationId xmlns="" xmlns:a16="http://schemas.microsoft.com/office/drawing/2014/main" id="{00000000-0008-0000-2B00-0000457B0D00}"/>
            </a:ext>
          </a:extLst>
        </xdr:cNvPr>
        <xdr:cNvSpPr>
          <a:spLocks noChangeShapeType="1"/>
        </xdr:cNvSpPr>
      </xdr:nvSpPr>
      <xdr:spPr bwMode="auto">
        <a:xfrm>
          <a:off x="4584700" y="1123950"/>
          <a:ext cx="0" cy="3816350"/>
        </a:xfrm>
        <a:prstGeom prst="line">
          <a:avLst/>
        </a:prstGeom>
        <a:noFill/>
        <a:ln w="9525">
          <a:solidFill>
            <a:srgbClr val="000000"/>
          </a:solidFill>
          <a:round/>
          <a:headEnd type="triangle" w="sm" len="med"/>
          <a:tailEnd type="triangle" w="sm" len="med"/>
        </a:ln>
        <a:extLst>
          <a:ext uri="{909E8E84-426E-40DD-AFC4-6F175D3DCCD1}">
            <a14:hiddenFill xmlns:a14="http://schemas.microsoft.com/office/drawing/2010/main">
              <a:noFill/>
            </a14:hiddenFill>
          </a:ext>
        </a:extLst>
      </xdr:spPr>
    </xdr:sp>
    <xdr:clientData/>
  </xdr:twoCellAnchor>
  <xdr:twoCellAnchor>
    <xdr:from>
      <xdr:col>7</xdr:col>
      <xdr:colOff>336550</xdr:colOff>
      <xdr:row>12</xdr:row>
      <xdr:rowOff>96520</xdr:rowOff>
    </xdr:from>
    <xdr:to>
      <xdr:col>8</xdr:col>
      <xdr:colOff>227746</xdr:colOff>
      <xdr:row>13</xdr:row>
      <xdr:rowOff>116303</xdr:rowOff>
    </xdr:to>
    <xdr:sp macro="" textlink="">
      <xdr:nvSpPr>
        <xdr:cNvPr id="96" name="Text Box 99">
          <a:extLst>
            <a:ext uri="{FF2B5EF4-FFF2-40B4-BE49-F238E27FC236}">
              <a16:creationId xmlns="" xmlns:a16="http://schemas.microsoft.com/office/drawing/2014/main" id="{00000000-0008-0000-2B00-000060000000}"/>
            </a:ext>
          </a:extLst>
        </xdr:cNvPr>
        <xdr:cNvSpPr txBox="1">
          <a:spLocks noChangeArrowheads="1"/>
        </xdr:cNvSpPr>
      </xdr:nvSpPr>
      <xdr:spPr bwMode="auto">
        <a:xfrm>
          <a:off x="4695825" y="2524125"/>
          <a:ext cx="466725" cy="24774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2.00 m</a:t>
          </a:r>
        </a:p>
      </xdr:txBody>
    </xdr:sp>
    <xdr:clientData/>
  </xdr:twoCellAnchor>
  <xdr:twoCellAnchor>
    <xdr:from>
      <xdr:col>6</xdr:col>
      <xdr:colOff>476250</xdr:colOff>
      <xdr:row>5</xdr:row>
      <xdr:rowOff>44450</xdr:rowOff>
    </xdr:from>
    <xdr:to>
      <xdr:col>7</xdr:col>
      <xdr:colOff>241300</xdr:colOff>
      <xdr:row>5</xdr:row>
      <xdr:rowOff>44450</xdr:rowOff>
    </xdr:to>
    <xdr:sp macro="" textlink="">
      <xdr:nvSpPr>
        <xdr:cNvPr id="883527" name="Line 100">
          <a:extLst>
            <a:ext uri="{FF2B5EF4-FFF2-40B4-BE49-F238E27FC236}">
              <a16:creationId xmlns="" xmlns:a16="http://schemas.microsoft.com/office/drawing/2014/main" id="{00000000-0008-0000-2B00-0000477B0D00}"/>
            </a:ext>
          </a:extLst>
        </xdr:cNvPr>
        <xdr:cNvSpPr>
          <a:spLocks noChangeShapeType="1"/>
        </xdr:cNvSpPr>
      </xdr:nvSpPr>
      <xdr:spPr bwMode="auto">
        <a:xfrm flipV="1">
          <a:off x="4133850" y="1028700"/>
          <a:ext cx="374650" cy="0"/>
        </a:xfrm>
        <a:prstGeom prst="line">
          <a:avLst/>
        </a:prstGeom>
        <a:noFill/>
        <a:ln w="9525">
          <a:solidFill>
            <a:srgbClr val="000000"/>
          </a:solidFill>
          <a:round/>
          <a:headEnd type="triangle" w="sm" len="med"/>
          <a:tailEnd type="triangle" w="sm" len="med"/>
        </a:ln>
        <a:extLst>
          <a:ext uri="{909E8E84-426E-40DD-AFC4-6F175D3DCCD1}">
            <a14:hiddenFill xmlns:a14="http://schemas.microsoft.com/office/drawing/2010/main">
              <a:noFill/>
            </a14:hiddenFill>
          </a:ext>
        </a:extLst>
      </xdr:spPr>
    </xdr:sp>
    <xdr:clientData/>
  </xdr:twoCellAnchor>
  <xdr:twoCellAnchor>
    <xdr:from>
      <xdr:col>6</xdr:col>
      <xdr:colOff>448945</xdr:colOff>
      <xdr:row>3</xdr:row>
      <xdr:rowOff>114935</xdr:rowOff>
    </xdr:from>
    <xdr:to>
      <xdr:col>7</xdr:col>
      <xdr:colOff>343103</xdr:colOff>
      <xdr:row>5</xdr:row>
      <xdr:rowOff>20197</xdr:rowOff>
    </xdr:to>
    <xdr:sp macro="" textlink="">
      <xdr:nvSpPr>
        <xdr:cNvPr id="98" name="Text Box 101">
          <a:extLst>
            <a:ext uri="{FF2B5EF4-FFF2-40B4-BE49-F238E27FC236}">
              <a16:creationId xmlns="" xmlns:a16="http://schemas.microsoft.com/office/drawing/2014/main" id="{00000000-0008-0000-2B00-000062000000}"/>
            </a:ext>
          </a:extLst>
        </xdr:cNvPr>
        <xdr:cNvSpPr txBox="1">
          <a:spLocks noChangeArrowheads="1"/>
        </xdr:cNvSpPr>
      </xdr:nvSpPr>
      <xdr:spPr bwMode="auto">
        <a:xfrm>
          <a:off x="4200525" y="771525"/>
          <a:ext cx="466725" cy="247146"/>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0.2 m</a:t>
          </a:r>
        </a:p>
      </xdr:txBody>
    </xdr:sp>
    <xdr:clientData/>
  </xdr:twoCellAnchor>
  <xdr:twoCellAnchor>
    <xdr:from>
      <xdr:col>3</xdr:col>
      <xdr:colOff>184150</xdr:colOff>
      <xdr:row>18</xdr:row>
      <xdr:rowOff>139700</xdr:rowOff>
    </xdr:from>
    <xdr:to>
      <xdr:col>3</xdr:col>
      <xdr:colOff>323850</xdr:colOff>
      <xdr:row>19</xdr:row>
      <xdr:rowOff>114300</xdr:rowOff>
    </xdr:to>
    <xdr:sp macro="" textlink="">
      <xdr:nvSpPr>
        <xdr:cNvPr id="883529" name="Freeform 104">
          <a:extLst>
            <a:ext uri="{FF2B5EF4-FFF2-40B4-BE49-F238E27FC236}">
              <a16:creationId xmlns="" xmlns:a16="http://schemas.microsoft.com/office/drawing/2014/main" id="{00000000-0008-0000-2B00-0000497B0D00}"/>
            </a:ext>
          </a:extLst>
        </xdr:cNvPr>
        <xdr:cNvSpPr>
          <a:spLocks/>
        </xdr:cNvSpPr>
      </xdr:nvSpPr>
      <xdr:spPr bwMode="auto">
        <a:xfrm>
          <a:off x="2012950" y="3683000"/>
          <a:ext cx="139700" cy="171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190500</xdr:colOff>
      <xdr:row>19</xdr:row>
      <xdr:rowOff>95250</xdr:rowOff>
    </xdr:from>
    <xdr:to>
      <xdr:col>3</xdr:col>
      <xdr:colOff>336550</xdr:colOff>
      <xdr:row>20</xdr:row>
      <xdr:rowOff>82550</xdr:rowOff>
    </xdr:to>
    <xdr:sp macro="" textlink="">
      <xdr:nvSpPr>
        <xdr:cNvPr id="883530" name="Freeform 105">
          <a:extLst>
            <a:ext uri="{FF2B5EF4-FFF2-40B4-BE49-F238E27FC236}">
              <a16:creationId xmlns="" xmlns:a16="http://schemas.microsoft.com/office/drawing/2014/main" id="{00000000-0008-0000-2B00-00004A7B0D00}"/>
            </a:ext>
          </a:extLst>
        </xdr:cNvPr>
        <xdr:cNvSpPr>
          <a:spLocks/>
        </xdr:cNvSpPr>
      </xdr:nvSpPr>
      <xdr:spPr bwMode="auto">
        <a:xfrm>
          <a:off x="2019300" y="3835400"/>
          <a:ext cx="146050" cy="1841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9</xdr:col>
      <xdr:colOff>374650</xdr:colOff>
      <xdr:row>16</xdr:row>
      <xdr:rowOff>38100</xdr:rowOff>
    </xdr:from>
    <xdr:to>
      <xdr:col>10</xdr:col>
      <xdr:colOff>19050</xdr:colOff>
      <xdr:row>22</xdr:row>
      <xdr:rowOff>120650</xdr:rowOff>
    </xdr:to>
    <xdr:sp macro="" textlink="">
      <xdr:nvSpPr>
        <xdr:cNvPr id="883531" name="Line 106">
          <a:extLst>
            <a:ext uri="{FF2B5EF4-FFF2-40B4-BE49-F238E27FC236}">
              <a16:creationId xmlns="" xmlns:a16="http://schemas.microsoft.com/office/drawing/2014/main" id="{00000000-0008-0000-2B00-00004B7B0D00}"/>
            </a:ext>
          </a:extLst>
        </xdr:cNvPr>
        <xdr:cNvSpPr>
          <a:spLocks noChangeShapeType="1"/>
        </xdr:cNvSpPr>
      </xdr:nvSpPr>
      <xdr:spPr bwMode="auto">
        <a:xfrm flipV="1">
          <a:off x="5861050" y="3187700"/>
          <a:ext cx="254000" cy="12636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8</xdr:col>
      <xdr:colOff>482600</xdr:colOff>
      <xdr:row>22</xdr:row>
      <xdr:rowOff>80010</xdr:rowOff>
    </xdr:from>
    <xdr:to>
      <xdr:col>11</xdr:col>
      <xdr:colOff>354175</xdr:colOff>
      <xdr:row>25</xdr:row>
      <xdr:rowOff>79663</xdr:rowOff>
    </xdr:to>
    <xdr:sp macro="" textlink="">
      <xdr:nvSpPr>
        <xdr:cNvPr id="102" name="Text Box 107">
          <a:extLst>
            <a:ext uri="{FF2B5EF4-FFF2-40B4-BE49-F238E27FC236}">
              <a16:creationId xmlns="" xmlns:a16="http://schemas.microsoft.com/office/drawing/2014/main" id="{00000000-0008-0000-2B00-000066000000}"/>
            </a:ext>
          </a:extLst>
        </xdr:cNvPr>
        <xdr:cNvSpPr txBox="1">
          <a:spLocks noChangeArrowheads="1"/>
        </xdr:cNvSpPr>
      </xdr:nvSpPr>
      <xdr:spPr bwMode="auto">
        <a:xfrm>
          <a:off x="5457825" y="4514850"/>
          <a:ext cx="1695450" cy="60007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Tuyau d'adduction PVC50 PN10 ou PVC40 PN10 - minimum slope/pente 3% en direction de l'aire de puisage</a:t>
          </a:r>
        </a:p>
      </xdr:txBody>
    </xdr:sp>
    <xdr:clientData/>
  </xdr:twoCellAnchor>
  <xdr:twoCellAnchor>
    <xdr:from>
      <xdr:col>8</xdr:col>
      <xdr:colOff>88900</xdr:colOff>
      <xdr:row>16</xdr:row>
      <xdr:rowOff>120650</xdr:rowOff>
    </xdr:from>
    <xdr:to>
      <xdr:col>9</xdr:col>
      <xdr:colOff>88900</xdr:colOff>
      <xdr:row>16</xdr:row>
      <xdr:rowOff>120650</xdr:rowOff>
    </xdr:to>
    <xdr:sp macro="" textlink="">
      <xdr:nvSpPr>
        <xdr:cNvPr id="883533" name="Line 108">
          <a:extLst>
            <a:ext uri="{FF2B5EF4-FFF2-40B4-BE49-F238E27FC236}">
              <a16:creationId xmlns="" xmlns:a16="http://schemas.microsoft.com/office/drawing/2014/main" id="{00000000-0008-0000-2B00-00004D7B0D00}"/>
            </a:ext>
          </a:extLst>
        </xdr:cNvPr>
        <xdr:cNvSpPr>
          <a:spLocks noChangeShapeType="1"/>
        </xdr:cNvSpPr>
      </xdr:nvSpPr>
      <xdr:spPr bwMode="auto">
        <a:xfrm flipV="1">
          <a:off x="4965700" y="3270250"/>
          <a:ext cx="609600" cy="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8</xdr:col>
      <xdr:colOff>103505</xdr:colOff>
      <xdr:row>17</xdr:row>
      <xdr:rowOff>20955</xdr:rowOff>
    </xdr:from>
    <xdr:to>
      <xdr:col>9</xdr:col>
      <xdr:colOff>141780</xdr:colOff>
      <xdr:row>18</xdr:row>
      <xdr:rowOff>58476</xdr:rowOff>
    </xdr:to>
    <xdr:sp macro="" textlink="">
      <xdr:nvSpPr>
        <xdr:cNvPr id="104" name="Text Box 109">
          <a:extLst>
            <a:ext uri="{FF2B5EF4-FFF2-40B4-BE49-F238E27FC236}">
              <a16:creationId xmlns="" xmlns:a16="http://schemas.microsoft.com/office/drawing/2014/main" id="{00000000-0008-0000-2B00-000068000000}"/>
            </a:ext>
          </a:extLst>
        </xdr:cNvPr>
        <xdr:cNvSpPr txBox="1">
          <a:spLocks noChangeArrowheads="1"/>
        </xdr:cNvSpPr>
      </xdr:nvSpPr>
      <xdr:spPr bwMode="auto">
        <a:xfrm>
          <a:off x="5010150" y="3438525"/>
          <a:ext cx="638175" cy="238224"/>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3% pente</a:t>
          </a:r>
        </a:p>
      </xdr:txBody>
    </xdr:sp>
    <xdr:clientData/>
  </xdr:twoCellAnchor>
  <xdr:twoCellAnchor>
    <xdr:from>
      <xdr:col>10</xdr:col>
      <xdr:colOff>231140</xdr:colOff>
      <xdr:row>8</xdr:row>
      <xdr:rowOff>96520</xdr:rowOff>
    </xdr:from>
    <xdr:to>
      <xdr:col>13</xdr:col>
      <xdr:colOff>140471</xdr:colOff>
      <xdr:row>10</xdr:row>
      <xdr:rowOff>110805</xdr:rowOff>
    </xdr:to>
    <xdr:sp macro="" textlink="">
      <xdr:nvSpPr>
        <xdr:cNvPr id="105" name="Text Box 110">
          <a:extLst>
            <a:ext uri="{FF2B5EF4-FFF2-40B4-BE49-F238E27FC236}">
              <a16:creationId xmlns="" xmlns:a16="http://schemas.microsoft.com/office/drawing/2014/main" id="{00000000-0008-0000-2B00-000069000000}"/>
            </a:ext>
          </a:extLst>
        </xdr:cNvPr>
        <xdr:cNvSpPr txBox="1">
          <a:spLocks noChangeArrowheads="1"/>
        </xdr:cNvSpPr>
      </xdr:nvSpPr>
      <xdr:spPr bwMode="auto">
        <a:xfrm>
          <a:off x="6400800" y="1724025"/>
          <a:ext cx="1695450" cy="40005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Tuyau de trop-plein PVC50 PN10 ou PVC40 PN10</a:t>
          </a:r>
        </a:p>
      </xdr:txBody>
    </xdr:sp>
    <xdr:clientData/>
  </xdr:twoCellAnchor>
  <xdr:twoCellAnchor>
    <xdr:from>
      <xdr:col>11</xdr:col>
      <xdr:colOff>317500</xdr:colOff>
      <xdr:row>11</xdr:row>
      <xdr:rowOff>0</xdr:rowOff>
    </xdr:from>
    <xdr:to>
      <xdr:col>12</xdr:col>
      <xdr:colOff>69850</xdr:colOff>
      <xdr:row>15</xdr:row>
      <xdr:rowOff>25400</xdr:rowOff>
    </xdr:to>
    <xdr:sp macro="" textlink="">
      <xdr:nvSpPr>
        <xdr:cNvPr id="883536" name="Line 111">
          <a:extLst>
            <a:ext uri="{FF2B5EF4-FFF2-40B4-BE49-F238E27FC236}">
              <a16:creationId xmlns="" xmlns:a16="http://schemas.microsoft.com/office/drawing/2014/main" id="{00000000-0008-0000-2B00-0000507B0D00}"/>
            </a:ext>
          </a:extLst>
        </xdr:cNvPr>
        <xdr:cNvSpPr>
          <a:spLocks noChangeShapeType="1"/>
        </xdr:cNvSpPr>
      </xdr:nvSpPr>
      <xdr:spPr bwMode="auto">
        <a:xfrm>
          <a:off x="7023100" y="2165350"/>
          <a:ext cx="361950" cy="81280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5</xdr:col>
      <xdr:colOff>247650</xdr:colOff>
      <xdr:row>15</xdr:row>
      <xdr:rowOff>139700</xdr:rowOff>
    </xdr:from>
    <xdr:to>
      <xdr:col>6</xdr:col>
      <xdr:colOff>476250</xdr:colOff>
      <xdr:row>16</xdr:row>
      <xdr:rowOff>57150</xdr:rowOff>
    </xdr:to>
    <xdr:sp macro="" textlink="">
      <xdr:nvSpPr>
        <xdr:cNvPr id="883537" name="Rectangle 112">
          <a:extLst>
            <a:ext uri="{FF2B5EF4-FFF2-40B4-BE49-F238E27FC236}">
              <a16:creationId xmlns="" xmlns:a16="http://schemas.microsoft.com/office/drawing/2014/main" id="{00000000-0008-0000-2B00-0000517B0D00}"/>
            </a:ext>
          </a:extLst>
        </xdr:cNvPr>
        <xdr:cNvSpPr>
          <a:spLocks noChangeArrowheads="1"/>
        </xdr:cNvSpPr>
      </xdr:nvSpPr>
      <xdr:spPr bwMode="auto">
        <a:xfrm>
          <a:off x="3295650" y="3092450"/>
          <a:ext cx="838200" cy="114300"/>
        </a:xfrm>
        <a:prstGeom prst="rect">
          <a:avLst/>
        </a:prstGeom>
        <a:solidFill>
          <a:srgbClr val="33CCCC">
            <a:alpha val="50195"/>
          </a:srgbClr>
        </a:solidFill>
        <a:ln w="9525">
          <a:solidFill>
            <a:srgbClr val="000000"/>
          </a:solidFill>
          <a:miter lim="800000"/>
          <a:headEnd/>
          <a:tailEnd/>
        </a:ln>
      </xdr:spPr>
    </xdr:sp>
    <xdr:clientData/>
  </xdr:twoCellAnchor>
  <xdr:twoCellAnchor>
    <xdr:from>
      <xdr:col>5</xdr:col>
      <xdr:colOff>209550</xdr:colOff>
      <xdr:row>15</xdr:row>
      <xdr:rowOff>139700</xdr:rowOff>
    </xdr:from>
    <xdr:to>
      <xdr:col>5</xdr:col>
      <xdr:colOff>457200</xdr:colOff>
      <xdr:row>18</xdr:row>
      <xdr:rowOff>63500</xdr:rowOff>
    </xdr:to>
    <xdr:sp macro="" textlink="">
      <xdr:nvSpPr>
        <xdr:cNvPr id="883538" name="Line 113">
          <a:extLst>
            <a:ext uri="{FF2B5EF4-FFF2-40B4-BE49-F238E27FC236}">
              <a16:creationId xmlns="" xmlns:a16="http://schemas.microsoft.com/office/drawing/2014/main" id="{00000000-0008-0000-2B00-0000527B0D00}"/>
            </a:ext>
          </a:extLst>
        </xdr:cNvPr>
        <xdr:cNvSpPr>
          <a:spLocks noChangeShapeType="1"/>
        </xdr:cNvSpPr>
      </xdr:nvSpPr>
      <xdr:spPr bwMode="auto">
        <a:xfrm flipV="1">
          <a:off x="3257550" y="3092450"/>
          <a:ext cx="247650" cy="5143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4</xdr:col>
      <xdr:colOff>196850</xdr:colOff>
      <xdr:row>18</xdr:row>
      <xdr:rowOff>56515</xdr:rowOff>
    </xdr:from>
    <xdr:to>
      <xdr:col>5</xdr:col>
      <xdr:colOff>421347</xdr:colOff>
      <xdr:row>19</xdr:row>
      <xdr:rowOff>36319</xdr:rowOff>
    </xdr:to>
    <xdr:sp macro="" textlink="">
      <xdr:nvSpPr>
        <xdr:cNvPr id="109" name="Text Box 114">
          <a:extLst>
            <a:ext uri="{FF2B5EF4-FFF2-40B4-BE49-F238E27FC236}">
              <a16:creationId xmlns="" xmlns:a16="http://schemas.microsoft.com/office/drawing/2014/main" id="{00000000-0008-0000-2B00-00006D000000}"/>
            </a:ext>
          </a:extLst>
        </xdr:cNvPr>
        <xdr:cNvSpPr txBox="1">
          <a:spLocks noChangeArrowheads="1"/>
        </xdr:cNvSpPr>
      </xdr:nvSpPr>
      <xdr:spPr bwMode="auto">
        <a:xfrm>
          <a:off x="2686050" y="3667125"/>
          <a:ext cx="857250" cy="200025"/>
        </a:xfrm>
        <a:prstGeom prst="rect">
          <a:avLst/>
        </a:prstGeom>
        <a:solidFill>
          <a:srgbClr val="FFFFFF"/>
        </a:solidFill>
        <a:ln w="9525">
          <a:noFill/>
          <a:miter lim="800000"/>
          <a:headEnd/>
          <a:tailEnd/>
        </a:ln>
        <a:effectLst/>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Tuyau PVC 50</a:t>
          </a:r>
        </a:p>
      </xdr:txBody>
    </xdr:sp>
    <xdr:clientData/>
  </xdr:twoCellAnchor>
  <xdr:twoCellAnchor>
    <xdr:from>
      <xdr:col>7</xdr:col>
      <xdr:colOff>448945</xdr:colOff>
      <xdr:row>4</xdr:row>
      <xdr:rowOff>96520</xdr:rowOff>
    </xdr:from>
    <xdr:to>
      <xdr:col>9</xdr:col>
      <xdr:colOff>462953</xdr:colOff>
      <xdr:row>5</xdr:row>
      <xdr:rowOff>175851</xdr:rowOff>
    </xdr:to>
    <xdr:sp macro="" textlink="">
      <xdr:nvSpPr>
        <xdr:cNvPr id="110" name="Text Box 117">
          <a:extLst>
            <a:ext uri="{FF2B5EF4-FFF2-40B4-BE49-F238E27FC236}">
              <a16:creationId xmlns="" xmlns:a16="http://schemas.microsoft.com/office/drawing/2014/main" id="{00000000-0008-0000-2B00-00006E000000}"/>
            </a:ext>
          </a:extLst>
        </xdr:cNvPr>
        <xdr:cNvSpPr txBox="1">
          <a:spLocks noChangeArrowheads="1"/>
        </xdr:cNvSpPr>
      </xdr:nvSpPr>
      <xdr:spPr bwMode="auto">
        <a:xfrm>
          <a:off x="4810125" y="904875"/>
          <a:ext cx="1238250" cy="28772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1100" b="0" i="0" u="none" strike="noStrike" baseline="0">
              <a:solidFill>
                <a:srgbClr val="000000"/>
              </a:solidFill>
              <a:latin typeface="Arial"/>
              <a:cs typeface="Arial"/>
            </a:rPr>
            <a:t>Terrain remblais</a:t>
          </a:r>
        </a:p>
      </xdr:txBody>
    </xdr:sp>
    <xdr:clientData/>
  </xdr:twoCellAnchor>
  <xdr:twoCellAnchor>
    <xdr:from>
      <xdr:col>13</xdr:col>
      <xdr:colOff>317500</xdr:colOff>
      <xdr:row>30</xdr:row>
      <xdr:rowOff>95250</xdr:rowOff>
    </xdr:from>
    <xdr:to>
      <xdr:col>14</xdr:col>
      <xdr:colOff>76200</xdr:colOff>
      <xdr:row>33</xdr:row>
      <xdr:rowOff>38100</xdr:rowOff>
    </xdr:to>
    <xdr:sp macro="" textlink="">
      <xdr:nvSpPr>
        <xdr:cNvPr id="883541" name="Line 118">
          <a:extLst>
            <a:ext uri="{FF2B5EF4-FFF2-40B4-BE49-F238E27FC236}">
              <a16:creationId xmlns="" xmlns:a16="http://schemas.microsoft.com/office/drawing/2014/main" id="{00000000-0008-0000-2B00-0000557B0D00}"/>
            </a:ext>
          </a:extLst>
        </xdr:cNvPr>
        <xdr:cNvSpPr>
          <a:spLocks noChangeShapeType="1"/>
        </xdr:cNvSpPr>
      </xdr:nvSpPr>
      <xdr:spPr bwMode="auto">
        <a:xfrm flipV="1">
          <a:off x="8242300" y="6000750"/>
          <a:ext cx="368300" cy="53340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9</xdr:col>
      <xdr:colOff>462915</xdr:colOff>
      <xdr:row>33</xdr:row>
      <xdr:rowOff>19685</xdr:rowOff>
    </xdr:from>
    <xdr:to>
      <xdr:col>13</xdr:col>
      <xdr:colOff>335712</xdr:colOff>
      <xdr:row>35</xdr:row>
      <xdr:rowOff>37352</xdr:rowOff>
    </xdr:to>
    <xdr:sp macro="" textlink="">
      <xdr:nvSpPr>
        <xdr:cNvPr id="112" name="Text Box 119">
          <a:extLst>
            <a:ext uri="{FF2B5EF4-FFF2-40B4-BE49-F238E27FC236}">
              <a16:creationId xmlns="" xmlns:a16="http://schemas.microsoft.com/office/drawing/2014/main" id="{00000000-0008-0000-2B00-000070000000}"/>
            </a:ext>
          </a:extLst>
        </xdr:cNvPr>
        <xdr:cNvSpPr txBox="1">
          <a:spLocks noChangeArrowheads="1"/>
        </xdr:cNvSpPr>
      </xdr:nvSpPr>
      <xdr:spPr bwMode="auto">
        <a:xfrm>
          <a:off x="6048375" y="6619875"/>
          <a:ext cx="2286000" cy="43825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Mur de l'aire de puisage maconne' en moeillons avec lissage au mortier hydrofuge'</a:t>
          </a:r>
        </a:p>
      </xdr:txBody>
    </xdr:sp>
    <xdr:clientData/>
  </xdr:twoCellAnchor>
  <xdr:twoCellAnchor>
    <xdr:from>
      <xdr:col>14</xdr:col>
      <xdr:colOff>431800</xdr:colOff>
      <xdr:row>31</xdr:row>
      <xdr:rowOff>6350</xdr:rowOff>
    </xdr:from>
    <xdr:to>
      <xdr:col>15</xdr:col>
      <xdr:colOff>285750</xdr:colOff>
      <xdr:row>36</xdr:row>
      <xdr:rowOff>38100</xdr:rowOff>
    </xdr:to>
    <xdr:sp macro="" textlink="">
      <xdr:nvSpPr>
        <xdr:cNvPr id="883543" name="Line 121">
          <a:extLst>
            <a:ext uri="{FF2B5EF4-FFF2-40B4-BE49-F238E27FC236}">
              <a16:creationId xmlns="" xmlns:a16="http://schemas.microsoft.com/office/drawing/2014/main" id="{00000000-0008-0000-2B00-0000577B0D00}"/>
            </a:ext>
          </a:extLst>
        </xdr:cNvPr>
        <xdr:cNvSpPr>
          <a:spLocks noChangeShapeType="1"/>
        </xdr:cNvSpPr>
      </xdr:nvSpPr>
      <xdr:spPr bwMode="auto">
        <a:xfrm flipV="1">
          <a:off x="8966200" y="6108700"/>
          <a:ext cx="463550" cy="101600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14</xdr:col>
      <xdr:colOff>67945</xdr:colOff>
      <xdr:row>36</xdr:row>
      <xdr:rowOff>57785</xdr:rowOff>
    </xdr:from>
    <xdr:to>
      <xdr:col>16</xdr:col>
      <xdr:colOff>190452</xdr:colOff>
      <xdr:row>38</xdr:row>
      <xdr:rowOff>57785</xdr:rowOff>
    </xdr:to>
    <xdr:sp macro="" textlink="">
      <xdr:nvSpPr>
        <xdr:cNvPr id="114" name="Text Box 122">
          <a:extLst>
            <a:ext uri="{FF2B5EF4-FFF2-40B4-BE49-F238E27FC236}">
              <a16:creationId xmlns="" xmlns:a16="http://schemas.microsoft.com/office/drawing/2014/main" id="{00000000-0008-0000-2B00-000072000000}"/>
            </a:ext>
          </a:extLst>
        </xdr:cNvPr>
        <xdr:cNvSpPr txBox="1">
          <a:spLocks noChangeArrowheads="1"/>
        </xdr:cNvSpPr>
      </xdr:nvSpPr>
      <xdr:spPr bwMode="auto">
        <a:xfrm>
          <a:off x="8553450" y="7248525"/>
          <a:ext cx="1428750" cy="40005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Marche d'escalier (L=1.2m, l=0.3m, H=0.15m</a:t>
          </a:r>
        </a:p>
      </xdr:txBody>
    </xdr:sp>
    <xdr:clientData/>
  </xdr:twoCellAnchor>
  <xdr:twoCellAnchor>
    <xdr:from>
      <xdr:col>17</xdr:col>
      <xdr:colOff>462915</xdr:colOff>
      <xdr:row>14</xdr:row>
      <xdr:rowOff>118745</xdr:rowOff>
    </xdr:from>
    <xdr:to>
      <xdr:col>19</xdr:col>
      <xdr:colOff>274398</xdr:colOff>
      <xdr:row>15</xdr:row>
      <xdr:rowOff>134291</xdr:rowOff>
    </xdr:to>
    <xdr:sp macro="" textlink="">
      <xdr:nvSpPr>
        <xdr:cNvPr id="115" name="Text Box 123">
          <a:extLst>
            <a:ext uri="{FF2B5EF4-FFF2-40B4-BE49-F238E27FC236}">
              <a16:creationId xmlns="" xmlns:a16="http://schemas.microsoft.com/office/drawing/2014/main" id="{00000000-0008-0000-2B00-000073000000}"/>
            </a:ext>
          </a:extLst>
        </xdr:cNvPr>
        <xdr:cNvSpPr txBox="1">
          <a:spLocks noChangeArrowheads="1"/>
        </xdr:cNvSpPr>
      </xdr:nvSpPr>
      <xdr:spPr bwMode="auto">
        <a:xfrm>
          <a:off x="10925175" y="2952750"/>
          <a:ext cx="1000125" cy="21874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Aire d'evacuation</a:t>
          </a:r>
        </a:p>
      </xdr:txBody>
    </xdr:sp>
    <xdr:clientData/>
  </xdr:twoCellAnchor>
  <xdr:twoCellAnchor>
    <xdr:from>
      <xdr:col>18</xdr:col>
      <xdr:colOff>355600</xdr:colOff>
      <xdr:row>19</xdr:row>
      <xdr:rowOff>139700</xdr:rowOff>
    </xdr:from>
    <xdr:to>
      <xdr:col>19</xdr:col>
      <xdr:colOff>184150</xdr:colOff>
      <xdr:row>22</xdr:row>
      <xdr:rowOff>120650</xdr:rowOff>
    </xdr:to>
    <xdr:sp macro="" textlink="">
      <xdr:nvSpPr>
        <xdr:cNvPr id="883546" name="Line 124">
          <a:extLst>
            <a:ext uri="{FF2B5EF4-FFF2-40B4-BE49-F238E27FC236}">
              <a16:creationId xmlns="" xmlns:a16="http://schemas.microsoft.com/office/drawing/2014/main" id="{00000000-0008-0000-2B00-00005A7B0D00}"/>
            </a:ext>
          </a:extLst>
        </xdr:cNvPr>
        <xdr:cNvSpPr>
          <a:spLocks noChangeShapeType="1"/>
        </xdr:cNvSpPr>
      </xdr:nvSpPr>
      <xdr:spPr bwMode="auto">
        <a:xfrm flipH="1" flipV="1">
          <a:off x="11328400" y="3879850"/>
          <a:ext cx="438150" cy="57150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18</xdr:col>
      <xdr:colOff>102870</xdr:colOff>
      <xdr:row>23</xdr:row>
      <xdr:rowOff>0</xdr:rowOff>
    </xdr:from>
    <xdr:to>
      <xdr:col>20</xdr:col>
      <xdr:colOff>2208</xdr:colOff>
      <xdr:row>26</xdr:row>
      <xdr:rowOff>151084</xdr:rowOff>
    </xdr:to>
    <xdr:sp macro="" textlink="">
      <xdr:nvSpPr>
        <xdr:cNvPr id="117" name="Text Box 125">
          <a:extLst>
            <a:ext uri="{FF2B5EF4-FFF2-40B4-BE49-F238E27FC236}">
              <a16:creationId xmlns="" xmlns:a16="http://schemas.microsoft.com/office/drawing/2014/main" id="{00000000-0008-0000-2B00-000075000000}"/>
            </a:ext>
          </a:extLst>
        </xdr:cNvPr>
        <xdr:cNvSpPr txBox="1">
          <a:spLocks noChangeArrowheads="1"/>
        </xdr:cNvSpPr>
      </xdr:nvSpPr>
      <xdr:spPr bwMode="auto">
        <a:xfrm>
          <a:off x="11087100" y="4600575"/>
          <a:ext cx="1133475" cy="771418"/>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lnSpc>
              <a:spcPts val="900"/>
            </a:lnSpc>
            <a:defRPr sz="1000"/>
          </a:pPr>
          <a:r>
            <a:rPr lang="en-GB" sz="900" b="0" i="0" u="none" strike="noStrike" baseline="0">
              <a:solidFill>
                <a:srgbClr val="000000"/>
              </a:solidFill>
              <a:latin typeface="Arial"/>
              <a:cs typeface="Arial"/>
            </a:rPr>
            <a:t>Bordure de l'aire d'evacuation (minimum dimensions l=0.1 m, H=0.1m)</a:t>
          </a:r>
        </a:p>
      </xdr:txBody>
    </xdr:sp>
    <xdr:clientData/>
  </xdr:twoCellAnchor>
  <xdr:twoCellAnchor>
    <xdr:from>
      <xdr:col>14</xdr:col>
      <xdr:colOff>400050</xdr:colOff>
      <xdr:row>16</xdr:row>
      <xdr:rowOff>6350</xdr:rowOff>
    </xdr:from>
    <xdr:to>
      <xdr:col>15</xdr:col>
      <xdr:colOff>107950</xdr:colOff>
      <xdr:row>18</xdr:row>
      <xdr:rowOff>95250</xdr:rowOff>
    </xdr:to>
    <xdr:sp macro="" textlink="">
      <xdr:nvSpPr>
        <xdr:cNvPr id="883548" name="Line 127">
          <a:extLst>
            <a:ext uri="{FF2B5EF4-FFF2-40B4-BE49-F238E27FC236}">
              <a16:creationId xmlns="" xmlns:a16="http://schemas.microsoft.com/office/drawing/2014/main" id="{00000000-0008-0000-2B00-00005C7B0D00}"/>
            </a:ext>
          </a:extLst>
        </xdr:cNvPr>
        <xdr:cNvSpPr>
          <a:spLocks noChangeShapeType="1"/>
        </xdr:cNvSpPr>
      </xdr:nvSpPr>
      <xdr:spPr bwMode="auto">
        <a:xfrm flipH="1" flipV="1">
          <a:off x="8934450" y="3155950"/>
          <a:ext cx="317500" cy="48260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14</xdr:col>
      <xdr:colOff>334645</xdr:colOff>
      <xdr:row>17</xdr:row>
      <xdr:rowOff>114935</xdr:rowOff>
    </xdr:from>
    <xdr:to>
      <xdr:col>17</xdr:col>
      <xdr:colOff>226069</xdr:colOff>
      <xdr:row>20</xdr:row>
      <xdr:rowOff>150238</xdr:rowOff>
    </xdr:to>
    <xdr:sp macro="" textlink="">
      <xdr:nvSpPr>
        <xdr:cNvPr id="119" name="Text Box 128">
          <a:extLst>
            <a:ext uri="{FF2B5EF4-FFF2-40B4-BE49-F238E27FC236}">
              <a16:creationId xmlns="" xmlns:a16="http://schemas.microsoft.com/office/drawing/2014/main" id="{00000000-0008-0000-2B00-000077000000}"/>
            </a:ext>
          </a:extLst>
        </xdr:cNvPr>
        <xdr:cNvSpPr txBox="1">
          <a:spLocks noChangeArrowheads="1"/>
        </xdr:cNvSpPr>
      </xdr:nvSpPr>
      <xdr:spPr bwMode="auto">
        <a:xfrm>
          <a:off x="8934450" y="3571875"/>
          <a:ext cx="1695450" cy="60007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Gaine de protection en tuyau galvanise' 2" (longeur=0.6m pour traverser le mur)</a:t>
          </a:r>
        </a:p>
      </xdr:txBody>
    </xdr:sp>
    <xdr:clientData/>
  </xdr:twoCellAnchor>
  <xdr:twoCellAnchor>
    <xdr:from>
      <xdr:col>15</xdr:col>
      <xdr:colOff>57150</xdr:colOff>
      <xdr:row>10</xdr:row>
      <xdr:rowOff>139700</xdr:rowOff>
    </xdr:from>
    <xdr:to>
      <xdr:col>15</xdr:col>
      <xdr:colOff>279400</xdr:colOff>
      <xdr:row>13</xdr:row>
      <xdr:rowOff>95250</xdr:rowOff>
    </xdr:to>
    <xdr:sp macro="" textlink="">
      <xdr:nvSpPr>
        <xdr:cNvPr id="883550" name="Line 129">
          <a:extLst>
            <a:ext uri="{FF2B5EF4-FFF2-40B4-BE49-F238E27FC236}">
              <a16:creationId xmlns="" xmlns:a16="http://schemas.microsoft.com/office/drawing/2014/main" id="{00000000-0008-0000-2B00-00005E7B0D00}"/>
            </a:ext>
          </a:extLst>
        </xdr:cNvPr>
        <xdr:cNvSpPr>
          <a:spLocks noChangeShapeType="1"/>
        </xdr:cNvSpPr>
      </xdr:nvSpPr>
      <xdr:spPr bwMode="auto">
        <a:xfrm flipH="1">
          <a:off x="9201150" y="2108200"/>
          <a:ext cx="222250" cy="54610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14</xdr:col>
      <xdr:colOff>296545</xdr:colOff>
      <xdr:row>9</xdr:row>
      <xdr:rowOff>19685</xdr:rowOff>
    </xdr:from>
    <xdr:to>
      <xdr:col>16</xdr:col>
      <xdr:colOff>460999</xdr:colOff>
      <xdr:row>11</xdr:row>
      <xdr:rowOff>17975</xdr:rowOff>
    </xdr:to>
    <xdr:sp macro="" textlink="">
      <xdr:nvSpPr>
        <xdr:cNvPr id="121" name="Text Box 130">
          <a:extLst>
            <a:ext uri="{FF2B5EF4-FFF2-40B4-BE49-F238E27FC236}">
              <a16:creationId xmlns="" xmlns:a16="http://schemas.microsoft.com/office/drawing/2014/main" id="{00000000-0008-0000-2B00-000079000000}"/>
            </a:ext>
          </a:extLst>
        </xdr:cNvPr>
        <xdr:cNvSpPr txBox="1">
          <a:spLocks noChangeArrowheads="1"/>
        </xdr:cNvSpPr>
      </xdr:nvSpPr>
      <xdr:spPr bwMode="auto">
        <a:xfrm>
          <a:off x="8896350" y="1809750"/>
          <a:ext cx="1409700" cy="438037"/>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Pierre plate noyee dans le beton pour eviter erosion de la dalle</a:t>
          </a:r>
        </a:p>
      </xdr:txBody>
    </xdr:sp>
    <xdr:clientData/>
  </xdr:twoCellAnchor>
  <xdr:twoCellAnchor>
    <xdr:from>
      <xdr:col>16</xdr:col>
      <xdr:colOff>64135</xdr:colOff>
      <xdr:row>13</xdr:row>
      <xdr:rowOff>113665</xdr:rowOff>
    </xdr:from>
    <xdr:to>
      <xdr:col>17</xdr:col>
      <xdr:colOff>258074</xdr:colOff>
      <xdr:row>17</xdr:row>
      <xdr:rowOff>19638</xdr:rowOff>
    </xdr:to>
    <xdr:sp macro="" textlink="">
      <xdr:nvSpPr>
        <xdr:cNvPr id="122" name="Text Box 131">
          <a:extLst>
            <a:ext uri="{FF2B5EF4-FFF2-40B4-BE49-F238E27FC236}">
              <a16:creationId xmlns="" xmlns:a16="http://schemas.microsoft.com/office/drawing/2014/main" id="{00000000-0008-0000-2B00-00007A000000}"/>
            </a:ext>
          </a:extLst>
        </xdr:cNvPr>
        <xdr:cNvSpPr txBox="1">
          <a:spLocks noChangeArrowheads="1"/>
        </xdr:cNvSpPr>
      </xdr:nvSpPr>
      <xdr:spPr bwMode="auto">
        <a:xfrm>
          <a:off x="9829800" y="2743200"/>
          <a:ext cx="850900" cy="68897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Aire de Puisage</a:t>
          </a:r>
        </a:p>
      </xdr:txBody>
    </xdr:sp>
    <xdr:clientData/>
  </xdr:twoCellAnchor>
  <xdr:twoCellAnchor>
    <xdr:from>
      <xdr:col>1</xdr:col>
      <xdr:colOff>19050</xdr:colOff>
      <xdr:row>55</xdr:row>
      <xdr:rowOff>0</xdr:rowOff>
    </xdr:from>
    <xdr:to>
      <xdr:col>2</xdr:col>
      <xdr:colOff>336550</xdr:colOff>
      <xdr:row>55</xdr:row>
      <xdr:rowOff>0</xdr:rowOff>
    </xdr:to>
    <xdr:sp macro="" textlink="">
      <xdr:nvSpPr>
        <xdr:cNvPr id="883553" name="Line 132">
          <a:extLst>
            <a:ext uri="{FF2B5EF4-FFF2-40B4-BE49-F238E27FC236}">
              <a16:creationId xmlns="" xmlns:a16="http://schemas.microsoft.com/office/drawing/2014/main" id="{00000000-0008-0000-2B00-0000617B0D00}"/>
            </a:ext>
          </a:extLst>
        </xdr:cNvPr>
        <xdr:cNvSpPr>
          <a:spLocks noChangeShapeType="1"/>
        </xdr:cNvSpPr>
      </xdr:nvSpPr>
      <xdr:spPr bwMode="auto">
        <a:xfrm>
          <a:off x="628650" y="10826750"/>
          <a:ext cx="927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133350</xdr:colOff>
      <xdr:row>55</xdr:row>
      <xdr:rowOff>0</xdr:rowOff>
    </xdr:from>
    <xdr:to>
      <xdr:col>5</xdr:col>
      <xdr:colOff>400050</xdr:colOff>
      <xdr:row>55</xdr:row>
      <xdr:rowOff>0</xdr:rowOff>
    </xdr:to>
    <xdr:sp macro="" textlink="">
      <xdr:nvSpPr>
        <xdr:cNvPr id="883554" name="Line 134">
          <a:extLst>
            <a:ext uri="{FF2B5EF4-FFF2-40B4-BE49-F238E27FC236}">
              <a16:creationId xmlns="" xmlns:a16="http://schemas.microsoft.com/office/drawing/2014/main" id="{00000000-0008-0000-2B00-0000627B0D00}"/>
            </a:ext>
          </a:extLst>
        </xdr:cNvPr>
        <xdr:cNvSpPr>
          <a:spLocks noChangeShapeType="1"/>
        </xdr:cNvSpPr>
      </xdr:nvSpPr>
      <xdr:spPr bwMode="auto">
        <a:xfrm>
          <a:off x="1962150" y="10826750"/>
          <a:ext cx="1485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226060</xdr:colOff>
      <xdr:row>52</xdr:row>
      <xdr:rowOff>0</xdr:rowOff>
    </xdr:from>
    <xdr:to>
      <xdr:col>3</xdr:col>
      <xdr:colOff>231185</xdr:colOff>
      <xdr:row>54</xdr:row>
      <xdr:rowOff>60695</xdr:rowOff>
    </xdr:to>
    <xdr:sp macro="" textlink="">
      <xdr:nvSpPr>
        <xdr:cNvPr id="125" name="Text Box 135">
          <a:extLst>
            <a:ext uri="{FF2B5EF4-FFF2-40B4-BE49-F238E27FC236}">
              <a16:creationId xmlns="" xmlns:a16="http://schemas.microsoft.com/office/drawing/2014/main" id="{00000000-0008-0000-2B00-00007D000000}"/>
            </a:ext>
          </a:extLst>
        </xdr:cNvPr>
        <xdr:cNvSpPr txBox="1">
          <a:spLocks noChangeArrowheads="1"/>
        </xdr:cNvSpPr>
      </xdr:nvSpPr>
      <xdr:spPr bwMode="auto">
        <a:xfrm>
          <a:off x="876300" y="10401300"/>
          <a:ext cx="1247775" cy="438037"/>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Fosse' de drainage des eaux de ruisellement</a:t>
          </a:r>
        </a:p>
      </xdr:txBody>
    </xdr:sp>
    <xdr:clientData/>
  </xdr:twoCellAnchor>
  <xdr:twoCellAnchor>
    <xdr:from>
      <xdr:col>2</xdr:col>
      <xdr:colOff>400050</xdr:colOff>
      <xdr:row>54</xdr:row>
      <xdr:rowOff>44450</xdr:rowOff>
    </xdr:from>
    <xdr:to>
      <xdr:col>3</xdr:col>
      <xdr:colOff>19050</xdr:colOff>
      <xdr:row>55</xdr:row>
      <xdr:rowOff>101600</xdr:rowOff>
    </xdr:to>
    <xdr:sp macro="" textlink="">
      <xdr:nvSpPr>
        <xdr:cNvPr id="883556" name="Line 136">
          <a:extLst>
            <a:ext uri="{FF2B5EF4-FFF2-40B4-BE49-F238E27FC236}">
              <a16:creationId xmlns="" xmlns:a16="http://schemas.microsoft.com/office/drawing/2014/main" id="{00000000-0008-0000-2B00-0000647B0D00}"/>
            </a:ext>
          </a:extLst>
        </xdr:cNvPr>
        <xdr:cNvSpPr>
          <a:spLocks noChangeShapeType="1"/>
        </xdr:cNvSpPr>
      </xdr:nvSpPr>
      <xdr:spPr bwMode="auto">
        <a:xfrm>
          <a:off x="1619250" y="10674350"/>
          <a:ext cx="228600" cy="25400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3</xdr:col>
      <xdr:colOff>361950</xdr:colOff>
      <xdr:row>39</xdr:row>
      <xdr:rowOff>57150</xdr:rowOff>
    </xdr:from>
    <xdr:to>
      <xdr:col>3</xdr:col>
      <xdr:colOff>438150</xdr:colOff>
      <xdr:row>56</xdr:row>
      <xdr:rowOff>44450</xdr:rowOff>
    </xdr:to>
    <xdr:sp macro="" textlink="">
      <xdr:nvSpPr>
        <xdr:cNvPr id="883557" name="Rectangle 137" descr="Woven mat">
          <a:extLst>
            <a:ext uri="{FF2B5EF4-FFF2-40B4-BE49-F238E27FC236}">
              <a16:creationId xmlns="" xmlns:a16="http://schemas.microsoft.com/office/drawing/2014/main" id="{00000000-0008-0000-2B00-0000657B0D00}"/>
            </a:ext>
          </a:extLst>
        </xdr:cNvPr>
        <xdr:cNvSpPr>
          <a:spLocks noChangeArrowheads="1"/>
        </xdr:cNvSpPr>
      </xdr:nvSpPr>
      <xdr:spPr bwMode="auto">
        <a:xfrm>
          <a:off x="2190750" y="7734300"/>
          <a:ext cx="76200" cy="33337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2</xdr:col>
      <xdr:colOff>227330</xdr:colOff>
      <xdr:row>39</xdr:row>
      <xdr:rowOff>137160</xdr:rowOff>
    </xdr:from>
    <xdr:to>
      <xdr:col>3</xdr:col>
      <xdr:colOff>227330</xdr:colOff>
      <xdr:row>42</xdr:row>
      <xdr:rowOff>2437</xdr:rowOff>
    </xdr:to>
    <xdr:sp macro="" textlink="">
      <xdr:nvSpPr>
        <xdr:cNvPr id="128" name="Text Box 138">
          <a:extLst>
            <a:ext uri="{FF2B5EF4-FFF2-40B4-BE49-F238E27FC236}">
              <a16:creationId xmlns="" xmlns:a16="http://schemas.microsoft.com/office/drawing/2014/main" id="{00000000-0008-0000-2B00-000080000000}"/>
            </a:ext>
          </a:extLst>
        </xdr:cNvPr>
        <xdr:cNvSpPr txBox="1">
          <a:spLocks noChangeArrowheads="1"/>
        </xdr:cNvSpPr>
      </xdr:nvSpPr>
      <xdr:spPr bwMode="auto">
        <a:xfrm>
          <a:off x="1476375" y="7981950"/>
          <a:ext cx="609600" cy="438324"/>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Cloture de protection</a:t>
          </a:r>
        </a:p>
      </xdr:txBody>
    </xdr:sp>
    <xdr:clientData/>
  </xdr:twoCellAnchor>
  <xdr:twoCellAnchor>
    <xdr:from>
      <xdr:col>3</xdr:col>
      <xdr:colOff>247650</xdr:colOff>
      <xdr:row>41</xdr:row>
      <xdr:rowOff>57150</xdr:rowOff>
    </xdr:from>
    <xdr:to>
      <xdr:col>3</xdr:col>
      <xdr:colOff>355600</xdr:colOff>
      <xdr:row>42</xdr:row>
      <xdr:rowOff>120650</xdr:rowOff>
    </xdr:to>
    <xdr:sp macro="" textlink="">
      <xdr:nvSpPr>
        <xdr:cNvPr id="883559" name="Line 139">
          <a:extLst>
            <a:ext uri="{FF2B5EF4-FFF2-40B4-BE49-F238E27FC236}">
              <a16:creationId xmlns="" xmlns:a16="http://schemas.microsoft.com/office/drawing/2014/main" id="{00000000-0008-0000-2B00-0000677B0D00}"/>
            </a:ext>
          </a:extLst>
        </xdr:cNvPr>
        <xdr:cNvSpPr>
          <a:spLocks noChangeShapeType="1"/>
        </xdr:cNvSpPr>
      </xdr:nvSpPr>
      <xdr:spPr bwMode="auto">
        <a:xfrm>
          <a:off x="2076450" y="8128000"/>
          <a:ext cx="107950" cy="2603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6</xdr:col>
      <xdr:colOff>175260</xdr:colOff>
      <xdr:row>7</xdr:row>
      <xdr:rowOff>18415</xdr:rowOff>
    </xdr:from>
    <xdr:to>
      <xdr:col>6</xdr:col>
      <xdr:colOff>421852</xdr:colOff>
      <xdr:row>8</xdr:row>
      <xdr:rowOff>41763</xdr:rowOff>
    </xdr:to>
    <xdr:sp macro="" textlink="">
      <xdr:nvSpPr>
        <xdr:cNvPr id="130" name="Text Box 144">
          <a:extLst>
            <a:ext uri="{FF2B5EF4-FFF2-40B4-BE49-F238E27FC236}">
              <a16:creationId xmlns="" xmlns:a16="http://schemas.microsoft.com/office/drawing/2014/main" id="{00000000-0008-0000-2B00-000082000000}"/>
            </a:ext>
          </a:extLst>
        </xdr:cNvPr>
        <xdr:cNvSpPr txBox="1">
          <a:spLocks noChangeArrowheads="1"/>
        </xdr:cNvSpPr>
      </xdr:nvSpPr>
      <xdr:spPr bwMode="auto">
        <a:xfrm>
          <a:off x="3876675" y="1409700"/>
          <a:ext cx="295275" cy="257266"/>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A</a:t>
          </a:r>
        </a:p>
      </xdr:txBody>
    </xdr:sp>
    <xdr:clientData/>
  </xdr:twoCellAnchor>
  <xdr:twoCellAnchor>
    <xdr:from>
      <xdr:col>6</xdr:col>
      <xdr:colOff>196850</xdr:colOff>
      <xdr:row>23</xdr:row>
      <xdr:rowOff>55880</xdr:rowOff>
    </xdr:from>
    <xdr:to>
      <xdr:col>6</xdr:col>
      <xdr:colOff>446085</xdr:colOff>
      <xdr:row>24</xdr:row>
      <xdr:rowOff>79228</xdr:rowOff>
    </xdr:to>
    <xdr:sp macro="" textlink="">
      <xdr:nvSpPr>
        <xdr:cNvPr id="131" name="Text Box 145">
          <a:extLst>
            <a:ext uri="{FF2B5EF4-FFF2-40B4-BE49-F238E27FC236}">
              <a16:creationId xmlns="" xmlns:a16="http://schemas.microsoft.com/office/drawing/2014/main" id="{00000000-0008-0000-2B00-000083000000}"/>
            </a:ext>
          </a:extLst>
        </xdr:cNvPr>
        <xdr:cNvSpPr txBox="1">
          <a:spLocks noChangeArrowheads="1"/>
        </xdr:cNvSpPr>
      </xdr:nvSpPr>
      <xdr:spPr bwMode="auto">
        <a:xfrm>
          <a:off x="3905250" y="4648200"/>
          <a:ext cx="295275" cy="256896"/>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A</a:t>
          </a:r>
        </a:p>
      </xdr:txBody>
    </xdr:sp>
    <xdr:clientData/>
  </xdr:twoCellAnchor>
  <xdr:twoCellAnchor>
    <xdr:from>
      <xdr:col>3</xdr:col>
      <xdr:colOff>361950</xdr:colOff>
      <xdr:row>58</xdr:row>
      <xdr:rowOff>120650</xdr:rowOff>
    </xdr:from>
    <xdr:to>
      <xdr:col>7</xdr:col>
      <xdr:colOff>361950</xdr:colOff>
      <xdr:row>59</xdr:row>
      <xdr:rowOff>63500</xdr:rowOff>
    </xdr:to>
    <xdr:sp macro="" textlink="">
      <xdr:nvSpPr>
        <xdr:cNvPr id="883562" name="Line 149">
          <a:extLst>
            <a:ext uri="{FF2B5EF4-FFF2-40B4-BE49-F238E27FC236}">
              <a16:creationId xmlns="" xmlns:a16="http://schemas.microsoft.com/office/drawing/2014/main" id="{00000000-0008-0000-2B00-00006A7B0D00}"/>
            </a:ext>
          </a:extLst>
        </xdr:cNvPr>
        <xdr:cNvSpPr>
          <a:spLocks noChangeShapeType="1"/>
        </xdr:cNvSpPr>
      </xdr:nvSpPr>
      <xdr:spPr bwMode="auto">
        <a:xfrm>
          <a:off x="2190750" y="11537950"/>
          <a:ext cx="2438400" cy="13970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317500</xdr:colOff>
      <xdr:row>55</xdr:row>
      <xdr:rowOff>0</xdr:rowOff>
    </xdr:from>
    <xdr:to>
      <xdr:col>3</xdr:col>
      <xdr:colOff>133350</xdr:colOff>
      <xdr:row>57</xdr:row>
      <xdr:rowOff>63500</xdr:rowOff>
    </xdr:to>
    <xdr:sp macro="" textlink="">
      <xdr:nvSpPr>
        <xdr:cNvPr id="883563" name="Freeform 133">
          <a:extLst>
            <a:ext uri="{FF2B5EF4-FFF2-40B4-BE49-F238E27FC236}">
              <a16:creationId xmlns="" xmlns:a16="http://schemas.microsoft.com/office/drawing/2014/main" id="{00000000-0008-0000-2B00-00006B7B0D00}"/>
            </a:ext>
          </a:extLst>
        </xdr:cNvPr>
        <xdr:cNvSpPr>
          <a:spLocks/>
        </xdr:cNvSpPr>
      </xdr:nvSpPr>
      <xdr:spPr bwMode="auto">
        <a:xfrm>
          <a:off x="1536700" y="10826750"/>
          <a:ext cx="425450" cy="457200"/>
        </a:xfrm>
        <a:custGeom>
          <a:avLst/>
          <a:gdLst>
            <a:gd name="T0" fmla="*/ 2147483646 w 41"/>
            <a:gd name="T1" fmla="*/ 2147483646 h 42"/>
            <a:gd name="T2" fmla="*/ 2147483646 w 41"/>
            <a:gd name="T3" fmla="*/ 2147483646 h 42"/>
            <a:gd name="T4" fmla="*/ 2147483646 w 41"/>
            <a:gd name="T5" fmla="*/ 2147483646 h 42"/>
            <a:gd name="T6" fmla="*/ 2147483646 w 41"/>
            <a:gd name="T7" fmla="*/ 2147483646 h 42"/>
            <a:gd name="T8" fmla="*/ 2147483646 w 41"/>
            <a:gd name="T9" fmla="*/ 0 h 42"/>
            <a:gd name="T10" fmla="*/ 0 60000 65536"/>
            <a:gd name="T11" fmla="*/ 0 60000 65536"/>
            <a:gd name="T12" fmla="*/ 0 60000 65536"/>
            <a:gd name="T13" fmla="*/ 0 60000 65536"/>
            <a:gd name="T14" fmla="*/ 0 60000 65536"/>
            <a:gd name="T15" fmla="*/ 0 w 41"/>
            <a:gd name="T16" fmla="*/ 0 h 42"/>
            <a:gd name="T17" fmla="*/ 41 w 41"/>
            <a:gd name="T18" fmla="*/ 42 h 42"/>
          </a:gdLst>
          <a:ahLst/>
          <a:cxnLst>
            <a:cxn ang="T10">
              <a:pos x="T0" y="T1"/>
            </a:cxn>
            <a:cxn ang="T11">
              <a:pos x="T2" y="T3"/>
            </a:cxn>
            <a:cxn ang="T12">
              <a:pos x="T4" y="T5"/>
            </a:cxn>
            <a:cxn ang="T13">
              <a:pos x="T6" y="T7"/>
            </a:cxn>
            <a:cxn ang="T14">
              <a:pos x="T8" y="T9"/>
            </a:cxn>
          </a:cxnLst>
          <a:rect l="T15" t="T16" r="T17" b="T18"/>
          <a:pathLst>
            <a:path w="41" h="42">
              <a:moveTo>
                <a:pt x="2" y="2"/>
              </a:moveTo>
              <a:cubicBezTo>
                <a:pt x="1" y="15"/>
                <a:pt x="0" y="29"/>
                <a:pt x="5" y="35"/>
              </a:cubicBezTo>
              <a:cubicBezTo>
                <a:pt x="10" y="41"/>
                <a:pt x="26" y="42"/>
                <a:pt x="32" y="39"/>
              </a:cubicBezTo>
              <a:cubicBezTo>
                <a:pt x="38" y="36"/>
                <a:pt x="39" y="24"/>
                <a:pt x="40" y="18"/>
              </a:cubicBezTo>
              <a:cubicBezTo>
                <a:pt x="41" y="12"/>
                <a:pt x="41" y="6"/>
                <a:pt x="41"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184150</xdr:colOff>
      <xdr:row>55</xdr:row>
      <xdr:rowOff>19050</xdr:rowOff>
    </xdr:from>
    <xdr:to>
      <xdr:col>2</xdr:col>
      <xdr:colOff>317500</xdr:colOff>
      <xdr:row>58</xdr:row>
      <xdr:rowOff>38100</xdr:rowOff>
    </xdr:to>
    <xdr:sp macro="" textlink="">
      <xdr:nvSpPr>
        <xdr:cNvPr id="883564" name="Rectangle 150" descr="Zig zag">
          <a:extLst>
            <a:ext uri="{FF2B5EF4-FFF2-40B4-BE49-F238E27FC236}">
              <a16:creationId xmlns="" xmlns:a16="http://schemas.microsoft.com/office/drawing/2014/main" id="{00000000-0008-0000-2B00-00006C7B0D00}"/>
            </a:ext>
          </a:extLst>
        </xdr:cNvPr>
        <xdr:cNvSpPr>
          <a:spLocks noChangeArrowheads="1"/>
        </xdr:cNvSpPr>
      </xdr:nvSpPr>
      <xdr:spPr bwMode="auto">
        <a:xfrm flipV="1">
          <a:off x="184150" y="10845800"/>
          <a:ext cx="1352550" cy="609600"/>
        </a:xfrm>
        <a:prstGeom prst="rect">
          <a:avLst/>
        </a:prstGeom>
        <a:blipFill dpi="0" rotWithShape="0">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3175">
              <a:solidFill>
                <a:srgbClr val="000000"/>
              </a:solidFill>
              <a:miter lim="800000"/>
              <a:headEnd/>
              <a:tailEnd/>
            </a14:hiddenLine>
          </a:ext>
        </a:extLst>
      </xdr:spPr>
    </xdr:sp>
    <xdr:clientData/>
  </xdr:twoCellAnchor>
  <xdr:twoCellAnchor>
    <xdr:from>
      <xdr:col>1</xdr:col>
      <xdr:colOff>323850</xdr:colOff>
      <xdr:row>57</xdr:row>
      <xdr:rowOff>44450</xdr:rowOff>
    </xdr:from>
    <xdr:to>
      <xdr:col>3</xdr:col>
      <xdr:colOff>457200</xdr:colOff>
      <xdr:row>60</xdr:row>
      <xdr:rowOff>57150</xdr:rowOff>
    </xdr:to>
    <xdr:sp macro="" textlink="">
      <xdr:nvSpPr>
        <xdr:cNvPr id="883565" name="Rectangle 151" descr="Zig zag">
          <a:extLst>
            <a:ext uri="{FF2B5EF4-FFF2-40B4-BE49-F238E27FC236}">
              <a16:creationId xmlns="" xmlns:a16="http://schemas.microsoft.com/office/drawing/2014/main" id="{00000000-0008-0000-2B00-00006D7B0D00}"/>
            </a:ext>
          </a:extLst>
        </xdr:cNvPr>
        <xdr:cNvSpPr>
          <a:spLocks noChangeArrowheads="1"/>
        </xdr:cNvSpPr>
      </xdr:nvSpPr>
      <xdr:spPr bwMode="auto">
        <a:xfrm flipV="1">
          <a:off x="933450" y="11264900"/>
          <a:ext cx="1352550" cy="603250"/>
        </a:xfrm>
        <a:prstGeom prst="rect">
          <a:avLst/>
        </a:prstGeom>
        <a:blipFill dpi="0" rotWithShape="0">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3175">
              <a:solidFill>
                <a:srgbClr val="000000"/>
              </a:solidFill>
              <a:miter lim="800000"/>
              <a:headEnd/>
              <a:tailEnd/>
            </a14:hiddenLine>
          </a:ext>
        </a:extLst>
      </xdr:spPr>
    </xdr:sp>
    <xdr:clientData/>
  </xdr:twoCellAnchor>
  <xdr:twoCellAnchor>
    <xdr:from>
      <xdr:col>5</xdr:col>
      <xdr:colOff>412750</xdr:colOff>
      <xdr:row>62</xdr:row>
      <xdr:rowOff>101600</xdr:rowOff>
    </xdr:from>
    <xdr:to>
      <xdr:col>7</xdr:col>
      <xdr:colOff>165100</xdr:colOff>
      <xdr:row>63</xdr:row>
      <xdr:rowOff>25400</xdr:rowOff>
    </xdr:to>
    <xdr:sp macro="" textlink="">
      <xdr:nvSpPr>
        <xdr:cNvPr id="883566" name="Rectangle 152">
          <a:extLst>
            <a:ext uri="{FF2B5EF4-FFF2-40B4-BE49-F238E27FC236}">
              <a16:creationId xmlns="" xmlns:a16="http://schemas.microsoft.com/office/drawing/2014/main" id="{00000000-0008-0000-2B00-00006E7B0D00}"/>
            </a:ext>
          </a:extLst>
        </xdr:cNvPr>
        <xdr:cNvSpPr>
          <a:spLocks noChangeArrowheads="1"/>
        </xdr:cNvSpPr>
      </xdr:nvSpPr>
      <xdr:spPr bwMode="auto">
        <a:xfrm>
          <a:off x="3460750" y="12306300"/>
          <a:ext cx="971550" cy="120650"/>
        </a:xfrm>
        <a:prstGeom prst="rect">
          <a:avLst/>
        </a:prstGeom>
        <a:solidFill>
          <a:srgbClr val="33CCCC">
            <a:alpha val="50195"/>
          </a:srgbClr>
        </a:solidFill>
        <a:ln w="9525">
          <a:solidFill>
            <a:srgbClr val="000000"/>
          </a:solidFill>
          <a:miter lim="800000"/>
          <a:headEnd/>
          <a:tailEnd/>
        </a:ln>
      </xdr:spPr>
    </xdr:sp>
    <xdr:clientData/>
  </xdr:twoCellAnchor>
  <xdr:twoCellAnchor>
    <xdr:from>
      <xdr:col>3</xdr:col>
      <xdr:colOff>298450</xdr:colOff>
      <xdr:row>64</xdr:row>
      <xdr:rowOff>139700</xdr:rowOff>
    </xdr:from>
    <xdr:to>
      <xdr:col>7</xdr:col>
      <xdr:colOff>361950</xdr:colOff>
      <xdr:row>68</xdr:row>
      <xdr:rowOff>0</xdr:rowOff>
    </xdr:to>
    <xdr:sp macro="" textlink="">
      <xdr:nvSpPr>
        <xdr:cNvPr id="883567" name="Rectangle 157" descr="Zig zag">
          <a:extLst>
            <a:ext uri="{FF2B5EF4-FFF2-40B4-BE49-F238E27FC236}">
              <a16:creationId xmlns="" xmlns:a16="http://schemas.microsoft.com/office/drawing/2014/main" id="{00000000-0008-0000-2B00-00006F7B0D00}"/>
            </a:ext>
          </a:extLst>
        </xdr:cNvPr>
        <xdr:cNvSpPr>
          <a:spLocks noChangeArrowheads="1"/>
        </xdr:cNvSpPr>
      </xdr:nvSpPr>
      <xdr:spPr bwMode="auto">
        <a:xfrm flipV="1">
          <a:off x="2127250" y="12738100"/>
          <a:ext cx="2501900" cy="647700"/>
        </a:xfrm>
        <a:prstGeom prst="rect">
          <a:avLst/>
        </a:prstGeom>
        <a:blipFill dpi="0" rotWithShape="0">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3175">
              <a:solidFill>
                <a:srgbClr val="000000"/>
              </a:solidFill>
              <a:miter lim="800000"/>
              <a:headEnd/>
              <a:tailEnd/>
            </a14:hiddenLine>
          </a:ext>
        </a:extLst>
      </xdr:spPr>
    </xdr:sp>
    <xdr:clientData/>
  </xdr:twoCellAnchor>
  <xdr:twoCellAnchor>
    <xdr:from>
      <xdr:col>7</xdr:col>
      <xdr:colOff>165100</xdr:colOff>
      <xdr:row>59</xdr:row>
      <xdr:rowOff>82550</xdr:rowOff>
    </xdr:from>
    <xdr:to>
      <xdr:col>7</xdr:col>
      <xdr:colOff>361950</xdr:colOff>
      <xdr:row>66</xdr:row>
      <xdr:rowOff>120650</xdr:rowOff>
    </xdr:to>
    <xdr:sp macro="" textlink="">
      <xdr:nvSpPr>
        <xdr:cNvPr id="883568" name="Rectangle 154" descr="Recycled paper">
          <a:extLst>
            <a:ext uri="{FF2B5EF4-FFF2-40B4-BE49-F238E27FC236}">
              <a16:creationId xmlns="" xmlns:a16="http://schemas.microsoft.com/office/drawing/2014/main" id="{00000000-0008-0000-2B00-0000707B0D00}"/>
            </a:ext>
          </a:extLst>
        </xdr:cNvPr>
        <xdr:cNvSpPr>
          <a:spLocks noChangeArrowheads="1"/>
        </xdr:cNvSpPr>
      </xdr:nvSpPr>
      <xdr:spPr bwMode="auto">
        <a:xfrm>
          <a:off x="4432300" y="11696700"/>
          <a:ext cx="196850" cy="141605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3</xdr:col>
      <xdr:colOff>438150</xdr:colOff>
      <xdr:row>58</xdr:row>
      <xdr:rowOff>139700</xdr:rowOff>
    </xdr:from>
    <xdr:to>
      <xdr:col>7</xdr:col>
      <xdr:colOff>152400</xdr:colOff>
      <xdr:row>65</xdr:row>
      <xdr:rowOff>0</xdr:rowOff>
    </xdr:to>
    <xdr:sp macro="" textlink="">
      <xdr:nvSpPr>
        <xdr:cNvPr id="883569" name="Freeform 158">
          <a:extLst>
            <a:ext uri="{FF2B5EF4-FFF2-40B4-BE49-F238E27FC236}">
              <a16:creationId xmlns="" xmlns:a16="http://schemas.microsoft.com/office/drawing/2014/main" id="{00000000-0008-0000-2B00-0000717B0D00}"/>
            </a:ext>
          </a:extLst>
        </xdr:cNvPr>
        <xdr:cNvSpPr>
          <a:spLocks/>
        </xdr:cNvSpPr>
      </xdr:nvSpPr>
      <xdr:spPr bwMode="auto">
        <a:xfrm>
          <a:off x="2266950" y="11557000"/>
          <a:ext cx="2152650" cy="1238250"/>
        </a:xfrm>
        <a:custGeom>
          <a:avLst/>
          <a:gdLst>
            <a:gd name="T0" fmla="*/ 2147483646 w 219"/>
            <a:gd name="T1" fmla="*/ 0 h 103"/>
            <a:gd name="T2" fmla="*/ 2147483646 w 219"/>
            <a:gd name="T3" fmla="*/ 2147483646 h 103"/>
            <a:gd name="T4" fmla="*/ 2147483646 w 219"/>
            <a:gd name="T5" fmla="*/ 2147483646 h 103"/>
            <a:gd name="T6" fmla="*/ 2147483646 w 219"/>
            <a:gd name="T7" fmla="*/ 2147483646 h 103"/>
            <a:gd name="T8" fmla="*/ 2147483646 w 219"/>
            <a:gd name="T9" fmla="*/ 2147483646 h 103"/>
            <a:gd name="T10" fmla="*/ 2147483646 w 219"/>
            <a:gd name="T11" fmla="*/ 2147483646 h 103"/>
            <a:gd name="T12" fmla="*/ 2147483646 w 219"/>
            <a:gd name="T13" fmla="*/ 2147483646 h 103"/>
            <a:gd name="T14" fmla="*/ 0 60000 65536"/>
            <a:gd name="T15" fmla="*/ 0 60000 65536"/>
            <a:gd name="T16" fmla="*/ 0 60000 65536"/>
            <a:gd name="T17" fmla="*/ 0 60000 65536"/>
            <a:gd name="T18" fmla="*/ 0 60000 65536"/>
            <a:gd name="T19" fmla="*/ 0 60000 65536"/>
            <a:gd name="T20" fmla="*/ 0 60000 65536"/>
            <a:gd name="T21" fmla="*/ 0 w 219"/>
            <a:gd name="T22" fmla="*/ 0 h 103"/>
            <a:gd name="T23" fmla="*/ 219 w 219"/>
            <a:gd name="T24" fmla="*/ 103 h 103"/>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219" h="103">
              <a:moveTo>
                <a:pt x="3" y="0"/>
              </a:moveTo>
              <a:cubicBezTo>
                <a:pt x="2" y="15"/>
                <a:pt x="1" y="31"/>
                <a:pt x="1" y="39"/>
              </a:cubicBezTo>
              <a:cubicBezTo>
                <a:pt x="1" y="47"/>
                <a:pt x="0" y="41"/>
                <a:pt x="1" y="46"/>
              </a:cubicBezTo>
              <a:cubicBezTo>
                <a:pt x="2" y="51"/>
                <a:pt x="1" y="60"/>
                <a:pt x="7" y="68"/>
              </a:cubicBezTo>
              <a:cubicBezTo>
                <a:pt x="13" y="76"/>
                <a:pt x="25" y="86"/>
                <a:pt x="35" y="91"/>
              </a:cubicBezTo>
              <a:cubicBezTo>
                <a:pt x="45" y="96"/>
                <a:pt x="36" y="99"/>
                <a:pt x="67" y="101"/>
              </a:cubicBezTo>
              <a:cubicBezTo>
                <a:pt x="98" y="103"/>
                <a:pt x="158" y="102"/>
                <a:pt x="219" y="102"/>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355600</xdr:colOff>
      <xdr:row>63</xdr:row>
      <xdr:rowOff>120650</xdr:rowOff>
    </xdr:from>
    <xdr:to>
      <xdr:col>4</xdr:col>
      <xdr:colOff>95250</xdr:colOff>
      <xdr:row>65</xdr:row>
      <xdr:rowOff>19050</xdr:rowOff>
    </xdr:to>
    <xdr:sp macro="" textlink="">
      <xdr:nvSpPr>
        <xdr:cNvPr id="883570" name="Rectangle 160" descr="Zig zag">
          <a:extLst>
            <a:ext uri="{FF2B5EF4-FFF2-40B4-BE49-F238E27FC236}">
              <a16:creationId xmlns="" xmlns:a16="http://schemas.microsoft.com/office/drawing/2014/main" id="{00000000-0008-0000-2B00-0000727B0D00}"/>
            </a:ext>
          </a:extLst>
        </xdr:cNvPr>
        <xdr:cNvSpPr>
          <a:spLocks noChangeArrowheads="1"/>
        </xdr:cNvSpPr>
      </xdr:nvSpPr>
      <xdr:spPr bwMode="auto">
        <a:xfrm flipV="1">
          <a:off x="2184400" y="12522200"/>
          <a:ext cx="349250" cy="292100"/>
        </a:xfrm>
        <a:prstGeom prst="rect">
          <a:avLst/>
        </a:prstGeom>
        <a:blipFill dpi="0" rotWithShape="0">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3175">
              <a:solidFill>
                <a:srgbClr val="000000"/>
              </a:solidFill>
              <a:miter lim="800000"/>
              <a:headEnd/>
              <a:tailEnd/>
            </a14:hiddenLine>
          </a:ext>
        </a:extLst>
      </xdr:spPr>
    </xdr:sp>
    <xdr:clientData/>
  </xdr:twoCellAnchor>
  <xdr:twoCellAnchor>
    <xdr:from>
      <xdr:col>3</xdr:col>
      <xdr:colOff>438150</xdr:colOff>
      <xdr:row>64</xdr:row>
      <xdr:rowOff>38100</xdr:rowOff>
    </xdr:from>
    <xdr:to>
      <xdr:col>4</xdr:col>
      <xdr:colOff>184150</xdr:colOff>
      <xdr:row>65</xdr:row>
      <xdr:rowOff>82550</xdr:rowOff>
    </xdr:to>
    <xdr:sp macro="" textlink="">
      <xdr:nvSpPr>
        <xdr:cNvPr id="883571" name="Rectangle 161" descr="Zig zag">
          <a:extLst>
            <a:ext uri="{FF2B5EF4-FFF2-40B4-BE49-F238E27FC236}">
              <a16:creationId xmlns="" xmlns:a16="http://schemas.microsoft.com/office/drawing/2014/main" id="{00000000-0008-0000-2B00-0000737B0D00}"/>
            </a:ext>
          </a:extLst>
        </xdr:cNvPr>
        <xdr:cNvSpPr>
          <a:spLocks noChangeArrowheads="1"/>
        </xdr:cNvSpPr>
      </xdr:nvSpPr>
      <xdr:spPr bwMode="auto">
        <a:xfrm flipV="1">
          <a:off x="2266950" y="12636500"/>
          <a:ext cx="355600" cy="241300"/>
        </a:xfrm>
        <a:prstGeom prst="rect">
          <a:avLst/>
        </a:prstGeom>
        <a:blipFill dpi="0" rotWithShape="0">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3175">
              <a:solidFill>
                <a:srgbClr val="000000"/>
              </a:solidFill>
              <a:miter lim="800000"/>
              <a:headEnd/>
              <a:tailEnd/>
            </a14:hiddenLine>
          </a:ext>
        </a:extLst>
      </xdr:spPr>
    </xdr:sp>
    <xdr:clientData/>
  </xdr:twoCellAnchor>
  <xdr:twoCellAnchor>
    <xdr:from>
      <xdr:col>0</xdr:col>
      <xdr:colOff>140335</xdr:colOff>
      <xdr:row>61</xdr:row>
      <xdr:rowOff>133985</xdr:rowOff>
    </xdr:from>
    <xdr:to>
      <xdr:col>3</xdr:col>
      <xdr:colOff>415728</xdr:colOff>
      <xdr:row>64</xdr:row>
      <xdr:rowOff>150031</xdr:rowOff>
    </xdr:to>
    <xdr:sp macro="" textlink="">
      <xdr:nvSpPr>
        <xdr:cNvPr id="142" name="Text Box 146">
          <a:extLst>
            <a:ext uri="{FF2B5EF4-FFF2-40B4-BE49-F238E27FC236}">
              <a16:creationId xmlns="" xmlns:a16="http://schemas.microsoft.com/office/drawing/2014/main" id="{00000000-0008-0000-2B00-00008E000000}"/>
            </a:ext>
          </a:extLst>
        </xdr:cNvPr>
        <xdr:cNvSpPr txBox="1">
          <a:spLocks noChangeArrowheads="1"/>
        </xdr:cNvSpPr>
      </xdr:nvSpPr>
      <xdr:spPr bwMode="auto">
        <a:xfrm>
          <a:off x="171450" y="12353925"/>
          <a:ext cx="2133600" cy="619237"/>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Chappe en beton hydrofuge' d'epaisseur 0.05 a 0.1 m avec pente 3% + Mortier superior de protection 0.01m</a:t>
          </a:r>
        </a:p>
      </xdr:txBody>
    </xdr:sp>
    <xdr:clientData/>
  </xdr:twoCellAnchor>
  <xdr:twoCellAnchor>
    <xdr:from>
      <xdr:col>6</xdr:col>
      <xdr:colOff>476250</xdr:colOff>
      <xdr:row>61</xdr:row>
      <xdr:rowOff>57150</xdr:rowOff>
    </xdr:from>
    <xdr:to>
      <xdr:col>8</xdr:col>
      <xdr:colOff>57150</xdr:colOff>
      <xdr:row>61</xdr:row>
      <xdr:rowOff>139700</xdr:rowOff>
    </xdr:to>
    <xdr:sp macro="" textlink="">
      <xdr:nvSpPr>
        <xdr:cNvPr id="883573" name="Rectangle 163">
          <a:extLst>
            <a:ext uri="{FF2B5EF4-FFF2-40B4-BE49-F238E27FC236}">
              <a16:creationId xmlns="" xmlns:a16="http://schemas.microsoft.com/office/drawing/2014/main" id="{00000000-0008-0000-2B00-0000757B0D00}"/>
            </a:ext>
          </a:extLst>
        </xdr:cNvPr>
        <xdr:cNvSpPr>
          <a:spLocks noChangeArrowheads="1"/>
        </xdr:cNvSpPr>
      </xdr:nvSpPr>
      <xdr:spPr bwMode="auto">
        <a:xfrm>
          <a:off x="4133850" y="12065000"/>
          <a:ext cx="800100" cy="82550"/>
        </a:xfrm>
        <a:prstGeom prst="rect">
          <a:avLst/>
        </a:prstGeom>
        <a:solidFill>
          <a:srgbClr val="33CCCC"/>
        </a:solidFill>
        <a:ln w="9525">
          <a:solidFill>
            <a:srgbClr val="000000"/>
          </a:solidFill>
          <a:miter lim="800000"/>
          <a:headEnd/>
          <a:tailEnd/>
        </a:ln>
      </xdr:spPr>
    </xdr:sp>
    <xdr:clientData/>
  </xdr:twoCellAnchor>
  <xdr:twoCellAnchor>
    <xdr:from>
      <xdr:col>6</xdr:col>
      <xdr:colOff>69850</xdr:colOff>
      <xdr:row>14</xdr:row>
      <xdr:rowOff>139700</xdr:rowOff>
    </xdr:from>
    <xdr:to>
      <xdr:col>14</xdr:col>
      <xdr:colOff>361950</xdr:colOff>
      <xdr:row>15</xdr:row>
      <xdr:rowOff>57150</xdr:rowOff>
    </xdr:to>
    <xdr:sp macro="" textlink="">
      <xdr:nvSpPr>
        <xdr:cNvPr id="883574" name="Rectangle 3">
          <a:extLst>
            <a:ext uri="{FF2B5EF4-FFF2-40B4-BE49-F238E27FC236}">
              <a16:creationId xmlns="" xmlns:a16="http://schemas.microsoft.com/office/drawing/2014/main" id="{00000000-0008-0000-2B00-0000767B0D00}"/>
            </a:ext>
          </a:extLst>
        </xdr:cNvPr>
        <xdr:cNvSpPr>
          <a:spLocks noChangeArrowheads="1"/>
        </xdr:cNvSpPr>
      </xdr:nvSpPr>
      <xdr:spPr bwMode="auto">
        <a:xfrm>
          <a:off x="3727450" y="2895600"/>
          <a:ext cx="5168900" cy="114300"/>
        </a:xfrm>
        <a:prstGeom prst="rect">
          <a:avLst/>
        </a:prstGeom>
        <a:solidFill>
          <a:srgbClr val="33CCCC"/>
        </a:solidFill>
        <a:ln w="9525">
          <a:solidFill>
            <a:srgbClr val="000000"/>
          </a:solidFill>
          <a:miter lim="800000"/>
          <a:headEnd/>
          <a:tailEnd/>
        </a:ln>
      </xdr:spPr>
    </xdr:sp>
    <xdr:clientData/>
  </xdr:twoCellAnchor>
  <xdr:twoCellAnchor>
    <xdr:from>
      <xdr:col>6</xdr:col>
      <xdr:colOff>476250</xdr:colOff>
      <xdr:row>15</xdr:row>
      <xdr:rowOff>139700</xdr:rowOff>
    </xdr:from>
    <xdr:to>
      <xdr:col>14</xdr:col>
      <xdr:colOff>171450</xdr:colOff>
      <xdr:row>16</xdr:row>
      <xdr:rowOff>57150</xdr:rowOff>
    </xdr:to>
    <xdr:sp macro="" textlink="">
      <xdr:nvSpPr>
        <xdr:cNvPr id="883575" name="Rectangle 4">
          <a:extLst>
            <a:ext uri="{FF2B5EF4-FFF2-40B4-BE49-F238E27FC236}">
              <a16:creationId xmlns="" xmlns:a16="http://schemas.microsoft.com/office/drawing/2014/main" id="{00000000-0008-0000-2B00-0000777B0D00}"/>
            </a:ext>
          </a:extLst>
        </xdr:cNvPr>
        <xdr:cNvSpPr>
          <a:spLocks noChangeArrowheads="1"/>
        </xdr:cNvSpPr>
      </xdr:nvSpPr>
      <xdr:spPr bwMode="auto">
        <a:xfrm>
          <a:off x="4133850" y="3092450"/>
          <a:ext cx="4572000" cy="114300"/>
        </a:xfrm>
        <a:prstGeom prst="rect">
          <a:avLst/>
        </a:prstGeom>
        <a:solidFill>
          <a:srgbClr val="33CCCC"/>
        </a:solidFill>
        <a:ln w="9525">
          <a:solidFill>
            <a:srgbClr val="000000"/>
          </a:solidFill>
          <a:miter lim="800000"/>
          <a:headEnd/>
          <a:tailEnd/>
        </a:ln>
      </xdr:spPr>
    </xdr:sp>
    <xdr:clientData/>
  </xdr:twoCellAnchor>
  <xdr:twoCellAnchor>
    <xdr:from>
      <xdr:col>10</xdr:col>
      <xdr:colOff>336550</xdr:colOff>
      <xdr:row>13</xdr:row>
      <xdr:rowOff>44450</xdr:rowOff>
    </xdr:from>
    <xdr:to>
      <xdr:col>10</xdr:col>
      <xdr:colOff>438150</xdr:colOff>
      <xdr:row>19</xdr:row>
      <xdr:rowOff>0</xdr:rowOff>
    </xdr:to>
    <xdr:sp macro="" textlink="">
      <xdr:nvSpPr>
        <xdr:cNvPr id="883576" name="Rectangle 46">
          <a:extLst>
            <a:ext uri="{FF2B5EF4-FFF2-40B4-BE49-F238E27FC236}">
              <a16:creationId xmlns="" xmlns:a16="http://schemas.microsoft.com/office/drawing/2014/main" id="{00000000-0008-0000-2B00-0000787B0D00}"/>
            </a:ext>
          </a:extLst>
        </xdr:cNvPr>
        <xdr:cNvSpPr>
          <a:spLocks noChangeArrowheads="1"/>
        </xdr:cNvSpPr>
      </xdr:nvSpPr>
      <xdr:spPr bwMode="auto">
        <a:xfrm rot="2100000">
          <a:off x="6432550" y="2603500"/>
          <a:ext cx="101600" cy="1136650"/>
        </a:xfrm>
        <a:prstGeom prst="rect">
          <a:avLst/>
        </a:prstGeom>
        <a:solidFill>
          <a:srgbClr val="FFFFFF"/>
        </a:solidFill>
        <a:ln w="9525">
          <a:solidFill>
            <a:srgbClr val="000000"/>
          </a:solidFill>
          <a:miter lim="800000"/>
          <a:headEnd/>
          <a:tailEnd/>
        </a:ln>
      </xdr:spPr>
    </xdr:sp>
    <xdr:clientData/>
  </xdr:twoCellAnchor>
  <xdr:twoCellAnchor>
    <xdr:from>
      <xdr:col>10</xdr:col>
      <xdr:colOff>19050</xdr:colOff>
      <xdr:row>18</xdr:row>
      <xdr:rowOff>19050</xdr:rowOff>
    </xdr:from>
    <xdr:to>
      <xdr:col>10</xdr:col>
      <xdr:colOff>438150</xdr:colOff>
      <xdr:row>19</xdr:row>
      <xdr:rowOff>95250</xdr:rowOff>
    </xdr:to>
    <xdr:sp macro="" textlink="">
      <xdr:nvSpPr>
        <xdr:cNvPr id="883577" name="Rectangle 116">
          <a:extLst>
            <a:ext uri="{FF2B5EF4-FFF2-40B4-BE49-F238E27FC236}">
              <a16:creationId xmlns="" xmlns:a16="http://schemas.microsoft.com/office/drawing/2014/main" id="{00000000-0008-0000-2B00-0000797B0D00}"/>
            </a:ext>
          </a:extLst>
        </xdr:cNvPr>
        <xdr:cNvSpPr>
          <a:spLocks noChangeArrowheads="1"/>
        </xdr:cNvSpPr>
      </xdr:nvSpPr>
      <xdr:spPr bwMode="auto">
        <a:xfrm>
          <a:off x="6115050" y="3562350"/>
          <a:ext cx="419100" cy="2730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10</xdr:col>
      <xdr:colOff>393700</xdr:colOff>
      <xdr:row>12</xdr:row>
      <xdr:rowOff>82550</xdr:rowOff>
    </xdr:from>
    <xdr:to>
      <xdr:col>11</xdr:col>
      <xdr:colOff>323850</xdr:colOff>
      <xdr:row>14</xdr:row>
      <xdr:rowOff>6350</xdr:rowOff>
    </xdr:to>
    <xdr:sp macro="" textlink="">
      <xdr:nvSpPr>
        <xdr:cNvPr id="883578" name="Rectangle 115">
          <a:extLst>
            <a:ext uri="{FF2B5EF4-FFF2-40B4-BE49-F238E27FC236}">
              <a16:creationId xmlns="" xmlns:a16="http://schemas.microsoft.com/office/drawing/2014/main" id="{00000000-0008-0000-2B00-00007A7B0D00}"/>
            </a:ext>
          </a:extLst>
        </xdr:cNvPr>
        <xdr:cNvSpPr>
          <a:spLocks noChangeArrowheads="1"/>
        </xdr:cNvSpPr>
      </xdr:nvSpPr>
      <xdr:spPr bwMode="auto">
        <a:xfrm>
          <a:off x="6489700" y="2444750"/>
          <a:ext cx="539750" cy="3175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13</xdr:col>
      <xdr:colOff>431800</xdr:colOff>
      <xdr:row>15</xdr:row>
      <xdr:rowOff>139700</xdr:rowOff>
    </xdr:from>
    <xdr:to>
      <xdr:col>15</xdr:col>
      <xdr:colOff>184150</xdr:colOff>
      <xdr:row>16</xdr:row>
      <xdr:rowOff>57150</xdr:rowOff>
    </xdr:to>
    <xdr:sp macro="" textlink="">
      <xdr:nvSpPr>
        <xdr:cNvPr id="883579" name="Rectangle 126">
          <a:extLst>
            <a:ext uri="{FF2B5EF4-FFF2-40B4-BE49-F238E27FC236}">
              <a16:creationId xmlns="" xmlns:a16="http://schemas.microsoft.com/office/drawing/2014/main" id="{00000000-0008-0000-2B00-00007B7B0D00}"/>
            </a:ext>
          </a:extLst>
        </xdr:cNvPr>
        <xdr:cNvSpPr>
          <a:spLocks noChangeArrowheads="1"/>
        </xdr:cNvSpPr>
      </xdr:nvSpPr>
      <xdr:spPr bwMode="auto">
        <a:xfrm>
          <a:off x="8356600" y="3092450"/>
          <a:ext cx="971550" cy="114300"/>
        </a:xfrm>
        <a:prstGeom prst="rect">
          <a:avLst/>
        </a:prstGeom>
        <a:solidFill>
          <a:srgbClr val="808080"/>
        </a:solidFill>
        <a:ln w="9525">
          <a:solidFill>
            <a:srgbClr val="000000"/>
          </a:solidFill>
          <a:miter lim="800000"/>
          <a:headEnd/>
          <a:tailEnd/>
        </a:ln>
      </xdr:spPr>
    </xdr:sp>
    <xdr:clientData/>
  </xdr:twoCellAnchor>
  <xdr:twoCellAnchor>
    <xdr:from>
      <xdr:col>7</xdr:col>
      <xdr:colOff>476250</xdr:colOff>
      <xdr:row>61</xdr:row>
      <xdr:rowOff>57150</xdr:rowOff>
    </xdr:from>
    <xdr:to>
      <xdr:col>8</xdr:col>
      <xdr:colOff>57150</xdr:colOff>
      <xdr:row>65</xdr:row>
      <xdr:rowOff>139700</xdr:rowOff>
    </xdr:to>
    <xdr:sp macro="" textlink="">
      <xdr:nvSpPr>
        <xdr:cNvPr id="883580" name="Rectangle 164">
          <a:extLst>
            <a:ext uri="{FF2B5EF4-FFF2-40B4-BE49-F238E27FC236}">
              <a16:creationId xmlns="" xmlns:a16="http://schemas.microsoft.com/office/drawing/2014/main" id="{00000000-0008-0000-2B00-00007C7B0D00}"/>
            </a:ext>
          </a:extLst>
        </xdr:cNvPr>
        <xdr:cNvSpPr>
          <a:spLocks noChangeArrowheads="1"/>
        </xdr:cNvSpPr>
      </xdr:nvSpPr>
      <xdr:spPr bwMode="auto">
        <a:xfrm>
          <a:off x="4743450" y="12065000"/>
          <a:ext cx="190500" cy="869950"/>
        </a:xfrm>
        <a:prstGeom prst="rect">
          <a:avLst/>
        </a:prstGeom>
        <a:solidFill>
          <a:srgbClr val="33CCCC"/>
        </a:solidFill>
        <a:ln w="9525">
          <a:solidFill>
            <a:srgbClr val="000000"/>
          </a:solidFill>
          <a:miter lim="800000"/>
          <a:headEnd/>
          <a:tailEnd/>
        </a:ln>
      </xdr:spPr>
    </xdr:sp>
    <xdr:clientData/>
  </xdr:twoCellAnchor>
  <xdr:twoCellAnchor>
    <xdr:from>
      <xdr:col>8</xdr:col>
      <xdr:colOff>482600</xdr:colOff>
      <xdr:row>68</xdr:row>
      <xdr:rowOff>41275</xdr:rowOff>
    </xdr:from>
    <xdr:to>
      <xdr:col>11</xdr:col>
      <xdr:colOff>354175</xdr:colOff>
      <xdr:row>70</xdr:row>
      <xdr:rowOff>56810</xdr:rowOff>
    </xdr:to>
    <xdr:sp macro="" textlink="">
      <xdr:nvSpPr>
        <xdr:cNvPr id="151" name="Text Box 166">
          <a:extLst>
            <a:ext uri="{FF2B5EF4-FFF2-40B4-BE49-F238E27FC236}">
              <a16:creationId xmlns="" xmlns:a16="http://schemas.microsoft.com/office/drawing/2014/main" id="{00000000-0008-0000-2B00-000097000000}"/>
            </a:ext>
          </a:extLst>
        </xdr:cNvPr>
        <xdr:cNvSpPr txBox="1">
          <a:spLocks noChangeArrowheads="1"/>
        </xdr:cNvSpPr>
      </xdr:nvSpPr>
      <xdr:spPr bwMode="auto">
        <a:xfrm>
          <a:off x="5457825" y="13668375"/>
          <a:ext cx="1695450" cy="40005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Tuyau de trop-plein PVC50 PN10 ou PVC40 PN10</a:t>
          </a:r>
        </a:p>
      </xdr:txBody>
    </xdr:sp>
    <xdr:clientData/>
  </xdr:twoCellAnchor>
  <xdr:twoCellAnchor>
    <xdr:from>
      <xdr:col>5</xdr:col>
      <xdr:colOff>67945</xdr:colOff>
      <xdr:row>69</xdr:row>
      <xdr:rowOff>76200</xdr:rowOff>
    </xdr:from>
    <xdr:to>
      <xdr:col>8</xdr:col>
      <xdr:colOff>416064</xdr:colOff>
      <xdr:row>72</xdr:row>
      <xdr:rowOff>75776</xdr:rowOff>
    </xdr:to>
    <xdr:sp macro="" textlink="">
      <xdr:nvSpPr>
        <xdr:cNvPr id="152" name="Text Box 167">
          <a:extLst>
            <a:ext uri="{FF2B5EF4-FFF2-40B4-BE49-F238E27FC236}">
              <a16:creationId xmlns="" xmlns:a16="http://schemas.microsoft.com/office/drawing/2014/main" id="{00000000-0008-0000-2B00-000098000000}"/>
            </a:ext>
          </a:extLst>
        </xdr:cNvPr>
        <xdr:cNvSpPr txBox="1">
          <a:spLocks noChangeArrowheads="1"/>
        </xdr:cNvSpPr>
      </xdr:nvSpPr>
      <xdr:spPr bwMode="auto">
        <a:xfrm>
          <a:off x="3067050" y="13887450"/>
          <a:ext cx="2286000" cy="60007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Mur de captage (en beton dose' a 300 kg/m3) - dimensions moyennes L=2.0m; l=0.2m max; H=0.8m ancre' dans le sol impermeable</a:t>
          </a:r>
        </a:p>
      </xdr:txBody>
    </xdr:sp>
    <xdr:clientData/>
  </xdr:twoCellAnchor>
  <xdr:twoCellAnchor>
    <xdr:from>
      <xdr:col>7</xdr:col>
      <xdr:colOff>31750</xdr:colOff>
      <xdr:row>66</xdr:row>
      <xdr:rowOff>82550</xdr:rowOff>
    </xdr:from>
    <xdr:to>
      <xdr:col>7</xdr:col>
      <xdr:colOff>285750</xdr:colOff>
      <xdr:row>69</xdr:row>
      <xdr:rowOff>19050</xdr:rowOff>
    </xdr:to>
    <xdr:sp macro="" textlink="">
      <xdr:nvSpPr>
        <xdr:cNvPr id="883583" name="Line 168">
          <a:extLst>
            <a:ext uri="{FF2B5EF4-FFF2-40B4-BE49-F238E27FC236}">
              <a16:creationId xmlns="" xmlns:a16="http://schemas.microsoft.com/office/drawing/2014/main" id="{00000000-0008-0000-2B00-00007F7B0D00}"/>
            </a:ext>
          </a:extLst>
        </xdr:cNvPr>
        <xdr:cNvSpPr>
          <a:spLocks noChangeShapeType="1"/>
        </xdr:cNvSpPr>
      </xdr:nvSpPr>
      <xdr:spPr bwMode="auto">
        <a:xfrm flipV="1">
          <a:off x="4298950" y="13074650"/>
          <a:ext cx="254000" cy="5270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10</xdr:col>
      <xdr:colOff>203200</xdr:colOff>
      <xdr:row>65</xdr:row>
      <xdr:rowOff>139700</xdr:rowOff>
    </xdr:from>
    <xdr:to>
      <xdr:col>10</xdr:col>
      <xdr:colOff>336550</xdr:colOff>
      <xdr:row>67</xdr:row>
      <xdr:rowOff>63500</xdr:rowOff>
    </xdr:to>
    <xdr:sp macro="" textlink="">
      <xdr:nvSpPr>
        <xdr:cNvPr id="883584" name="Line 169">
          <a:extLst>
            <a:ext uri="{FF2B5EF4-FFF2-40B4-BE49-F238E27FC236}">
              <a16:creationId xmlns="" xmlns:a16="http://schemas.microsoft.com/office/drawing/2014/main" id="{00000000-0008-0000-2B00-0000807B0D00}"/>
            </a:ext>
          </a:extLst>
        </xdr:cNvPr>
        <xdr:cNvSpPr>
          <a:spLocks noChangeShapeType="1"/>
        </xdr:cNvSpPr>
      </xdr:nvSpPr>
      <xdr:spPr bwMode="auto">
        <a:xfrm flipV="1">
          <a:off x="6299200" y="12934950"/>
          <a:ext cx="133350" cy="31750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8</xdr:col>
      <xdr:colOff>175895</xdr:colOff>
      <xdr:row>59</xdr:row>
      <xdr:rowOff>4445</xdr:rowOff>
    </xdr:from>
    <xdr:to>
      <xdr:col>11</xdr:col>
      <xdr:colOff>67528</xdr:colOff>
      <xdr:row>62</xdr:row>
      <xdr:rowOff>61205</xdr:rowOff>
    </xdr:to>
    <xdr:sp macro="" textlink="">
      <xdr:nvSpPr>
        <xdr:cNvPr id="155" name="Text Box 170">
          <a:extLst>
            <a:ext uri="{FF2B5EF4-FFF2-40B4-BE49-F238E27FC236}">
              <a16:creationId xmlns="" xmlns:a16="http://schemas.microsoft.com/office/drawing/2014/main" id="{00000000-0008-0000-2B00-00009B000000}"/>
            </a:ext>
          </a:extLst>
        </xdr:cNvPr>
        <xdr:cNvSpPr txBox="1">
          <a:spLocks noChangeArrowheads="1"/>
        </xdr:cNvSpPr>
      </xdr:nvSpPr>
      <xdr:spPr bwMode="auto">
        <a:xfrm>
          <a:off x="5057775" y="11839575"/>
          <a:ext cx="1695450" cy="60007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Tuyau d'adduction PVC50 PN10 ou PVC40 PN10 - minimum slope/pente 3% en direction de l'aire de puisage</a:t>
          </a:r>
        </a:p>
      </xdr:txBody>
    </xdr:sp>
    <xdr:clientData/>
  </xdr:twoCellAnchor>
  <xdr:twoCellAnchor>
    <xdr:from>
      <xdr:col>9</xdr:col>
      <xdr:colOff>412750</xdr:colOff>
      <xdr:row>62</xdr:row>
      <xdr:rowOff>19050</xdr:rowOff>
    </xdr:from>
    <xdr:to>
      <xdr:col>10</xdr:col>
      <xdr:colOff>50800</xdr:colOff>
      <xdr:row>63</xdr:row>
      <xdr:rowOff>25400</xdr:rowOff>
    </xdr:to>
    <xdr:sp macro="" textlink="">
      <xdr:nvSpPr>
        <xdr:cNvPr id="883586" name="Line 171">
          <a:extLst>
            <a:ext uri="{FF2B5EF4-FFF2-40B4-BE49-F238E27FC236}">
              <a16:creationId xmlns="" xmlns:a16="http://schemas.microsoft.com/office/drawing/2014/main" id="{00000000-0008-0000-2B00-0000827B0D00}"/>
            </a:ext>
          </a:extLst>
        </xdr:cNvPr>
        <xdr:cNvSpPr>
          <a:spLocks noChangeShapeType="1"/>
        </xdr:cNvSpPr>
      </xdr:nvSpPr>
      <xdr:spPr bwMode="auto">
        <a:xfrm>
          <a:off x="5899150" y="12223750"/>
          <a:ext cx="247650" cy="20320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0</xdr:col>
      <xdr:colOff>308610</xdr:colOff>
      <xdr:row>55</xdr:row>
      <xdr:rowOff>92710</xdr:rowOff>
    </xdr:from>
    <xdr:to>
      <xdr:col>2</xdr:col>
      <xdr:colOff>61295</xdr:colOff>
      <xdr:row>56</xdr:row>
      <xdr:rowOff>173968</xdr:rowOff>
    </xdr:to>
    <xdr:sp macro="" textlink="">
      <xdr:nvSpPr>
        <xdr:cNvPr id="157" name="Text Box 142">
          <a:extLst>
            <a:ext uri="{FF2B5EF4-FFF2-40B4-BE49-F238E27FC236}">
              <a16:creationId xmlns="" xmlns:a16="http://schemas.microsoft.com/office/drawing/2014/main" id="{00000000-0008-0000-2B00-00009D000000}"/>
            </a:ext>
          </a:extLst>
        </xdr:cNvPr>
        <xdr:cNvSpPr txBox="1">
          <a:spLocks noChangeArrowheads="1"/>
        </xdr:cNvSpPr>
      </xdr:nvSpPr>
      <xdr:spPr bwMode="auto">
        <a:xfrm>
          <a:off x="390525" y="11125200"/>
          <a:ext cx="838200" cy="276558"/>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Terrain natural</a:t>
          </a:r>
        </a:p>
      </xdr:txBody>
    </xdr:sp>
    <xdr:clientData/>
  </xdr:twoCellAnchor>
  <xdr:twoCellAnchor>
    <xdr:from>
      <xdr:col>3</xdr:col>
      <xdr:colOff>438150</xdr:colOff>
      <xdr:row>55</xdr:row>
      <xdr:rowOff>19050</xdr:rowOff>
    </xdr:from>
    <xdr:to>
      <xdr:col>7</xdr:col>
      <xdr:colOff>374650</xdr:colOff>
      <xdr:row>58</xdr:row>
      <xdr:rowOff>101600</xdr:rowOff>
    </xdr:to>
    <xdr:sp macro="" textlink="">
      <xdr:nvSpPr>
        <xdr:cNvPr id="883588" name="Rectangle 175" descr="Dark downward diagonal">
          <a:extLst>
            <a:ext uri="{FF2B5EF4-FFF2-40B4-BE49-F238E27FC236}">
              <a16:creationId xmlns="" xmlns:a16="http://schemas.microsoft.com/office/drawing/2014/main" id="{00000000-0008-0000-2B00-0000847B0D00}"/>
            </a:ext>
          </a:extLst>
        </xdr:cNvPr>
        <xdr:cNvSpPr>
          <a:spLocks noChangeArrowheads="1"/>
        </xdr:cNvSpPr>
      </xdr:nvSpPr>
      <xdr:spPr bwMode="auto">
        <a:xfrm>
          <a:off x="2266950" y="10845800"/>
          <a:ext cx="2374900" cy="673100"/>
        </a:xfrm>
        <a:prstGeom prst="rect">
          <a:avLst/>
        </a:prstGeom>
        <a:blipFill dpi="0" rotWithShape="0">
          <a:blip xmlns:r="http://schemas.openxmlformats.org/officeDocument/2006/relationships" r:embed="rId4"/>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400050</xdr:colOff>
      <xdr:row>55</xdr:row>
      <xdr:rowOff>0</xdr:rowOff>
    </xdr:from>
    <xdr:to>
      <xdr:col>15</xdr:col>
      <xdr:colOff>374650</xdr:colOff>
      <xdr:row>60</xdr:row>
      <xdr:rowOff>57150</xdr:rowOff>
    </xdr:to>
    <xdr:sp macro="" textlink="">
      <xdr:nvSpPr>
        <xdr:cNvPr id="883589" name="Freeform 140">
          <a:extLst>
            <a:ext uri="{FF2B5EF4-FFF2-40B4-BE49-F238E27FC236}">
              <a16:creationId xmlns="" xmlns:a16="http://schemas.microsoft.com/office/drawing/2014/main" id="{00000000-0008-0000-2B00-0000857B0D00}"/>
            </a:ext>
          </a:extLst>
        </xdr:cNvPr>
        <xdr:cNvSpPr>
          <a:spLocks/>
        </xdr:cNvSpPr>
      </xdr:nvSpPr>
      <xdr:spPr bwMode="auto">
        <a:xfrm>
          <a:off x="3448050" y="10826750"/>
          <a:ext cx="6070600" cy="1041400"/>
        </a:xfrm>
        <a:custGeom>
          <a:avLst/>
          <a:gdLst>
            <a:gd name="T0" fmla="*/ 0 w 663"/>
            <a:gd name="T1" fmla="*/ 0 h 96"/>
            <a:gd name="T2" fmla="*/ 2147483646 w 663"/>
            <a:gd name="T3" fmla="*/ 2147483646 h 96"/>
            <a:gd name="T4" fmla="*/ 2147483646 w 663"/>
            <a:gd name="T5" fmla="*/ 2147483646 h 96"/>
            <a:gd name="T6" fmla="*/ 2147483646 w 663"/>
            <a:gd name="T7" fmla="*/ 2147483646 h 96"/>
            <a:gd name="T8" fmla="*/ 2147483646 w 663"/>
            <a:gd name="T9" fmla="*/ 2147483646 h 96"/>
            <a:gd name="T10" fmla="*/ 2147483646 w 663"/>
            <a:gd name="T11" fmla="*/ 2147483646 h 96"/>
            <a:gd name="T12" fmla="*/ 2147483646 w 663"/>
            <a:gd name="T13" fmla="*/ 2147483646 h 96"/>
            <a:gd name="T14" fmla="*/ 2147483646 w 663"/>
            <a:gd name="T15" fmla="*/ 2147483646 h 96"/>
            <a:gd name="T16" fmla="*/ 2147483646 w 663"/>
            <a:gd name="T17" fmla="*/ 2147483646 h 96"/>
            <a:gd name="T18" fmla="*/ 2147483646 w 663"/>
            <a:gd name="T19" fmla="*/ 2147483646 h 96"/>
            <a:gd name="T20" fmla="*/ 2147483646 w 663"/>
            <a:gd name="T21" fmla="*/ 2147483646 h 96"/>
            <a:gd name="T22" fmla="*/ 2147483646 w 663"/>
            <a:gd name="T23" fmla="*/ 2147483646 h 9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663"/>
            <a:gd name="T37" fmla="*/ 0 h 96"/>
            <a:gd name="T38" fmla="*/ 663 w 663"/>
            <a:gd name="T39" fmla="*/ 96 h 96"/>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663" h="96">
              <a:moveTo>
                <a:pt x="0" y="0"/>
              </a:moveTo>
              <a:cubicBezTo>
                <a:pt x="39" y="5"/>
                <a:pt x="78" y="10"/>
                <a:pt x="96" y="12"/>
              </a:cubicBezTo>
              <a:cubicBezTo>
                <a:pt x="114" y="14"/>
                <a:pt x="95" y="9"/>
                <a:pt x="106" y="14"/>
              </a:cubicBezTo>
              <a:cubicBezTo>
                <a:pt x="117" y="19"/>
                <a:pt x="147" y="36"/>
                <a:pt x="162" y="40"/>
              </a:cubicBezTo>
              <a:cubicBezTo>
                <a:pt x="177" y="44"/>
                <a:pt x="180" y="30"/>
                <a:pt x="198" y="35"/>
              </a:cubicBezTo>
              <a:cubicBezTo>
                <a:pt x="216" y="40"/>
                <a:pt x="255" y="63"/>
                <a:pt x="271" y="68"/>
              </a:cubicBezTo>
              <a:cubicBezTo>
                <a:pt x="287" y="73"/>
                <a:pt x="278" y="65"/>
                <a:pt x="296" y="67"/>
              </a:cubicBezTo>
              <a:cubicBezTo>
                <a:pt x="314" y="69"/>
                <a:pt x="354" y="78"/>
                <a:pt x="380" y="80"/>
              </a:cubicBezTo>
              <a:cubicBezTo>
                <a:pt x="406" y="82"/>
                <a:pt x="429" y="77"/>
                <a:pt x="453" y="79"/>
              </a:cubicBezTo>
              <a:cubicBezTo>
                <a:pt x="477" y="81"/>
                <a:pt x="505" y="89"/>
                <a:pt x="524" y="91"/>
              </a:cubicBezTo>
              <a:cubicBezTo>
                <a:pt x="543" y="93"/>
                <a:pt x="547" y="90"/>
                <a:pt x="570" y="91"/>
              </a:cubicBezTo>
              <a:cubicBezTo>
                <a:pt x="593" y="92"/>
                <a:pt x="628" y="94"/>
                <a:pt x="663" y="96"/>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438150</xdr:colOff>
      <xdr:row>58</xdr:row>
      <xdr:rowOff>6350</xdr:rowOff>
    </xdr:from>
    <xdr:to>
      <xdr:col>7</xdr:col>
      <xdr:colOff>361950</xdr:colOff>
      <xdr:row>59</xdr:row>
      <xdr:rowOff>6350</xdr:rowOff>
    </xdr:to>
    <xdr:sp macro="" textlink="">
      <xdr:nvSpPr>
        <xdr:cNvPr id="883590" name="Rectangle 143" descr="Granite">
          <a:extLst>
            <a:ext uri="{FF2B5EF4-FFF2-40B4-BE49-F238E27FC236}">
              <a16:creationId xmlns="" xmlns:a16="http://schemas.microsoft.com/office/drawing/2014/main" id="{00000000-0008-0000-2B00-0000867B0D00}"/>
            </a:ext>
          </a:extLst>
        </xdr:cNvPr>
        <xdr:cNvSpPr>
          <a:spLocks noChangeArrowheads="1"/>
        </xdr:cNvSpPr>
      </xdr:nvSpPr>
      <xdr:spPr bwMode="auto">
        <a:xfrm rot="180000" flipV="1">
          <a:off x="2266950" y="11423650"/>
          <a:ext cx="2362200" cy="196850"/>
        </a:xfrm>
        <a:prstGeom prst="rect">
          <a:avLst/>
        </a:prstGeom>
        <a:blipFill dpi="0" rotWithShape="0">
          <a:blip xmlns:r="http://schemas.openxmlformats.org/officeDocument/2006/relationships" r:embed="rId7"/>
          <a:srcRect/>
          <a:tile tx="0" ty="0" sx="100000" sy="100000" flip="none" algn="tl"/>
        </a:blipFill>
        <a:ln>
          <a:noFill/>
        </a:ln>
        <a:extLst>
          <a:ext uri="{91240B29-F687-4F45-9708-019B960494DF}">
            <a14:hiddenLine xmlns:a14="http://schemas.microsoft.com/office/drawing/2010/main" w="3175">
              <a:solidFill>
                <a:srgbClr val="000000"/>
              </a:solidFill>
              <a:miter lim="800000"/>
              <a:headEnd/>
              <a:tailEnd/>
            </a14:hiddenLine>
          </a:ext>
        </a:extLst>
      </xdr:spPr>
    </xdr:sp>
    <xdr:clientData/>
  </xdr:twoCellAnchor>
  <xdr:twoCellAnchor>
    <xdr:from>
      <xdr:col>6</xdr:col>
      <xdr:colOff>64135</xdr:colOff>
      <xdr:row>56</xdr:row>
      <xdr:rowOff>41275</xdr:rowOff>
    </xdr:from>
    <xdr:to>
      <xdr:col>6</xdr:col>
      <xdr:colOff>293081</xdr:colOff>
      <xdr:row>57</xdr:row>
      <xdr:rowOff>76695</xdr:rowOff>
    </xdr:to>
    <xdr:sp macro="" textlink="">
      <xdr:nvSpPr>
        <xdr:cNvPr id="161" name="Text Box 156">
          <a:extLst>
            <a:ext uri="{FF2B5EF4-FFF2-40B4-BE49-F238E27FC236}">
              <a16:creationId xmlns="" xmlns:a16="http://schemas.microsoft.com/office/drawing/2014/main" id="{00000000-0008-0000-2B00-0000A1000000}"/>
            </a:ext>
          </a:extLst>
        </xdr:cNvPr>
        <xdr:cNvSpPr txBox="1">
          <a:spLocks noChangeArrowheads="1"/>
        </xdr:cNvSpPr>
      </xdr:nvSpPr>
      <xdr:spPr bwMode="auto">
        <a:xfrm>
          <a:off x="3733800" y="11268075"/>
          <a:ext cx="276225" cy="21907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3%</a:t>
          </a:r>
        </a:p>
      </xdr:txBody>
    </xdr:sp>
    <xdr:clientData/>
  </xdr:twoCellAnchor>
  <xdr:twoCellAnchor>
    <xdr:from>
      <xdr:col>6</xdr:col>
      <xdr:colOff>31750</xdr:colOff>
      <xdr:row>57</xdr:row>
      <xdr:rowOff>114300</xdr:rowOff>
    </xdr:from>
    <xdr:to>
      <xdr:col>6</xdr:col>
      <xdr:colOff>317500</xdr:colOff>
      <xdr:row>57</xdr:row>
      <xdr:rowOff>139700</xdr:rowOff>
    </xdr:to>
    <xdr:sp macro="" textlink="">
      <xdr:nvSpPr>
        <xdr:cNvPr id="883592" name="Line 155">
          <a:extLst>
            <a:ext uri="{FF2B5EF4-FFF2-40B4-BE49-F238E27FC236}">
              <a16:creationId xmlns="" xmlns:a16="http://schemas.microsoft.com/office/drawing/2014/main" id="{00000000-0008-0000-2B00-0000887B0D00}"/>
            </a:ext>
          </a:extLst>
        </xdr:cNvPr>
        <xdr:cNvSpPr>
          <a:spLocks noChangeShapeType="1"/>
        </xdr:cNvSpPr>
      </xdr:nvSpPr>
      <xdr:spPr bwMode="auto">
        <a:xfrm>
          <a:off x="3689350" y="11334750"/>
          <a:ext cx="285750" cy="25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477520</xdr:colOff>
      <xdr:row>55</xdr:row>
      <xdr:rowOff>36830</xdr:rowOff>
    </xdr:from>
    <xdr:to>
      <xdr:col>5</xdr:col>
      <xdr:colOff>176377</xdr:colOff>
      <xdr:row>56</xdr:row>
      <xdr:rowOff>112678</xdr:rowOff>
    </xdr:to>
    <xdr:sp macro="" textlink="">
      <xdr:nvSpPr>
        <xdr:cNvPr id="163" name="Text Box 176">
          <a:extLst>
            <a:ext uri="{FF2B5EF4-FFF2-40B4-BE49-F238E27FC236}">
              <a16:creationId xmlns="" xmlns:a16="http://schemas.microsoft.com/office/drawing/2014/main" id="{00000000-0008-0000-2B00-0000A3000000}"/>
            </a:ext>
          </a:extLst>
        </xdr:cNvPr>
        <xdr:cNvSpPr txBox="1">
          <a:spLocks noChangeArrowheads="1"/>
        </xdr:cNvSpPr>
      </xdr:nvSpPr>
      <xdr:spPr bwMode="auto">
        <a:xfrm>
          <a:off x="2428875" y="11058525"/>
          <a:ext cx="838200" cy="266787"/>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Terrain remblais</a:t>
          </a:r>
        </a:p>
      </xdr:txBody>
    </xdr:sp>
    <xdr:clientData/>
  </xdr:twoCellAnchor>
  <xdr:twoCellAnchor>
    <xdr:from>
      <xdr:col>3</xdr:col>
      <xdr:colOff>57150</xdr:colOff>
      <xdr:row>57</xdr:row>
      <xdr:rowOff>139700</xdr:rowOff>
    </xdr:from>
    <xdr:to>
      <xdr:col>4</xdr:col>
      <xdr:colOff>57150</xdr:colOff>
      <xdr:row>61</xdr:row>
      <xdr:rowOff>82550</xdr:rowOff>
    </xdr:to>
    <xdr:sp macro="" textlink="">
      <xdr:nvSpPr>
        <xdr:cNvPr id="883594" name="Line 147">
          <a:extLst>
            <a:ext uri="{FF2B5EF4-FFF2-40B4-BE49-F238E27FC236}">
              <a16:creationId xmlns="" xmlns:a16="http://schemas.microsoft.com/office/drawing/2014/main" id="{00000000-0008-0000-2B00-00008A7B0D00}"/>
            </a:ext>
          </a:extLst>
        </xdr:cNvPr>
        <xdr:cNvSpPr>
          <a:spLocks noChangeShapeType="1"/>
        </xdr:cNvSpPr>
      </xdr:nvSpPr>
      <xdr:spPr bwMode="auto">
        <a:xfrm flipV="1">
          <a:off x="1885950" y="11360150"/>
          <a:ext cx="609600" cy="7302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4</xdr:col>
      <xdr:colOff>0</xdr:colOff>
      <xdr:row>59</xdr:row>
      <xdr:rowOff>35560</xdr:rowOff>
    </xdr:from>
    <xdr:to>
      <xdr:col>6</xdr:col>
      <xdr:colOff>135711</xdr:colOff>
      <xdr:row>61</xdr:row>
      <xdr:rowOff>20953</xdr:rowOff>
    </xdr:to>
    <xdr:sp macro="" textlink="">
      <xdr:nvSpPr>
        <xdr:cNvPr id="165" name="Text Box 177">
          <a:extLst>
            <a:ext uri="{FF2B5EF4-FFF2-40B4-BE49-F238E27FC236}">
              <a16:creationId xmlns="" xmlns:a16="http://schemas.microsoft.com/office/drawing/2014/main" id="{00000000-0008-0000-2B00-0000A5000000}"/>
            </a:ext>
          </a:extLst>
        </xdr:cNvPr>
        <xdr:cNvSpPr txBox="1">
          <a:spLocks noChangeArrowheads="1"/>
        </xdr:cNvSpPr>
      </xdr:nvSpPr>
      <xdr:spPr bwMode="auto">
        <a:xfrm>
          <a:off x="2438400" y="11868150"/>
          <a:ext cx="1362075" cy="371475"/>
        </a:xfrm>
        <a:prstGeom prst="rect">
          <a:avLst/>
        </a:prstGeom>
        <a:solidFill>
          <a:srgbClr val="FFFFFF"/>
        </a:solidFill>
        <a:ln w="9525">
          <a:noFill/>
          <a:miter lim="800000"/>
          <a:headEnd/>
          <a:tailEnd/>
        </a:ln>
        <a:effectLst/>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Massif filtrant de gravier (D=5-25mm) et moeillons</a:t>
          </a:r>
        </a:p>
      </xdr:txBody>
    </xdr:sp>
    <xdr:clientData/>
  </xdr:twoCellAnchor>
  <xdr:twoCellAnchor>
    <xdr:from>
      <xdr:col>15</xdr:col>
      <xdr:colOff>190500</xdr:colOff>
      <xdr:row>59</xdr:row>
      <xdr:rowOff>139700</xdr:rowOff>
    </xdr:from>
    <xdr:to>
      <xdr:col>15</xdr:col>
      <xdr:colOff>400050</xdr:colOff>
      <xdr:row>68</xdr:row>
      <xdr:rowOff>95250</xdr:rowOff>
    </xdr:to>
    <xdr:sp macro="" textlink="">
      <xdr:nvSpPr>
        <xdr:cNvPr id="883596" name="Rectangle 178" descr="Recycled paper">
          <a:extLst>
            <a:ext uri="{FF2B5EF4-FFF2-40B4-BE49-F238E27FC236}">
              <a16:creationId xmlns="" xmlns:a16="http://schemas.microsoft.com/office/drawing/2014/main" id="{00000000-0008-0000-2B00-00008C7B0D00}"/>
            </a:ext>
          </a:extLst>
        </xdr:cNvPr>
        <xdr:cNvSpPr>
          <a:spLocks noChangeArrowheads="1"/>
        </xdr:cNvSpPr>
      </xdr:nvSpPr>
      <xdr:spPr bwMode="auto">
        <a:xfrm>
          <a:off x="9334500" y="11753850"/>
          <a:ext cx="209550" cy="17272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11</xdr:col>
      <xdr:colOff>448310</xdr:colOff>
      <xdr:row>69</xdr:row>
      <xdr:rowOff>76200</xdr:rowOff>
    </xdr:from>
    <xdr:to>
      <xdr:col>15</xdr:col>
      <xdr:colOff>305070</xdr:colOff>
      <xdr:row>71</xdr:row>
      <xdr:rowOff>76677</xdr:rowOff>
    </xdr:to>
    <xdr:sp macro="" textlink="">
      <xdr:nvSpPr>
        <xdr:cNvPr id="167" name="Text Box 179">
          <a:extLst>
            <a:ext uri="{FF2B5EF4-FFF2-40B4-BE49-F238E27FC236}">
              <a16:creationId xmlns="" xmlns:a16="http://schemas.microsoft.com/office/drawing/2014/main" id="{00000000-0008-0000-2B00-0000A7000000}"/>
            </a:ext>
          </a:extLst>
        </xdr:cNvPr>
        <xdr:cNvSpPr txBox="1">
          <a:spLocks noChangeArrowheads="1"/>
        </xdr:cNvSpPr>
      </xdr:nvSpPr>
      <xdr:spPr bwMode="auto">
        <a:xfrm>
          <a:off x="7239000" y="13887450"/>
          <a:ext cx="2286000" cy="438037"/>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Mur de l'aire de puisage maconne' en moeillons avec lissage au mortier hydrofuge'</a:t>
          </a:r>
        </a:p>
      </xdr:txBody>
    </xdr:sp>
    <xdr:clientData/>
  </xdr:twoCellAnchor>
  <xdr:twoCellAnchor>
    <xdr:from>
      <xdr:col>14</xdr:col>
      <xdr:colOff>438150</xdr:colOff>
      <xdr:row>67</xdr:row>
      <xdr:rowOff>114300</xdr:rowOff>
    </xdr:from>
    <xdr:to>
      <xdr:col>15</xdr:col>
      <xdr:colOff>266700</xdr:colOff>
      <xdr:row>69</xdr:row>
      <xdr:rowOff>63500</xdr:rowOff>
    </xdr:to>
    <xdr:sp macro="" textlink="">
      <xdr:nvSpPr>
        <xdr:cNvPr id="883598" name="Line 180">
          <a:extLst>
            <a:ext uri="{FF2B5EF4-FFF2-40B4-BE49-F238E27FC236}">
              <a16:creationId xmlns="" xmlns:a16="http://schemas.microsoft.com/office/drawing/2014/main" id="{00000000-0008-0000-2B00-00008E7B0D00}"/>
            </a:ext>
          </a:extLst>
        </xdr:cNvPr>
        <xdr:cNvSpPr>
          <a:spLocks noChangeShapeType="1"/>
        </xdr:cNvSpPr>
      </xdr:nvSpPr>
      <xdr:spPr bwMode="auto">
        <a:xfrm flipV="1">
          <a:off x="8972550" y="13303250"/>
          <a:ext cx="438150" cy="34290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16</xdr:col>
      <xdr:colOff>102235</xdr:colOff>
      <xdr:row>57</xdr:row>
      <xdr:rowOff>19685</xdr:rowOff>
    </xdr:from>
    <xdr:to>
      <xdr:col>18</xdr:col>
      <xdr:colOff>483376</xdr:colOff>
      <xdr:row>60</xdr:row>
      <xdr:rowOff>810</xdr:rowOff>
    </xdr:to>
    <xdr:sp macro="" textlink="">
      <xdr:nvSpPr>
        <xdr:cNvPr id="169" name="Text Box 182">
          <a:extLst>
            <a:ext uri="{FF2B5EF4-FFF2-40B4-BE49-F238E27FC236}">
              <a16:creationId xmlns="" xmlns:a16="http://schemas.microsoft.com/office/drawing/2014/main" id="{00000000-0008-0000-2B00-0000A9000000}"/>
            </a:ext>
          </a:extLst>
        </xdr:cNvPr>
        <xdr:cNvSpPr txBox="1">
          <a:spLocks noChangeArrowheads="1"/>
        </xdr:cNvSpPr>
      </xdr:nvSpPr>
      <xdr:spPr bwMode="auto">
        <a:xfrm>
          <a:off x="9858375" y="11410950"/>
          <a:ext cx="1695450" cy="60007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Gaine de protection en tuyau galvanise' 2" (longeur=0.6m pour traverser le mur)</a:t>
          </a:r>
        </a:p>
      </xdr:txBody>
    </xdr:sp>
    <xdr:clientData/>
  </xdr:twoCellAnchor>
  <xdr:twoCellAnchor>
    <xdr:from>
      <xdr:col>16</xdr:col>
      <xdr:colOff>323850</xdr:colOff>
      <xdr:row>60</xdr:row>
      <xdr:rowOff>38100</xdr:rowOff>
    </xdr:from>
    <xdr:to>
      <xdr:col>17</xdr:col>
      <xdr:colOff>95250</xdr:colOff>
      <xdr:row>62</xdr:row>
      <xdr:rowOff>19050</xdr:rowOff>
    </xdr:to>
    <xdr:sp macro="" textlink="">
      <xdr:nvSpPr>
        <xdr:cNvPr id="883600" name="Line 183">
          <a:extLst>
            <a:ext uri="{FF2B5EF4-FFF2-40B4-BE49-F238E27FC236}">
              <a16:creationId xmlns="" xmlns:a16="http://schemas.microsoft.com/office/drawing/2014/main" id="{00000000-0008-0000-2B00-0000907B0D00}"/>
            </a:ext>
          </a:extLst>
        </xdr:cNvPr>
        <xdr:cNvSpPr>
          <a:spLocks noChangeShapeType="1"/>
        </xdr:cNvSpPr>
      </xdr:nvSpPr>
      <xdr:spPr bwMode="auto">
        <a:xfrm flipH="1">
          <a:off x="10077450" y="11849100"/>
          <a:ext cx="381000" cy="3746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13</xdr:col>
      <xdr:colOff>450850</xdr:colOff>
      <xdr:row>60</xdr:row>
      <xdr:rowOff>57150</xdr:rowOff>
    </xdr:from>
    <xdr:to>
      <xdr:col>15</xdr:col>
      <xdr:colOff>190500</xdr:colOff>
      <xdr:row>64</xdr:row>
      <xdr:rowOff>19050</xdr:rowOff>
    </xdr:to>
    <xdr:sp macro="" textlink="">
      <xdr:nvSpPr>
        <xdr:cNvPr id="883601" name="Rectangle 184" descr="Dark downward diagonal">
          <a:extLst>
            <a:ext uri="{FF2B5EF4-FFF2-40B4-BE49-F238E27FC236}">
              <a16:creationId xmlns="" xmlns:a16="http://schemas.microsoft.com/office/drawing/2014/main" id="{00000000-0008-0000-2B00-0000917B0D00}"/>
            </a:ext>
          </a:extLst>
        </xdr:cNvPr>
        <xdr:cNvSpPr>
          <a:spLocks noChangeArrowheads="1"/>
        </xdr:cNvSpPr>
      </xdr:nvSpPr>
      <xdr:spPr bwMode="auto">
        <a:xfrm>
          <a:off x="8375650" y="11868150"/>
          <a:ext cx="958850" cy="749300"/>
        </a:xfrm>
        <a:prstGeom prst="rect">
          <a:avLst/>
        </a:prstGeom>
        <a:blipFill dpi="0" rotWithShape="0">
          <a:blip xmlns:r="http://schemas.openxmlformats.org/officeDocument/2006/relationships" r:embed="rId4"/>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476250</xdr:colOff>
      <xdr:row>65</xdr:row>
      <xdr:rowOff>57150</xdr:rowOff>
    </xdr:from>
    <xdr:to>
      <xdr:col>15</xdr:col>
      <xdr:colOff>476250</xdr:colOff>
      <xdr:row>65</xdr:row>
      <xdr:rowOff>139700</xdr:rowOff>
    </xdr:to>
    <xdr:sp macro="" textlink="">
      <xdr:nvSpPr>
        <xdr:cNvPr id="883602" name="Rectangle 165">
          <a:extLst>
            <a:ext uri="{FF2B5EF4-FFF2-40B4-BE49-F238E27FC236}">
              <a16:creationId xmlns="" xmlns:a16="http://schemas.microsoft.com/office/drawing/2014/main" id="{00000000-0008-0000-2B00-0000927B0D00}"/>
            </a:ext>
          </a:extLst>
        </xdr:cNvPr>
        <xdr:cNvSpPr>
          <a:spLocks noChangeArrowheads="1"/>
        </xdr:cNvSpPr>
      </xdr:nvSpPr>
      <xdr:spPr bwMode="auto">
        <a:xfrm>
          <a:off x="4743450" y="12852400"/>
          <a:ext cx="4876800" cy="82550"/>
        </a:xfrm>
        <a:prstGeom prst="rect">
          <a:avLst/>
        </a:prstGeom>
        <a:solidFill>
          <a:srgbClr val="33CCCC"/>
        </a:solidFill>
        <a:ln w="9525">
          <a:solidFill>
            <a:srgbClr val="000000"/>
          </a:solidFill>
          <a:miter lim="800000"/>
          <a:headEnd/>
          <a:tailEnd/>
        </a:ln>
      </xdr:spPr>
    </xdr:sp>
    <xdr:clientData/>
  </xdr:twoCellAnchor>
  <xdr:twoCellAnchor>
    <xdr:from>
      <xdr:col>7</xdr:col>
      <xdr:colOff>165100</xdr:colOff>
      <xdr:row>62</xdr:row>
      <xdr:rowOff>95250</xdr:rowOff>
    </xdr:from>
    <xdr:to>
      <xdr:col>16</xdr:col>
      <xdr:colOff>171450</xdr:colOff>
      <xdr:row>63</xdr:row>
      <xdr:rowOff>25400</xdr:rowOff>
    </xdr:to>
    <xdr:sp macro="" textlink="">
      <xdr:nvSpPr>
        <xdr:cNvPr id="883603" name="Rectangle 153">
          <a:extLst>
            <a:ext uri="{FF2B5EF4-FFF2-40B4-BE49-F238E27FC236}">
              <a16:creationId xmlns="" xmlns:a16="http://schemas.microsoft.com/office/drawing/2014/main" id="{00000000-0008-0000-2B00-0000937B0D00}"/>
            </a:ext>
          </a:extLst>
        </xdr:cNvPr>
        <xdr:cNvSpPr>
          <a:spLocks noChangeArrowheads="1"/>
        </xdr:cNvSpPr>
      </xdr:nvSpPr>
      <xdr:spPr bwMode="auto">
        <a:xfrm>
          <a:off x="4432300" y="12299950"/>
          <a:ext cx="5492750" cy="127000"/>
        </a:xfrm>
        <a:prstGeom prst="rect">
          <a:avLst/>
        </a:prstGeom>
        <a:solidFill>
          <a:srgbClr val="33CCCC"/>
        </a:solidFill>
        <a:ln w="9525">
          <a:solidFill>
            <a:srgbClr val="000000"/>
          </a:solidFill>
          <a:miter lim="800000"/>
          <a:headEnd/>
          <a:tailEnd/>
        </a:ln>
      </xdr:spPr>
    </xdr:sp>
    <xdr:clientData/>
  </xdr:twoCellAnchor>
  <xdr:twoCellAnchor>
    <xdr:from>
      <xdr:col>15</xdr:col>
      <xdr:colOff>190500</xdr:colOff>
      <xdr:row>62</xdr:row>
      <xdr:rowOff>95250</xdr:rowOff>
    </xdr:from>
    <xdr:to>
      <xdr:col>16</xdr:col>
      <xdr:colOff>260350</xdr:colOff>
      <xdr:row>63</xdr:row>
      <xdr:rowOff>25400</xdr:rowOff>
    </xdr:to>
    <xdr:sp macro="" textlink="">
      <xdr:nvSpPr>
        <xdr:cNvPr id="883604" name="Rectangle 181">
          <a:extLst>
            <a:ext uri="{FF2B5EF4-FFF2-40B4-BE49-F238E27FC236}">
              <a16:creationId xmlns="" xmlns:a16="http://schemas.microsoft.com/office/drawing/2014/main" id="{00000000-0008-0000-2B00-0000947B0D00}"/>
            </a:ext>
          </a:extLst>
        </xdr:cNvPr>
        <xdr:cNvSpPr>
          <a:spLocks noChangeArrowheads="1"/>
        </xdr:cNvSpPr>
      </xdr:nvSpPr>
      <xdr:spPr bwMode="auto">
        <a:xfrm>
          <a:off x="9334500" y="12299950"/>
          <a:ext cx="679450" cy="127000"/>
        </a:xfrm>
        <a:prstGeom prst="rect">
          <a:avLst/>
        </a:prstGeom>
        <a:solidFill>
          <a:srgbClr val="808080"/>
        </a:solidFill>
        <a:ln w="9525">
          <a:solidFill>
            <a:srgbClr val="000000"/>
          </a:solidFill>
          <a:miter lim="800000"/>
          <a:headEnd/>
          <a:tailEnd/>
        </a:ln>
      </xdr:spPr>
    </xdr:sp>
    <xdr:clientData/>
  </xdr:twoCellAnchor>
  <xdr:twoCellAnchor>
    <xdr:from>
      <xdr:col>14</xdr:col>
      <xdr:colOff>374650</xdr:colOff>
      <xdr:row>44</xdr:row>
      <xdr:rowOff>57150</xdr:rowOff>
    </xdr:from>
    <xdr:to>
      <xdr:col>14</xdr:col>
      <xdr:colOff>438150</xdr:colOff>
      <xdr:row>61</xdr:row>
      <xdr:rowOff>44450</xdr:rowOff>
    </xdr:to>
    <xdr:sp macro="" textlink="">
      <xdr:nvSpPr>
        <xdr:cNvPr id="883605" name="Rectangle 185" descr="Woven mat">
          <a:extLst>
            <a:ext uri="{FF2B5EF4-FFF2-40B4-BE49-F238E27FC236}">
              <a16:creationId xmlns="" xmlns:a16="http://schemas.microsoft.com/office/drawing/2014/main" id="{00000000-0008-0000-2B00-0000957B0D00}"/>
            </a:ext>
          </a:extLst>
        </xdr:cNvPr>
        <xdr:cNvSpPr>
          <a:spLocks noChangeArrowheads="1"/>
        </xdr:cNvSpPr>
      </xdr:nvSpPr>
      <xdr:spPr bwMode="auto">
        <a:xfrm>
          <a:off x="8909050" y="8718550"/>
          <a:ext cx="63500" cy="33337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13</xdr:col>
      <xdr:colOff>296545</xdr:colOff>
      <xdr:row>42</xdr:row>
      <xdr:rowOff>136525</xdr:rowOff>
    </xdr:from>
    <xdr:to>
      <xdr:col>14</xdr:col>
      <xdr:colOff>296545</xdr:colOff>
      <xdr:row>44</xdr:row>
      <xdr:rowOff>149958</xdr:rowOff>
    </xdr:to>
    <xdr:sp macro="" textlink="">
      <xdr:nvSpPr>
        <xdr:cNvPr id="176" name="Text Box 186">
          <a:extLst>
            <a:ext uri="{FF2B5EF4-FFF2-40B4-BE49-F238E27FC236}">
              <a16:creationId xmlns="" xmlns:a16="http://schemas.microsoft.com/office/drawing/2014/main" id="{00000000-0008-0000-2B00-0000B0000000}"/>
            </a:ext>
          </a:extLst>
        </xdr:cNvPr>
        <xdr:cNvSpPr txBox="1">
          <a:spLocks noChangeArrowheads="1"/>
        </xdr:cNvSpPr>
      </xdr:nvSpPr>
      <xdr:spPr bwMode="auto">
        <a:xfrm>
          <a:off x="8277225" y="8543925"/>
          <a:ext cx="609600" cy="43825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Cloture de protection</a:t>
          </a:r>
        </a:p>
      </xdr:txBody>
    </xdr:sp>
    <xdr:clientData/>
  </xdr:twoCellAnchor>
  <xdr:twoCellAnchor>
    <xdr:from>
      <xdr:col>14</xdr:col>
      <xdr:colOff>266700</xdr:colOff>
      <xdr:row>44</xdr:row>
      <xdr:rowOff>120650</xdr:rowOff>
    </xdr:from>
    <xdr:to>
      <xdr:col>14</xdr:col>
      <xdr:colOff>374650</xdr:colOff>
      <xdr:row>46</xdr:row>
      <xdr:rowOff>38100</xdr:rowOff>
    </xdr:to>
    <xdr:sp macro="" textlink="">
      <xdr:nvSpPr>
        <xdr:cNvPr id="883607" name="Line 187">
          <a:extLst>
            <a:ext uri="{FF2B5EF4-FFF2-40B4-BE49-F238E27FC236}">
              <a16:creationId xmlns="" xmlns:a16="http://schemas.microsoft.com/office/drawing/2014/main" id="{00000000-0008-0000-2B00-0000977B0D00}"/>
            </a:ext>
          </a:extLst>
        </xdr:cNvPr>
        <xdr:cNvSpPr>
          <a:spLocks noChangeShapeType="1"/>
        </xdr:cNvSpPr>
      </xdr:nvSpPr>
      <xdr:spPr bwMode="auto">
        <a:xfrm>
          <a:off x="8801100" y="8782050"/>
          <a:ext cx="107950" cy="3111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20</xdr:col>
      <xdr:colOff>412750</xdr:colOff>
      <xdr:row>68</xdr:row>
      <xdr:rowOff>38100</xdr:rowOff>
    </xdr:from>
    <xdr:to>
      <xdr:col>21</xdr:col>
      <xdr:colOff>69850</xdr:colOff>
      <xdr:row>70</xdr:row>
      <xdr:rowOff>57150</xdr:rowOff>
    </xdr:to>
    <xdr:sp macro="" textlink="">
      <xdr:nvSpPr>
        <xdr:cNvPr id="883608" name="Rectangle 189" descr="Recycled paper">
          <a:extLst>
            <a:ext uri="{FF2B5EF4-FFF2-40B4-BE49-F238E27FC236}">
              <a16:creationId xmlns="" xmlns:a16="http://schemas.microsoft.com/office/drawing/2014/main" id="{00000000-0008-0000-2B00-0000987B0D00}"/>
            </a:ext>
          </a:extLst>
        </xdr:cNvPr>
        <xdr:cNvSpPr>
          <a:spLocks noChangeArrowheads="1"/>
        </xdr:cNvSpPr>
      </xdr:nvSpPr>
      <xdr:spPr bwMode="auto">
        <a:xfrm>
          <a:off x="12604750" y="13423900"/>
          <a:ext cx="266700" cy="41275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19</xdr:col>
      <xdr:colOff>196850</xdr:colOff>
      <xdr:row>59</xdr:row>
      <xdr:rowOff>137160</xdr:rowOff>
    </xdr:from>
    <xdr:to>
      <xdr:col>24</xdr:col>
      <xdr:colOff>141609</xdr:colOff>
      <xdr:row>63</xdr:row>
      <xdr:rowOff>112503</xdr:rowOff>
    </xdr:to>
    <xdr:sp macro="" textlink="">
      <xdr:nvSpPr>
        <xdr:cNvPr id="179" name="Text Box 190">
          <a:extLst>
            <a:ext uri="{FF2B5EF4-FFF2-40B4-BE49-F238E27FC236}">
              <a16:creationId xmlns="" xmlns:a16="http://schemas.microsoft.com/office/drawing/2014/main" id="{00000000-0008-0000-2B00-0000B3000000}"/>
            </a:ext>
          </a:extLst>
        </xdr:cNvPr>
        <xdr:cNvSpPr txBox="1">
          <a:spLocks noChangeArrowheads="1"/>
        </xdr:cNvSpPr>
      </xdr:nvSpPr>
      <xdr:spPr bwMode="auto">
        <a:xfrm>
          <a:off x="11830050" y="11982450"/>
          <a:ext cx="2952750" cy="771531"/>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Dalle de l'aire de puisage et de l'aire d'evacuation en beton arme' fer de 8mm, maille carree' de 30cm + lissage au mortier hydrofuge' epaisseur 0.07m, dosage 300 kg/m3, pente moyenne 2% + pierre plate noyee' dans le beton sous l'arrivee d'eau</a:t>
          </a:r>
        </a:p>
      </xdr:txBody>
    </xdr:sp>
    <xdr:clientData/>
  </xdr:twoCellAnchor>
  <xdr:twoCellAnchor>
    <xdr:from>
      <xdr:col>17</xdr:col>
      <xdr:colOff>38100</xdr:colOff>
      <xdr:row>67</xdr:row>
      <xdr:rowOff>38100</xdr:rowOff>
    </xdr:from>
    <xdr:to>
      <xdr:col>17</xdr:col>
      <xdr:colOff>323850</xdr:colOff>
      <xdr:row>67</xdr:row>
      <xdr:rowOff>63500</xdr:rowOff>
    </xdr:to>
    <xdr:sp macro="" textlink="">
      <xdr:nvSpPr>
        <xdr:cNvPr id="883610" name="Line 191">
          <a:extLst>
            <a:ext uri="{FF2B5EF4-FFF2-40B4-BE49-F238E27FC236}">
              <a16:creationId xmlns="" xmlns:a16="http://schemas.microsoft.com/office/drawing/2014/main" id="{00000000-0008-0000-2B00-00009A7B0D00}"/>
            </a:ext>
          </a:extLst>
        </xdr:cNvPr>
        <xdr:cNvSpPr>
          <a:spLocks noChangeShapeType="1"/>
        </xdr:cNvSpPr>
      </xdr:nvSpPr>
      <xdr:spPr bwMode="auto">
        <a:xfrm>
          <a:off x="10401300" y="13227050"/>
          <a:ext cx="285750" cy="25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64135</xdr:colOff>
      <xdr:row>65</xdr:row>
      <xdr:rowOff>151765</xdr:rowOff>
    </xdr:from>
    <xdr:to>
      <xdr:col>17</xdr:col>
      <xdr:colOff>275859</xdr:colOff>
      <xdr:row>67</xdr:row>
      <xdr:rowOff>4617</xdr:rowOff>
    </xdr:to>
    <xdr:sp macro="" textlink="">
      <xdr:nvSpPr>
        <xdr:cNvPr id="181" name="Text Box 192">
          <a:extLst>
            <a:ext uri="{FF2B5EF4-FFF2-40B4-BE49-F238E27FC236}">
              <a16:creationId xmlns="" xmlns:a16="http://schemas.microsoft.com/office/drawing/2014/main" id="{00000000-0008-0000-2B00-0000B5000000}"/>
            </a:ext>
          </a:extLst>
        </xdr:cNvPr>
        <xdr:cNvSpPr txBox="1">
          <a:spLocks noChangeArrowheads="1"/>
        </xdr:cNvSpPr>
      </xdr:nvSpPr>
      <xdr:spPr bwMode="auto">
        <a:xfrm>
          <a:off x="10429875" y="13182600"/>
          <a:ext cx="276225" cy="229176"/>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2%</a:t>
          </a:r>
        </a:p>
      </xdr:txBody>
    </xdr:sp>
    <xdr:clientData/>
  </xdr:twoCellAnchor>
  <xdr:twoCellAnchor>
    <xdr:from>
      <xdr:col>18</xdr:col>
      <xdr:colOff>190500</xdr:colOff>
      <xdr:row>63</xdr:row>
      <xdr:rowOff>139700</xdr:rowOff>
    </xdr:from>
    <xdr:to>
      <xdr:col>19</xdr:col>
      <xdr:colOff>203200</xdr:colOff>
      <xdr:row>67</xdr:row>
      <xdr:rowOff>114300</xdr:rowOff>
    </xdr:to>
    <xdr:sp macro="" textlink="">
      <xdr:nvSpPr>
        <xdr:cNvPr id="883612" name="Line 193">
          <a:extLst>
            <a:ext uri="{FF2B5EF4-FFF2-40B4-BE49-F238E27FC236}">
              <a16:creationId xmlns="" xmlns:a16="http://schemas.microsoft.com/office/drawing/2014/main" id="{00000000-0008-0000-2B00-00009C7B0D00}"/>
            </a:ext>
          </a:extLst>
        </xdr:cNvPr>
        <xdr:cNvSpPr>
          <a:spLocks noChangeShapeType="1"/>
        </xdr:cNvSpPr>
      </xdr:nvSpPr>
      <xdr:spPr bwMode="auto">
        <a:xfrm flipH="1">
          <a:off x="11163300" y="12541250"/>
          <a:ext cx="622300" cy="76200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16</xdr:col>
      <xdr:colOff>12700</xdr:colOff>
      <xdr:row>67</xdr:row>
      <xdr:rowOff>57150</xdr:rowOff>
    </xdr:from>
    <xdr:to>
      <xdr:col>17</xdr:col>
      <xdr:colOff>19050</xdr:colOff>
      <xdr:row>68</xdr:row>
      <xdr:rowOff>57150</xdr:rowOff>
    </xdr:to>
    <xdr:sp macro="" textlink="">
      <xdr:nvSpPr>
        <xdr:cNvPr id="883613" name="Freeform 194" descr="Sand">
          <a:extLst>
            <a:ext uri="{FF2B5EF4-FFF2-40B4-BE49-F238E27FC236}">
              <a16:creationId xmlns="" xmlns:a16="http://schemas.microsoft.com/office/drawing/2014/main" id="{00000000-0008-0000-2B00-00009D7B0D00}"/>
            </a:ext>
          </a:extLst>
        </xdr:cNvPr>
        <xdr:cNvSpPr>
          <a:spLocks/>
        </xdr:cNvSpPr>
      </xdr:nvSpPr>
      <xdr:spPr bwMode="auto">
        <a:xfrm>
          <a:off x="9766300" y="13246100"/>
          <a:ext cx="615950" cy="196850"/>
        </a:xfrm>
        <a:custGeom>
          <a:avLst/>
          <a:gdLst>
            <a:gd name="T0" fmla="*/ 0 w 66"/>
            <a:gd name="T1" fmla="*/ 2147483646 h 17"/>
            <a:gd name="T2" fmla="*/ 2147483646 w 66"/>
            <a:gd name="T3" fmla="*/ 2147483646 h 17"/>
            <a:gd name="T4" fmla="*/ 2147483646 w 66"/>
            <a:gd name="T5" fmla="*/ 2147483646 h 17"/>
            <a:gd name="T6" fmla="*/ 2147483646 w 66"/>
            <a:gd name="T7" fmla="*/ 2147483646 h 17"/>
            <a:gd name="T8" fmla="*/ 2147483646 w 66"/>
            <a:gd name="T9" fmla="*/ 2147483646 h 17"/>
            <a:gd name="T10" fmla="*/ 2147483646 w 66"/>
            <a:gd name="T11" fmla="*/ 2147483646 h 17"/>
            <a:gd name="T12" fmla="*/ 2147483646 w 66"/>
            <a:gd name="T13" fmla="*/ 2147483646 h 17"/>
            <a:gd name="T14" fmla="*/ 0 w 66"/>
            <a:gd name="T15" fmla="*/ 2147483646 h 17"/>
            <a:gd name="T16" fmla="*/ 0 60000 65536"/>
            <a:gd name="T17" fmla="*/ 0 60000 65536"/>
            <a:gd name="T18" fmla="*/ 0 60000 65536"/>
            <a:gd name="T19" fmla="*/ 0 60000 65536"/>
            <a:gd name="T20" fmla="*/ 0 60000 65536"/>
            <a:gd name="T21" fmla="*/ 0 60000 65536"/>
            <a:gd name="T22" fmla="*/ 0 60000 65536"/>
            <a:gd name="T23" fmla="*/ 0 60000 65536"/>
            <a:gd name="T24" fmla="*/ 0 w 66"/>
            <a:gd name="T25" fmla="*/ 0 h 17"/>
            <a:gd name="T26" fmla="*/ 66 w 66"/>
            <a:gd name="T27" fmla="*/ 17 h 17"/>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66" h="17">
              <a:moveTo>
                <a:pt x="0" y="2"/>
              </a:moveTo>
              <a:cubicBezTo>
                <a:pt x="6" y="3"/>
                <a:pt x="10" y="6"/>
                <a:pt x="16" y="7"/>
              </a:cubicBezTo>
              <a:cubicBezTo>
                <a:pt x="29" y="4"/>
                <a:pt x="42" y="7"/>
                <a:pt x="55" y="8"/>
              </a:cubicBezTo>
              <a:cubicBezTo>
                <a:pt x="58" y="9"/>
                <a:pt x="64" y="7"/>
                <a:pt x="65" y="10"/>
              </a:cubicBezTo>
              <a:cubicBezTo>
                <a:pt x="66" y="13"/>
                <a:pt x="59" y="13"/>
                <a:pt x="56" y="14"/>
              </a:cubicBezTo>
              <a:cubicBezTo>
                <a:pt x="47" y="17"/>
                <a:pt x="37" y="15"/>
                <a:pt x="28" y="15"/>
              </a:cubicBezTo>
              <a:cubicBezTo>
                <a:pt x="9" y="14"/>
                <a:pt x="13" y="12"/>
                <a:pt x="1" y="4"/>
              </a:cubicBezTo>
              <a:cubicBezTo>
                <a:pt x="0" y="1"/>
                <a:pt x="0" y="0"/>
                <a:pt x="0" y="2"/>
              </a:cubicBezTo>
              <a:close/>
            </a:path>
          </a:pathLst>
        </a:custGeom>
        <a:blipFill dpi="0" rotWithShape="0">
          <a:blip xmlns:r="http://schemas.openxmlformats.org/officeDocument/2006/relationships" r:embed="rId5"/>
          <a:srcRect/>
          <a:tile tx="0" ty="0" sx="100000" sy="100000" flip="none" algn="tl"/>
        </a:blipFill>
        <a:ln w="9525">
          <a:solidFill>
            <a:srgbClr val="000000"/>
          </a:solidFill>
          <a:round/>
          <a:headEnd/>
          <a:tailEnd/>
        </a:ln>
      </xdr:spPr>
    </xdr:sp>
    <xdr:clientData/>
  </xdr:twoCellAnchor>
  <xdr:twoCellAnchor>
    <xdr:from>
      <xdr:col>16</xdr:col>
      <xdr:colOff>420370</xdr:colOff>
      <xdr:row>73</xdr:row>
      <xdr:rowOff>94615</xdr:rowOff>
    </xdr:from>
    <xdr:to>
      <xdr:col>21</xdr:col>
      <xdr:colOff>76886</xdr:colOff>
      <xdr:row>75</xdr:row>
      <xdr:rowOff>93303</xdr:rowOff>
    </xdr:to>
    <xdr:sp macro="" textlink="">
      <xdr:nvSpPr>
        <xdr:cNvPr id="184" name="Text Box 195">
          <a:extLst>
            <a:ext uri="{FF2B5EF4-FFF2-40B4-BE49-F238E27FC236}">
              <a16:creationId xmlns="" xmlns:a16="http://schemas.microsoft.com/office/drawing/2014/main" id="{00000000-0008-0000-2B00-0000B8000000}"/>
            </a:ext>
          </a:extLst>
        </xdr:cNvPr>
        <xdr:cNvSpPr txBox="1">
          <a:spLocks noChangeArrowheads="1"/>
        </xdr:cNvSpPr>
      </xdr:nvSpPr>
      <xdr:spPr bwMode="auto">
        <a:xfrm>
          <a:off x="10248900" y="14706600"/>
          <a:ext cx="2638425" cy="42862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Sous-bassement de l'aire de puisage et de l'aire d'evacuation en moeillons (epaisseur 0.15m)</a:t>
          </a:r>
        </a:p>
      </xdr:txBody>
    </xdr:sp>
    <xdr:clientData/>
  </xdr:twoCellAnchor>
  <xdr:twoCellAnchor>
    <xdr:from>
      <xdr:col>15</xdr:col>
      <xdr:colOff>165100</xdr:colOff>
      <xdr:row>68</xdr:row>
      <xdr:rowOff>63500</xdr:rowOff>
    </xdr:from>
    <xdr:to>
      <xdr:col>15</xdr:col>
      <xdr:colOff>342900</xdr:colOff>
      <xdr:row>69</xdr:row>
      <xdr:rowOff>120650</xdr:rowOff>
    </xdr:to>
    <xdr:sp macro="" textlink="">
      <xdr:nvSpPr>
        <xdr:cNvPr id="883615" name="Freeform 196">
          <a:extLst>
            <a:ext uri="{FF2B5EF4-FFF2-40B4-BE49-F238E27FC236}">
              <a16:creationId xmlns="" xmlns:a16="http://schemas.microsoft.com/office/drawing/2014/main" id="{00000000-0008-0000-2B00-00009F7B0D00}"/>
            </a:ext>
          </a:extLst>
        </xdr:cNvPr>
        <xdr:cNvSpPr>
          <a:spLocks/>
        </xdr:cNvSpPr>
      </xdr:nvSpPr>
      <xdr:spPr bwMode="auto">
        <a:xfrm>
          <a:off x="9309100" y="13449300"/>
          <a:ext cx="177800" cy="2540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15</xdr:col>
      <xdr:colOff>298450</xdr:colOff>
      <xdr:row>68</xdr:row>
      <xdr:rowOff>82550</xdr:rowOff>
    </xdr:from>
    <xdr:to>
      <xdr:col>15</xdr:col>
      <xdr:colOff>476250</xdr:colOff>
      <xdr:row>69</xdr:row>
      <xdr:rowOff>139700</xdr:rowOff>
    </xdr:to>
    <xdr:sp macro="" textlink="">
      <xdr:nvSpPr>
        <xdr:cNvPr id="883616" name="Freeform 197">
          <a:extLst>
            <a:ext uri="{FF2B5EF4-FFF2-40B4-BE49-F238E27FC236}">
              <a16:creationId xmlns="" xmlns:a16="http://schemas.microsoft.com/office/drawing/2014/main" id="{00000000-0008-0000-2B00-0000A07B0D00}"/>
            </a:ext>
          </a:extLst>
        </xdr:cNvPr>
        <xdr:cNvSpPr>
          <a:spLocks/>
        </xdr:cNvSpPr>
      </xdr:nvSpPr>
      <xdr:spPr bwMode="auto">
        <a:xfrm>
          <a:off x="9442450" y="13468350"/>
          <a:ext cx="177800" cy="2540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15</xdr:col>
      <xdr:colOff>431800</xdr:colOff>
      <xdr:row>68</xdr:row>
      <xdr:rowOff>82550</xdr:rowOff>
    </xdr:from>
    <xdr:to>
      <xdr:col>16</xdr:col>
      <xdr:colOff>127000</xdr:colOff>
      <xdr:row>69</xdr:row>
      <xdr:rowOff>139700</xdr:rowOff>
    </xdr:to>
    <xdr:sp macro="" textlink="">
      <xdr:nvSpPr>
        <xdr:cNvPr id="883617" name="Freeform 198">
          <a:extLst>
            <a:ext uri="{FF2B5EF4-FFF2-40B4-BE49-F238E27FC236}">
              <a16:creationId xmlns="" xmlns:a16="http://schemas.microsoft.com/office/drawing/2014/main" id="{00000000-0008-0000-2B00-0000A17B0D00}"/>
            </a:ext>
          </a:extLst>
        </xdr:cNvPr>
        <xdr:cNvSpPr>
          <a:spLocks/>
        </xdr:cNvSpPr>
      </xdr:nvSpPr>
      <xdr:spPr bwMode="auto">
        <a:xfrm>
          <a:off x="9575800" y="13468350"/>
          <a:ext cx="304800" cy="2540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16</xdr:col>
      <xdr:colOff>69850</xdr:colOff>
      <xdr:row>68</xdr:row>
      <xdr:rowOff>95250</xdr:rowOff>
    </xdr:from>
    <xdr:to>
      <xdr:col>16</xdr:col>
      <xdr:colOff>247650</xdr:colOff>
      <xdr:row>70</xdr:row>
      <xdr:rowOff>0</xdr:rowOff>
    </xdr:to>
    <xdr:sp macro="" textlink="">
      <xdr:nvSpPr>
        <xdr:cNvPr id="883618" name="Freeform 199">
          <a:extLst>
            <a:ext uri="{FF2B5EF4-FFF2-40B4-BE49-F238E27FC236}">
              <a16:creationId xmlns="" xmlns:a16="http://schemas.microsoft.com/office/drawing/2014/main" id="{00000000-0008-0000-2B00-0000A27B0D00}"/>
            </a:ext>
          </a:extLst>
        </xdr:cNvPr>
        <xdr:cNvSpPr>
          <a:spLocks/>
        </xdr:cNvSpPr>
      </xdr:nvSpPr>
      <xdr:spPr bwMode="auto">
        <a:xfrm>
          <a:off x="9823450" y="13481050"/>
          <a:ext cx="177800" cy="298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16</xdr:col>
      <xdr:colOff>203200</xdr:colOff>
      <xdr:row>68</xdr:row>
      <xdr:rowOff>82550</xdr:rowOff>
    </xdr:from>
    <xdr:to>
      <xdr:col>16</xdr:col>
      <xdr:colOff>381000</xdr:colOff>
      <xdr:row>69</xdr:row>
      <xdr:rowOff>139700</xdr:rowOff>
    </xdr:to>
    <xdr:sp macro="" textlink="">
      <xdr:nvSpPr>
        <xdr:cNvPr id="883619" name="Freeform 200">
          <a:extLst>
            <a:ext uri="{FF2B5EF4-FFF2-40B4-BE49-F238E27FC236}">
              <a16:creationId xmlns="" xmlns:a16="http://schemas.microsoft.com/office/drawing/2014/main" id="{00000000-0008-0000-2B00-0000A37B0D00}"/>
            </a:ext>
          </a:extLst>
        </xdr:cNvPr>
        <xdr:cNvSpPr>
          <a:spLocks/>
        </xdr:cNvSpPr>
      </xdr:nvSpPr>
      <xdr:spPr bwMode="auto">
        <a:xfrm>
          <a:off x="9956800" y="13468350"/>
          <a:ext cx="177800" cy="2540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16</xdr:col>
      <xdr:colOff>336550</xdr:colOff>
      <xdr:row>68</xdr:row>
      <xdr:rowOff>95250</xdr:rowOff>
    </xdr:from>
    <xdr:to>
      <xdr:col>17</xdr:col>
      <xdr:colOff>31750</xdr:colOff>
      <xdr:row>70</xdr:row>
      <xdr:rowOff>0</xdr:rowOff>
    </xdr:to>
    <xdr:sp macro="" textlink="">
      <xdr:nvSpPr>
        <xdr:cNvPr id="883620" name="Freeform 201">
          <a:extLst>
            <a:ext uri="{FF2B5EF4-FFF2-40B4-BE49-F238E27FC236}">
              <a16:creationId xmlns="" xmlns:a16="http://schemas.microsoft.com/office/drawing/2014/main" id="{00000000-0008-0000-2B00-0000A47B0D00}"/>
            </a:ext>
          </a:extLst>
        </xdr:cNvPr>
        <xdr:cNvSpPr>
          <a:spLocks/>
        </xdr:cNvSpPr>
      </xdr:nvSpPr>
      <xdr:spPr bwMode="auto">
        <a:xfrm>
          <a:off x="10090150" y="13481050"/>
          <a:ext cx="304800" cy="298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16</xdr:col>
      <xdr:colOff>476250</xdr:colOff>
      <xdr:row>68</xdr:row>
      <xdr:rowOff>95250</xdr:rowOff>
    </xdr:from>
    <xdr:to>
      <xdr:col>17</xdr:col>
      <xdr:colOff>171450</xdr:colOff>
      <xdr:row>70</xdr:row>
      <xdr:rowOff>0</xdr:rowOff>
    </xdr:to>
    <xdr:sp macro="" textlink="">
      <xdr:nvSpPr>
        <xdr:cNvPr id="883621" name="Freeform 202">
          <a:extLst>
            <a:ext uri="{FF2B5EF4-FFF2-40B4-BE49-F238E27FC236}">
              <a16:creationId xmlns="" xmlns:a16="http://schemas.microsoft.com/office/drawing/2014/main" id="{00000000-0008-0000-2B00-0000A57B0D00}"/>
            </a:ext>
          </a:extLst>
        </xdr:cNvPr>
        <xdr:cNvSpPr>
          <a:spLocks/>
        </xdr:cNvSpPr>
      </xdr:nvSpPr>
      <xdr:spPr bwMode="auto">
        <a:xfrm>
          <a:off x="10229850" y="13481050"/>
          <a:ext cx="304800" cy="298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17</xdr:col>
      <xdr:colOff>133350</xdr:colOff>
      <xdr:row>68</xdr:row>
      <xdr:rowOff>101600</xdr:rowOff>
    </xdr:from>
    <xdr:to>
      <xdr:col>17</xdr:col>
      <xdr:colOff>317500</xdr:colOff>
      <xdr:row>70</xdr:row>
      <xdr:rowOff>6350</xdr:rowOff>
    </xdr:to>
    <xdr:sp macro="" textlink="">
      <xdr:nvSpPr>
        <xdr:cNvPr id="883622" name="Freeform 203">
          <a:extLst>
            <a:ext uri="{FF2B5EF4-FFF2-40B4-BE49-F238E27FC236}">
              <a16:creationId xmlns="" xmlns:a16="http://schemas.microsoft.com/office/drawing/2014/main" id="{00000000-0008-0000-2B00-0000A67B0D00}"/>
            </a:ext>
          </a:extLst>
        </xdr:cNvPr>
        <xdr:cNvSpPr>
          <a:spLocks/>
        </xdr:cNvSpPr>
      </xdr:nvSpPr>
      <xdr:spPr bwMode="auto">
        <a:xfrm>
          <a:off x="10496550" y="13487400"/>
          <a:ext cx="184150" cy="298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17</xdr:col>
      <xdr:colOff>260350</xdr:colOff>
      <xdr:row>68</xdr:row>
      <xdr:rowOff>114300</xdr:rowOff>
    </xdr:from>
    <xdr:to>
      <xdr:col>17</xdr:col>
      <xdr:colOff>438150</xdr:colOff>
      <xdr:row>70</xdr:row>
      <xdr:rowOff>19050</xdr:rowOff>
    </xdr:to>
    <xdr:sp macro="" textlink="">
      <xdr:nvSpPr>
        <xdr:cNvPr id="883623" name="Freeform 204">
          <a:extLst>
            <a:ext uri="{FF2B5EF4-FFF2-40B4-BE49-F238E27FC236}">
              <a16:creationId xmlns="" xmlns:a16="http://schemas.microsoft.com/office/drawing/2014/main" id="{00000000-0008-0000-2B00-0000A77B0D00}"/>
            </a:ext>
          </a:extLst>
        </xdr:cNvPr>
        <xdr:cNvSpPr>
          <a:spLocks/>
        </xdr:cNvSpPr>
      </xdr:nvSpPr>
      <xdr:spPr bwMode="auto">
        <a:xfrm>
          <a:off x="10623550" y="13500100"/>
          <a:ext cx="177800" cy="298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17</xdr:col>
      <xdr:colOff>400050</xdr:colOff>
      <xdr:row>68</xdr:row>
      <xdr:rowOff>101600</xdr:rowOff>
    </xdr:from>
    <xdr:to>
      <xdr:col>18</xdr:col>
      <xdr:colOff>95250</xdr:colOff>
      <xdr:row>70</xdr:row>
      <xdr:rowOff>6350</xdr:rowOff>
    </xdr:to>
    <xdr:sp macro="" textlink="">
      <xdr:nvSpPr>
        <xdr:cNvPr id="883624" name="Freeform 205">
          <a:extLst>
            <a:ext uri="{FF2B5EF4-FFF2-40B4-BE49-F238E27FC236}">
              <a16:creationId xmlns="" xmlns:a16="http://schemas.microsoft.com/office/drawing/2014/main" id="{00000000-0008-0000-2B00-0000A87B0D00}"/>
            </a:ext>
          </a:extLst>
        </xdr:cNvPr>
        <xdr:cNvSpPr>
          <a:spLocks/>
        </xdr:cNvSpPr>
      </xdr:nvSpPr>
      <xdr:spPr bwMode="auto">
        <a:xfrm>
          <a:off x="10763250" y="13487400"/>
          <a:ext cx="304800" cy="298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18</xdr:col>
      <xdr:colOff>50800</xdr:colOff>
      <xdr:row>68</xdr:row>
      <xdr:rowOff>114300</xdr:rowOff>
    </xdr:from>
    <xdr:to>
      <xdr:col>18</xdr:col>
      <xdr:colOff>228600</xdr:colOff>
      <xdr:row>70</xdr:row>
      <xdr:rowOff>19050</xdr:rowOff>
    </xdr:to>
    <xdr:sp macro="" textlink="">
      <xdr:nvSpPr>
        <xdr:cNvPr id="883625" name="Freeform 206">
          <a:extLst>
            <a:ext uri="{FF2B5EF4-FFF2-40B4-BE49-F238E27FC236}">
              <a16:creationId xmlns="" xmlns:a16="http://schemas.microsoft.com/office/drawing/2014/main" id="{00000000-0008-0000-2B00-0000A97B0D00}"/>
            </a:ext>
          </a:extLst>
        </xdr:cNvPr>
        <xdr:cNvSpPr>
          <a:spLocks/>
        </xdr:cNvSpPr>
      </xdr:nvSpPr>
      <xdr:spPr bwMode="auto">
        <a:xfrm>
          <a:off x="11023600" y="13500100"/>
          <a:ext cx="177800" cy="298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18</xdr:col>
      <xdr:colOff>184150</xdr:colOff>
      <xdr:row>68</xdr:row>
      <xdr:rowOff>120650</xdr:rowOff>
    </xdr:from>
    <xdr:to>
      <xdr:col>18</xdr:col>
      <xdr:colOff>361950</xdr:colOff>
      <xdr:row>70</xdr:row>
      <xdr:rowOff>25400</xdr:rowOff>
    </xdr:to>
    <xdr:sp macro="" textlink="">
      <xdr:nvSpPr>
        <xdr:cNvPr id="883626" name="Freeform 207">
          <a:extLst>
            <a:ext uri="{FF2B5EF4-FFF2-40B4-BE49-F238E27FC236}">
              <a16:creationId xmlns="" xmlns:a16="http://schemas.microsoft.com/office/drawing/2014/main" id="{00000000-0008-0000-2B00-0000AA7B0D00}"/>
            </a:ext>
          </a:extLst>
        </xdr:cNvPr>
        <xdr:cNvSpPr>
          <a:spLocks/>
        </xdr:cNvSpPr>
      </xdr:nvSpPr>
      <xdr:spPr bwMode="auto">
        <a:xfrm>
          <a:off x="11156950" y="13506450"/>
          <a:ext cx="177800" cy="298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18</xdr:col>
      <xdr:colOff>323850</xdr:colOff>
      <xdr:row>68</xdr:row>
      <xdr:rowOff>114300</xdr:rowOff>
    </xdr:from>
    <xdr:to>
      <xdr:col>19</xdr:col>
      <xdr:colOff>19050</xdr:colOff>
      <xdr:row>70</xdr:row>
      <xdr:rowOff>19050</xdr:rowOff>
    </xdr:to>
    <xdr:sp macro="" textlink="">
      <xdr:nvSpPr>
        <xdr:cNvPr id="883627" name="Freeform 208">
          <a:extLst>
            <a:ext uri="{FF2B5EF4-FFF2-40B4-BE49-F238E27FC236}">
              <a16:creationId xmlns="" xmlns:a16="http://schemas.microsoft.com/office/drawing/2014/main" id="{00000000-0008-0000-2B00-0000AB7B0D00}"/>
            </a:ext>
          </a:extLst>
        </xdr:cNvPr>
        <xdr:cNvSpPr>
          <a:spLocks/>
        </xdr:cNvSpPr>
      </xdr:nvSpPr>
      <xdr:spPr bwMode="auto">
        <a:xfrm>
          <a:off x="11296650" y="13500100"/>
          <a:ext cx="304800" cy="298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18</xdr:col>
      <xdr:colOff>450850</xdr:colOff>
      <xdr:row>68</xdr:row>
      <xdr:rowOff>139700</xdr:rowOff>
    </xdr:from>
    <xdr:to>
      <xdr:col>19</xdr:col>
      <xdr:colOff>146050</xdr:colOff>
      <xdr:row>70</xdr:row>
      <xdr:rowOff>44450</xdr:rowOff>
    </xdr:to>
    <xdr:sp macro="" textlink="">
      <xdr:nvSpPr>
        <xdr:cNvPr id="883628" name="Freeform 209">
          <a:extLst>
            <a:ext uri="{FF2B5EF4-FFF2-40B4-BE49-F238E27FC236}">
              <a16:creationId xmlns="" xmlns:a16="http://schemas.microsoft.com/office/drawing/2014/main" id="{00000000-0008-0000-2B00-0000AC7B0D00}"/>
            </a:ext>
          </a:extLst>
        </xdr:cNvPr>
        <xdr:cNvSpPr>
          <a:spLocks/>
        </xdr:cNvSpPr>
      </xdr:nvSpPr>
      <xdr:spPr bwMode="auto">
        <a:xfrm>
          <a:off x="11423650" y="13525500"/>
          <a:ext cx="304800" cy="298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19</xdr:col>
      <xdr:colOff>95250</xdr:colOff>
      <xdr:row>68</xdr:row>
      <xdr:rowOff>139700</xdr:rowOff>
    </xdr:from>
    <xdr:to>
      <xdr:col>19</xdr:col>
      <xdr:colOff>279400</xdr:colOff>
      <xdr:row>70</xdr:row>
      <xdr:rowOff>38100</xdr:rowOff>
    </xdr:to>
    <xdr:sp macro="" textlink="">
      <xdr:nvSpPr>
        <xdr:cNvPr id="883629" name="Freeform 210">
          <a:extLst>
            <a:ext uri="{FF2B5EF4-FFF2-40B4-BE49-F238E27FC236}">
              <a16:creationId xmlns="" xmlns:a16="http://schemas.microsoft.com/office/drawing/2014/main" id="{00000000-0008-0000-2B00-0000AD7B0D00}"/>
            </a:ext>
          </a:extLst>
        </xdr:cNvPr>
        <xdr:cNvSpPr>
          <a:spLocks/>
        </xdr:cNvSpPr>
      </xdr:nvSpPr>
      <xdr:spPr bwMode="auto">
        <a:xfrm>
          <a:off x="11677650" y="13525500"/>
          <a:ext cx="184150" cy="2921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19</xdr:col>
      <xdr:colOff>241300</xdr:colOff>
      <xdr:row>69</xdr:row>
      <xdr:rowOff>0</xdr:rowOff>
    </xdr:from>
    <xdr:to>
      <xdr:col>19</xdr:col>
      <xdr:colOff>419100</xdr:colOff>
      <xdr:row>70</xdr:row>
      <xdr:rowOff>57150</xdr:rowOff>
    </xdr:to>
    <xdr:sp macro="" textlink="">
      <xdr:nvSpPr>
        <xdr:cNvPr id="883630" name="Freeform 211">
          <a:extLst>
            <a:ext uri="{FF2B5EF4-FFF2-40B4-BE49-F238E27FC236}">
              <a16:creationId xmlns="" xmlns:a16="http://schemas.microsoft.com/office/drawing/2014/main" id="{00000000-0008-0000-2B00-0000AE7B0D00}"/>
            </a:ext>
          </a:extLst>
        </xdr:cNvPr>
        <xdr:cNvSpPr>
          <a:spLocks/>
        </xdr:cNvSpPr>
      </xdr:nvSpPr>
      <xdr:spPr bwMode="auto">
        <a:xfrm>
          <a:off x="11823700" y="13582650"/>
          <a:ext cx="177800" cy="2540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19</xdr:col>
      <xdr:colOff>374650</xdr:colOff>
      <xdr:row>68</xdr:row>
      <xdr:rowOff>139700</xdr:rowOff>
    </xdr:from>
    <xdr:to>
      <xdr:col>20</xdr:col>
      <xdr:colOff>69850</xdr:colOff>
      <xdr:row>70</xdr:row>
      <xdr:rowOff>44450</xdr:rowOff>
    </xdr:to>
    <xdr:sp macro="" textlink="">
      <xdr:nvSpPr>
        <xdr:cNvPr id="883631" name="Freeform 212">
          <a:extLst>
            <a:ext uri="{FF2B5EF4-FFF2-40B4-BE49-F238E27FC236}">
              <a16:creationId xmlns="" xmlns:a16="http://schemas.microsoft.com/office/drawing/2014/main" id="{00000000-0008-0000-2B00-0000AF7B0D00}"/>
            </a:ext>
          </a:extLst>
        </xdr:cNvPr>
        <xdr:cNvSpPr>
          <a:spLocks/>
        </xdr:cNvSpPr>
      </xdr:nvSpPr>
      <xdr:spPr bwMode="auto">
        <a:xfrm>
          <a:off x="11957050" y="13525500"/>
          <a:ext cx="304800" cy="298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20</xdr:col>
      <xdr:colOff>19050</xdr:colOff>
      <xdr:row>68</xdr:row>
      <xdr:rowOff>139700</xdr:rowOff>
    </xdr:from>
    <xdr:to>
      <xdr:col>20</xdr:col>
      <xdr:colOff>203200</xdr:colOff>
      <xdr:row>70</xdr:row>
      <xdr:rowOff>44450</xdr:rowOff>
    </xdr:to>
    <xdr:sp macro="" textlink="">
      <xdr:nvSpPr>
        <xdr:cNvPr id="883632" name="Freeform 213">
          <a:extLst>
            <a:ext uri="{FF2B5EF4-FFF2-40B4-BE49-F238E27FC236}">
              <a16:creationId xmlns="" xmlns:a16="http://schemas.microsoft.com/office/drawing/2014/main" id="{00000000-0008-0000-2B00-0000B07B0D00}"/>
            </a:ext>
          </a:extLst>
        </xdr:cNvPr>
        <xdr:cNvSpPr>
          <a:spLocks/>
        </xdr:cNvSpPr>
      </xdr:nvSpPr>
      <xdr:spPr bwMode="auto">
        <a:xfrm>
          <a:off x="12211050" y="13525500"/>
          <a:ext cx="184150" cy="298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20</xdr:col>
      <xdr:colOff>133350</xdr:colOff>
      <xdr:row>69</xdr:row>
      <xdr:rowOff>6350</xdr:rowOff>
    </xdr:from>
    <xdr:to>
      <xdr:col>20</xdr:col>
      <xdr:colOff>323850</xdr:colOff>
      <xdr:row>70</xdr:row>
      <xdr:rowOff>57150</xdr:rowOff>
    </xdr:to>
    <xdr:sp macro="" textlink="">
      <xdr:nvSpPr>
        <xdr:cNvPr id="883633" name="Freeform 214">
          <a:extLst>
            <a:ext uri="{FF2B5EF4-FFF2-40B4-BE49-F238E27FC236}">
              <a16:creationId xmlns="" xmlns:a16="http://schemas.microsoft.com/office/drawing/2014/main" id="{00000000-0008-0000-2B00-0000B17B0D00}"/>
            </a:ext>
          </a:extLst>
        </xdr:cNvPr>
        <xdr:cNvSpPr>
          <a:spLocks/>
        </xdr:cNvSpPr>
      </xdr:nvSpPr>
      <xdr:spPr bwMode="auto">
        <a:xfrm>
          <a:off x="12325350" y="13589000"/>
          <a:ext cx="190500" cy="2476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20</xdr:col>
      <xdr:colOff>247650</xdr:colOff>
      <xdr:row>69</xdr:row>
      <xdr:rowOff>6350</xdr:rowOff>
    </xdr:from>
    <xdr:to>
      <xdr:col>20</xdr:col>
      <xdr:colOff>438150</xdr:colOff>
      <xdr:row>70</xdr:row>
      <xdr:rowOff>57150</xdr:rowOff>
    </xdr:to>
    <xdr:sp macro="" textlink="">
      <xdr:nvSpPr>
        <xdr:cNvPr id="883634" name="Freeform 215">
          <a:extLst>
            <a:ext uri="{FF2B5EF4-FFF2-40B4-BE49-F238E27FC236}">
              <a16:creationId xmlns="" xmlns:a16="http://schemas.microsoft.com/office/drawing/2014/main" id="{00000000-0008-0000-2B00-0000B27B0D00}"/>
            </a:ext>
          </a:extLst>
        </xdr:cNvPr>
        <xdr:cNvSpPr>
          <a:spLocks/>
        </xdr:cNvSpPr>
      </xdr:nvSpPr>
      <xdr:spPr bwMode="auto">
        <a:xfrm>
          <a:off x="12439650" y="13589000"/>
          <a:ext cx="190500" cy="2476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17</xdr:col>
      <xdr:colOff>438150</xdr:colOff>
      <xdr:row>70</xdr:row>
      <xdr:rowOff>0</xdr:rowOff>
    </xdr:from>
    <xdr:to>
      <xdr:col>18</xdr:col>
      <xdr:colOff>279400</xdr:colOff>
      <xdr:row>73</xdr:row>
      <xdr:rowOff>63500</xdr:rowOff>
    </xdr:to>
    <xdr:sp macro="" textlink="">
      <xdr:nvSpPr>
        <xdr:cNvPr id="883635" name="Line 216">
          <a:extLst>
            <a:ext uri="{FF2B5EF4-FFF2-40B4-BE49-F238E27FC236}">
              <a16:creationId xmlns="" xmlns:a16="http://schemas.microsoft.com/office/drawing/2014/main" id="{00000000-0008-0000-2B00-0000B37B0D00}"/>
            </a:ext>
          </a:extLst>
        </xdr:cNvPr>
        <xdr:cNvSpPr>
          <a:spLocks noChangeShapeType="1"/>
        </xdr:cNvSpPr>
      </xdr:nvSpPr>
      <xdr:spPr bwMode="auto">
        <a:xfrm flipV="1">
          <a:off x="10801350" y="13779500"/>
          <a:ext cx="450850" cy="6540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11</xdr:col>
      <xdr:colOff>469900</xdr:colOff>
      <xdr:row>61</xdr:row>
      <xdr:rowOff>82550</xdr:rowOff>
    </xdr:from>
    <xdr:to>
      <xdr:col>12</xdr:col>
      <xdr:colOff>88900</xdr:colOff>
      <xdr:row>67</xdr:row>
      <xdr:rowOff>38100</xdr:rowOff>
    </xdr:to>
    <xdr:sp macro="" textlink="">
      <xdr:nvSpPr>
        <xdr:cNvPr id="883636" name="Rectangle 172">
          <a:extLst>
            <a:ext uri="{FF2B5EF4-FFF2-40B4-BE49-F238E27FC236}">
              <a16:creationId xmlns="" xmlns:a16="http://schemas.microsoft.com/office/drawing/2014/main" id="{00000000-0008-0000-2B00-0000B47B0D00}"/>
            </a:ext>
          </a:extLst>
        </xdr:cNvPr>
        <xdr:cNvSpPr>
          <a:spLocks noChangeArrowheads="1"/>
        </xdr:cNvSpPr>
      </xdr:nvSpPr>
      <xdr:spPr bwMode="auto">
        <a:xfrm rot="2100000">
          <a:off x="7175500" y="12090400"/>
          <a:ext cx="228600" cy="1136650"/>
        </a:xfrm>
        <a:prstGeom prst="rect">
          <a:avLst/>
        </a:prstGeom>
        <a:solidFill>
          <a:srgbClr val="FFFFFF"/>
        </a:solidFill>
        <a:ln w="9525">
          <a:solidFill>
            <a:srgbClr val="000000"/>
          </a:solidFill>
          <a:miter lim="800000"/>
          <a:headEnd/>
          <a:tailEnd/>
        </a:ln>
      </xdr:spPr>
    </xdr:sp>
    <xdr:clientData/>
  </xdr:twoCellAnchor>
  <xdr:twoCellAnchor>
    <xdr:from>
      <xdr:col>12</xdr:col>
      <xdr:colOff>50800</xdr:colOff>
      <xdr:row>60</xdr:row>
      <xdr:rowOff>114300</xdr:rowOff>
    </xdr:from>
    <xdr:to>
      <xdr:col>12</xdr:col>
      <xdr:colOff>469900</xdr:colOff>
      <xdr:row>62</xdr:row>
      <xdr:rowOff>44450</xdr:rowOff>
    </xdr:to>
    <xdr:sp macro="" textlink="">
      <xdr:nvSpPr>
        <xdr:cNvPr id="883637" name="Rectangle 173">
          <a:extLst>
            <a:ext uri="{FF2B5EF4-FFF2-40B4-BE49-F238E27FC236}">
              <a16:creationId xmlns="" xmlns:a16="http://schemas.microsoft.com/office/drawing/2014/main" id="{00000000-0008-0000-2B00-0000B57B0D00}"/>
            </a:ext>
          </a:extLst>
        </xdr:cNvPr>
        <xdr:cNvSpPr>
          <a:spLocks noChangeArrowheads="1"/>
        </xdr:cNvSpPr>
      </xdr:nvSpPr>
      <xdr:spPr bwMode="auto">
        <a:xfrm>
          <a:off x="7366000" y="11925300"/>
          <a:ext cx="419100" cy="3238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11</xdr:col>
      <xdr:colOff>69850</xdr:colOff>
      <xdr:row>66</xdr:row>
      <xdr:rowOff>57150</xdr:rowOff>
    </xdr:from>
    <xdr:to>
      <xdr:col>12</xdr:col>
      <xdr:colOff>0</xdr:colOff>
      <xdr:row>67</xdr:row>
      <xdr:rowOff>139700</xdr:rowOff>
    </xdr:to>
    <xdr:sp macro="" textlink="">
      <xdr:nvSpPr>
        <xdr:cNvPr id="883638" name="Rectangle 174">
          <a:extLst>
            <a:ext uri="{FF2B5EF4-FFF2-40B4-BE49-F238E27FC236}">
              <a16:creationId xmlns="" xmlns:a16="http://schemas.microsoft.com/office/drawing/2014/main" id="{00000000-0008-0000-2B00-0000B67B0D00}"/>
            </a:ext>
          </a:extLst>
        </xdr:cNvPr>
        <xdr:cNvSpPr>
          <a:spLocks noChangeArrowheads="1"/>
        </xdr:cNvSpPr>
      </xdr:nvSpPr>
      <xdr:spPr bwMode="auto">
        <a:xfrm>
          <a:off x="6775450" y="13049250"/>
          <a:ext cx="539750" cy="2794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296545</xdr:colOff>
      <xdr:row>71</xdr:row>
      <xdr:rowOff>111125</xdr:rowOff>
    </xdr:from>
    <xdr:to>
      <xdr:col>24</xdr:col>
      <xdr:colOff>369112</xdr:colOff>
      <xdr:row>75</xdr:row>
      <xdr:rowOff>18353</xdr:rowOff>
    </xdr:to>
    <xdr:sp macro="" textlink="">
      <xdr:nvSpPr>
        <xdr:cNvPr id="209" name="Text Box 218">
          <a:extLst>
            <a:ext uri="{FF2B5EF4-FFF2-40B4-BE49-F238E27FC236}">
              <a16:creationId xmlns="" xmlns:a16="http://schemas.microsoft.com/office/drawing/2014/main" id="{00000000-0008-0000-2B00-0000D1000000}"/>
            </a:ext>
          </a:extLst>
        </xdr:cNvPr>
        <xdr:cNvSpPr txBox="1">
          <a:spLocks noChangeArrowheads="1"/>
        </xdr:cNvSpPr>
      </xdr:nvSpPr>
      <xdr:spPr bwMode="auto">
        <a:xfrm>
          <a:off x="13154025" y="14344650"/>
          <a:ext cx="1924050" cy="676288"/>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Parafouille anti-erosion en extremite' de canal d'evacuation (0.2m d'enfoncement)</a:t>
          </a:r>
        </a:p>
      </xdr:txBody>
    </xdr:sp>
    <xdr:clientData/>
  </xdr:twoCellAnchor>
  <xdr:twoCellAnchor>
    <xdr:from>
      <xdr:col>21</xdr:col>
      <xdr:colOff>31750</xdr:colOff>
      <xdr:row>70</xdr:row>
      <xdr:rowOff>0</xdr:rowOff>
    </xdr:from>
    <xdr:to>
      <xdr:col>21</xdr:col>
      <xdr:colOff>412750</xdr:colOff>
      <xdr:row>71</xdr:row>
      <xdr:rowOff>38100</xdr:rowOff>
    </xdr:to>
    <xdr:sp macro="" textlink="">
      <xdr:nvSpPr>
        <xdr:cNvPr id="883640" name="Line 217">
          <a:extLst>
            <a:ext uri="{FF2B5EF4-FFF2-40B4-BE49-F238E27FC236}">
              <a16:creationId xmlns="" xmlns:a16="http://schemas.microsoft.com/office/drawing/2014/main" id="{00000000-0008-0000-2B00-0000B87B0D00}"/>
            </a:ext>
          </a:extLst>
        </xdr:cNvPr>
        <xdr:cNvSpPr>
          <a:spLocks noChangeShapeType="1"/>
        </xdr:cNvSpPr>
      </xdr:nvSpPr>
      <xdr:spPr bwMode="auto">
        <a:xfrm flipH="1" flipV="1">
          <a:off x="12833350" y="13779500"/>
          <a:ext cx="381000" cy="2349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15</xdr:col>
      <xdr:colOff>393700</xdr:colOff>
      <xdr:row>59</xdr:row>
      <xdr:rowOff>139700</xdr:rowOff>
    </xdr:from>
    <xdr:to>
      <xdr:col>19</xdr:col>
      <xdr:colOff>57150</xdr:colOff>
      <xdr:row>59</xdr:row>
      <xdr:rowOff>139700</xdr:rowOff>
    </xdr:to>
    <xdr:sp macro="" textlink="">
      <xdr:nvSpPr>
        <xdr:cNvPr id="883641" name="Line 219">
          <a:extLst>
            <a:ext uri="{FF2B5EF4-FFF2-40B4-BE49-F238E27FC236}">
              <a16:creationId xmlns="" xmlns:a16="http://schemas.microsoft.com/office/drawing/2014/main" id="{00000000-0008-0000-2B00-0000B97B0D00}"/>
            </a:ext>
          </a:extLst>
        </xdr:cNvPr>
        <xdr:cNvSpPr>
          <a:spLocks noChangeShapeType="1"/>
        </xdr:cNvSpPr>
      </xdr:nvSpPr>
      <xdr:spPr bwMode="auto">
        <a:xfrm>
          <a:off x="9537700" y="11753850"/>
          <a:ext cx="21018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19</xdr:col>
      <xdr:colOff>57150</xdr:colOff>
      <xdr:row>59</xdr:row>
      <xdr:rowOff>139700</xdr:rowOff>
    </xdr:from>
    <xdr:to>
      <xdr:col>19</xdr:col>
      <xdr:colOff>57150</xdr:colOff>
      <xdr:row>67</xdr:row>
      <xdr:rowOff>139700</xdr:rowOff>
    </xdr:to>
    <xdr:sp macro="" textlink="">
      <xdr:nvSpPr>
        <xdr:cNvPr id="883642" name="Line 220">
          <a:extLst>
            <a:ext uri="{FF2B5EF4-FFF2-40B4-BE49-F238E27FC236}">
              <a16:creationId xmlns="" xmlns:a16="http://schemas.microsoft.com/office/drawing/2014/main" id="{00000000-0008-0000-2B00-0000BA7B0D00}"/>
            </a:ext>
          </a:extLst>
        </xdr:cNvPr>
        <xdr:cNvSpPr>
          <a:spLocks noChangeShapeType="1"/>
        </xdr:cNvSpPr>
      </xdr:nvSpPr>
      <xdr:spPr bwMode="auto">
        <a:xfrm>
          <a:off x="11639550" y="11753850"/>
          <a:ext cx="0" cy="157480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19</xdr:col>
      <xdr:colOff>57150</xdr:colOff>
      <xdr:row>67</xdr:row>
      <xdr:rowOff>19050</xdr:rowOff>
    </xdr:from>
    <xdr:to>
      <xdr:col>21</xdr:col>
      <xdr:colOff>69850</xdr:colOff>
      <xdr:row>67</xdr:row>
      <xdr:rowOff>57150</xdr:rowOff>
    </xdr:to>
    <xdr:sp macro="" textlink="">
      <xdr:nvSpPr>
        <xdr:cNvPr id="883643" name="Line 221">
          <a:extLst>
            <a:ext uri="{FF2B5EF4-FFF2-40B4-BE49-F238E27FC236}">
              <a16:creationId xmlns="" xmlns:a16="http://schemas.microsoft.com/office/drawing/2014/main" id="{00000000-0008-0000-2B00-0000BB7B0D00}"/>
            </a:ext>
          </a:extLst>
        </xdr:cNvPr>
        <xdr:cNvSpPr>
          <a:spLocks noChangeShapeType="1"/>
        </xdr:cNvSpPr>
      </xdr:nvSpPr>
      <xdr:spPr bwMode="auto">
        <a:xfrm>
          <a:off x="11639550" y="13208000"/>
          <a:ext cx="1231900" cy="3810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21</xdr:col>
      <xdr:colOff>57150</xdr:colOff>
      <xdr:row>67</xdr:row>
      <xdr:rowOff>82550</xdr:rowOff>
    </xdr:from>
    <xdr:to>
      <xdr:col>21</xdr:col>
      <xdr:colOff>69850</xdr:colOff>
      <xdr:row>68</xdr:row>
      <xdr:rowOff>44450</xdr:rowOff>
    </xdr:to>
    <xdr:sp macro="" textlink="">
      <xdr:nvSpPr>
        <xdr:cNvPr id="883644" name="Line 222">
          <a:extLst>
            <a:ext uri="{FF2B5EF4-FFF2-40B4-BE49-F238E27FC236}">
              <a16:creationId xmlns="" xmlns:a16="http://schemas.microsoft.com/office/drawing/2014/main" id="{00000000-0008-0000-2B00-0000BC7B0D00}"/>
            </a:ext>
          </a:extLst>
        </xdr:cNvPr>
        <xdr:cNvSpPr>
          <a:spLocks noChangeShapeType="1"/>
        </xdr:cNvSpPr>
      </xdr:nvSpPr>
      <xdr:spPr bwMode="auto">
        <a:xfrm>
          <a:off x="12858750" y="13271500"/>
          <a:ext cx="12700" cy="1587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21</xdr:col>
      <xdr:colOff>234315</xdr:colOff>
      <xdr:row>0</xdr:row>
      <xdr:rowOff>96520</xdr:rowOff>
    </xdr:from>
    <xdr:to>
      <xdr:col>24</xdr:col>
      <xdr:colOff>421066</xdr:colOff>
      <xdr:row>5</xdr:row>
      <xdr:rowOff>19710</xdr:rowOff>
    </xdr:to>
    <xdr:sp macro="" textlink="">
      <xdr:nvSpPr>
        <xdr:cNvPr id="215" name="Text Box 224">
          <a:extLst>
            <a:ext uri="{FF2B5EF4-FFF2-40B4-BE49-F238E27FC236}">
              <a16:creationId xmlns="" xmlns:a16="http://schemas.microsoft.com/office/drawing/2014/main" id="{00000000-0008-0000-2B00-0000D7000000}"/>
            </a:ext>
          </a:extLst>
        </xdr:cNvPr>
        <xdr:cNvSpPr txBox="1">
          <a:spLocks noChangeArrowheads="1"/>
        </xdr:cNvSpPr>
      </xdr:nvSpPr>
      <xdr:spPr bwMode="auto">
        <a:xfrm>
          <a:off x="13087350" y="123825"/>
          <a:ext cx="2038350" cy="89531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GB" sz="2000" b="1" i="0" u="none" strike="noStrike" baseline="0">
              <a:solidFill>
                <a:srgbClr val="000000"/>
              </a:solidFill>
              <a:latin typeface="Arial"/>
              <a:cs typeface="Arial"/>
            </a:rPr>
            <a:t>CEPROSSAN ASBL</a:t>
          </a:r>
        </a:p>
        <a:p>
          <a:pPr algn="l" rtl="0">
            <a:defRPr sz="1000"/>
          </a:pPr>
          <a:endParaRPr lang="en-GB" sz="2000" b="1" i="0" u="none" strike="noStrike" baseline="0">
            <a:solidFill>
              <a:srgbClr val="000000"/>
            </a:solidFill>
            <a:latin typeface="Arial"/>
            <a:cs typeface="Arial"/>
          </a:endParaRPr>
        </a:p>
      </xdr:txBody>
    </xdr:sp>
    <xdr:clientData/>
  </xdr:twoCellAnchor>
  <xdr:twoCellAnchor>
    <xdr:from>
      <xdr:col>18</xdr:col>
      <xdr:colOff>450850</xdr:colOff>
      <xdr:row>11</xdr:row>
      <xdr:rowOff>6350</xdr:rowOff>
    </xdr:from>
    <xdr:to>
      <xdr:col>21</xdr:col>
      <xdr:colOff>127000</xdr:colOff>
      <xdr:row>12</xdr:row>
      <xdr:rowOff>57150</xdr:rowOff>
    </xdr:to>
    <xdr:sp macro="" textlink="">
      <xdr:nvSpPr>
        <xdr:cNvPr id="883646" name="Rectangle 62" descr="Recycled paper">
          <a:extLst>
            <a:ext uri="{FF2B5EF4-FFF2-40B4-BE49-F238E27FC236}">
              <a16:creationId xmlns="" xmlns:a16="http://schemas.microsoft.com/office/drawing/2014/main" id="{00000000-0008-0000-2B00-0000BE7B0D00}"/>
            </a:ext>
          </a:extLst>
        </xdr:cNvPr>
        <xdr:cNvSpPr>
          <a:spLocks noChangeArrowheads="1"/>
        </xdr:cNvSpPr>
      </xdr:nvSpPr>
      <xdr:spPr bwMode="auto">
        <a:xfrm>
          <a:off x="11423650" y="2171700"/>
          <a:ext cx="1504950" cy="24765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18</xdr:col>
      <xdr:colOff>476250</xdr:colOff>
      <xdr:row>18</xdr:row>
      <xdr:rowOff>19050</xdr:rowOff>
    </xdr:from>
    <xdr:to>
      <xdr:col>21</xdr:col>
      <xdr:colOff>146050</xdr:colOff>
      <xdr:row>19</xdr:row>
      <xdr:rowOff>76200</xdr:rowOff>
    </xdr:to>
    <xdr:sp macro="" textlink="">
      <xdr:nvSpPr>
        <xdr:cNvPr id="883647" name="Rectangle 62" descr="Recycled paper">
          <a:extLst>
            <a:ext uri="{FF2B5EF4-FFF2-40B4-BE49-F238E27FC236}">
              <a16:creationId xmlns="" xmlns:a16="http://schemas.microsoft.com/office/drawing/2014/main" id="{00000000-0008-0000-2B00-0000BF7B0D00}"/>
            </a:ext>
          </a:extLst>
        </xdr:cNvPr>
        <xdr:cNvSpPr>
          <a:spLocks noChangeArrowheads="1"/>
        </xdr:cNvSpPr>
      </xdr:nvSpPr>
      <xdr:spPr bwMode="auto">
        <a:xfrm>
          <a:off x="11449050" y="3562350"/>
          <a:ext cx="1498600" cy="2540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19</xdr:col>
      <xdr:colOff>424815</xdr:colOff>
      <xdr:row>9</xdr:row>
      <xdr:rowOff>78740</xdr:rowOff>
    </xdr:from>
    <xdr:to>
      <xdr:col>21</xdr:col>
      <xdr:colOff>68090</xdr:colOff>
      <xdr:row>11</xdr:row>
      <xdr:rowOff>3266</xdr:rowOff>
    </xdr:to>
    <xdr:sp macro="" textlink="">
      <xdr:nvSpPr>
        <xdr:cNvPr id="218" name="Text Box 66">
          <a:extLst>
            <a:ext uri="{FF2B5EF4-FFF2-40B4-BE49-F238E27FC236}">
              <a16:creationId xmlns="" xmlns:a16="http://schemas.microsoft.com/office/drawing/2014/main" id="{00000000-0008-0000-2B00-0000DA000000}"/>
            </a:ext>
          </a:extLst>
        </xdr:cNvPr>
        <xdr:cNvSpPr txBox="1">
          <a:spLocks noChangeArrowheads="1"/>
        </xdr:cNvSpPr>
      </xdr:nvSpPr>
      <xdr:spPr bwMode="auto">
        <a:xfrm>
          <a:off x="12090400" y="1924050"/>
          <a:ext cx="774700" cy="288421"/>
        </a:xfrm>
        <a:prstGeom prst="rect">
          <a:avLst/>
        </a:prstGeom>
        <a:noFill/>
        <a:ln w="9525">
          <a:noFill/>
          <a:miter lim="800000"/>
          <a:headEnd/>
          <a:tailEnd/>
        </a:ln>
      </xdr:spPr>
      <xdr:txBody>
        <a:bodyPr vertOverflow="clip" wrap="square" lIns="27432" tIns="22860" rIns="0" bIns="0" anchor="t" upright="1"/>
        <a:lstStyle/>
        <a:p>
          <a:pPr algn="l" rtl="0">
            <a:defRPr sz="1000"/>
          </a:pPr>
          <a:r>
            <a:rPr lang="en-GB" sz="1200" b="0" i="0" u="none" strike="noStrike" baseline="0">
              <a:solidFill>
                <a:srgbClr val="000000"/>
              </a:solidFill>
              <a:latin typeface="Arial"/>
              <a:cs typeface="Arial"/>
            </a:rPr>
            <a:t>1.50 m</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15</xdr:col>
      <xdr:colOff>19050</xdr:colOff>
      <xdr:row>0</xdr:row>
      <xdr:rowOff>82550</xdr:rowOff>
    </xdr:from>
    <xdr:to>
      <xdr:col>35</xdr:col>
      <xdr:colOff>114300</xdr:colOff>
      <xdr:row>48</xdr:row>
      <xdr:rowOff>6350</xdr:rowOff>
    </xdr:to>
    <xdr:grpSp>
      <xdr:nvGrpSpPr>
        <xdr:cNvPr id="872077" name="Groupe 82">
          <a:extLst>
            <a:ext uri="{FF2B5EF4-FFF2-40B4-BE49-F238E27FC236}">
              <a16:creationId xmlns="" xmlns:a16="http://schemas.microsoft.com/office/drawing/2014/main" id="{00000000-0008-0000-2C00-00008D4E0D00}"/>
            </a:ext>
          </a:extLst>
        </xdr:cNvPr>
        <xdr:cNvGrpSpPr>
          <a:grpSpLocks/>
        </xdr:cNvGrpSpPr>
      </xdr:nvGrpSpPr>
      <xdr:grpSpPr bwMode="auto">
        <a:xfrm>
          <a:off x="2400300" y="82550"/>
          <a:ext cx="3270250" cy="7581900"/>
          <a:chOff x="2606364" y="104775"/>
          <a:chExt cx="3365598" cy="7678738"/>
        </a:xfrm>
      </xdr:grpSpPr>
      <xdr:grpSp>
        <xdr:nvGrpSpPr>
          <xdr:cNvPr id="872136" name="Groupe 66">
            <a:extLst>
              <a:ext uri="{FF2B5EF4-FFF2-40B4-BE49-F238E27FC236}">
                <a16:creationId xmlns="" xmlns:a16="http://schemas.microsoft.com/office/drawing/2014/main" id="{00000000-0008-0000-2C00-0000C84E0D00}"/>
              </a:ext>
            </a:extLst>
          </xdr:cNvPr>
          <xdr:cNvGrpSpPr>
            <a:grpSpLocks/>
          </xdr:cNvGrpSpPr>
        </xdr:nvGrpSpPr>
        <xdr:grpSpPr bwMode="auto">
          <a:xfrm>
            <a:off x="2647950" y="5838825"/>
            <a:ext cx="2705100" cy="1944688"/>
            <a:chOff x="2647950" y="5838825"/>
            <a:chExt cx="2705100" cy="1944688"/>
          </a:xfrm>
        </xdr:grpSpPr>
        <xdr:sp macro="" textlink="">
          <xdr:nvSpPr>
            <xdr:cNvPr id="872153" name="Forme libre 65">
              <a:extLst>
                <a:ext uri="{FF2B5EF4-FFF2-40B4-BE49-F238E27FC236}">
                  <a16:creationId xmlns="" xmlns:a16="http://schemas.microsoft.com/office/drawing/2014/main" id="{00000000-0008-0000-2C00-0000D94E0D00}"/>
                </a:ext>
              </a:extLst>
            </xdr:cNvPr>
            <xdr:cNvSpPr>
              <a:spLocks noChangeArrowheads="1"/>
            </xdr:cNvSpPr>
          </xdr:nvSpPr>
          <xdr:spPr bwMode="auto">
            <a:xfrm>
              <a:off x="4705350" y="6010275"/>
              <a:ext cx="123825" cy="357187"/>
            </a:xfrm>
            <a:custGeom>
              <a:avLst/>
              <a:gdLst>
                <a:gd name="T0" fmla="*/ 0 w 123825"/>
                <a:gd name="T1" fmla="*/ 0 h 357187"/>
                <a:gd name="T2" fmla="*/ 95250 w 123825"/>
                <a:gd name="T3" fmla="*/ 352425 h 357187"/>
                <a:gd name="T4" fmla="*/ 123825 w 123825"/>
                <a:gd name="T5" fmla="*/ 28575 h 357187"/>
                <a:gd name="T6" fmla="*/ 123825 w 123825"/>
                <a:gd name="T7" fmla="*/ 28575 h 357187"/>
                <a:gd name="T8" fmla="*/ 0 60000 65536"/>
                <a:gd name="T9" fmla="*/ 0 60000 65536"/>
                <a:gd name="T10" fmla="*/ 0 60000 65536"/>
                <a:gd name="T11" fmla="*/ 0 60000 65536"/>
                <a:gd name="T12" fmla="*/ 0 w 123825"/>
                <a:gd name="T13" fmla="*/ 0 h 357187"/>
                <a:gd name="T14" fmla="*/ 123825 w 123825"/>
                <a:gd name="T15" fmla="*/ 357187 h 357187"/>
              </a:gdLst>
              <a:ahLst/>
              <a:cxnLst>
                <a:cxn ang="T8">
                  <a:pos x="T0" y="T1"/>
                </a:cxn>
                <a:cxn ang="T9">
                  <a:pos x="T2" y="T3"/>
                </a:cxn>
                <a:cxn ang="T10">
                  <a:pos x="T4" y="T5"/>
                </a:cxn>
                <a:cxn ang="T11">
                  <a:pos x="T6" y="T7"/>
                </a:cxn>
              </a:cxnLst>
              <a:rect l="T12" t="T13" r="T14" b="T15"/>
              <a:pathLst>
                <a:path w="123825" h="357187">
                  <a:moveTo>
                    <a:pt x="0" y="0"/>
                  </a:moveTo>
                  <a:cubicBezTo>
                    <a:pt x="37306" y="173831"/>
                    <a:pt x="74613" y="347663"/>
                    <a:pt x="95250" y="352425"/>
                  </a:cubicBezTo>
                  <a:cubicBezTo>
                    <a:pt x="115887" y="357187"/>
                    <a:pt x="123825" y="28575"/>
                    <a:pt x="123825" y="28575"/>
                  </a:cubicBezTo>
                </a:path>
              </a:pathLst>
            </a:custGeom>
            <a:solidFill>
              <a:srgbClr val="FFFFFF"/>
            </a:solidFill>
            <a:ln w="38100" algn="ctr">
              <a:solidFill>
                <a:srgbClr val="000000"/>
              </a:solidFill>
              <a:round/>
              <a:headEnd/>
              <a:tailEnd/>
            </a:ln>
          </xdr:spPr>
        </xdr:sp>
        <xdr:sp macro="" textlink="">
          <xdr:nvSpPr>
            <xdr:cNvPr id="872154" name="Forme libre 64">
              <a:extLst>
                <a:ext uri="{FF2B5EF4-FFF2-40B4-BE49-F238E27FC236}">
                  <a16:creationId xmlns="" xmlns:a16="http://schemas.microsoft.com/office/drawing/2014/main" id="{00000000-0008-0000-2C00-0000DA4E0D00}"/>
                </a:ext>
              </a:extLst>
            </xdr:cNvPr>
            <xdr:cNvSpPr>
              <a:spLocks noChangeArrowheads="1"/>
            </xdr:cNvSpPr>
          </xdr:nvSpPr>
          <xdr:spPr bwMode="auto">
            <a:xfrm>
              <a:off x="2657475" y="6000750"/>
              <a:ext cx="123825" cy="357187"/>
            </a:xfrm>
            <a:custGeom>
              <a:avLst/>
              <a:gdLst>
                <a:gd name="T0" fmla="*/ 0 w 123825"/>
                <a:gd name="T1" fmla="*/ 0 h 357187"/>
                <a:gd name="T2" fmla="*/ 95250 w 123825"/>
                <a:gd name="T3" fmla="*/ 352425 h 357187"/>
                <a:gd name="T4" fmla="*/ 123825 w 123825"/>
                <a:gd name="T5" fmla="*/ 28575 h 357187"/>
                <a:gd name="T6" fmla="*/ 123825 w 123825"/>
                <a:gd name="T7" fmla="*/ 28575 h 357187"/>
                <a:gd name="T8" fmla="*/ 0 60000 65536"/>
                <a:gd name="T9" fmla="*/ 0 60000 65536"/>
                <a:gd name="T10" fmla="*/ 0 60000 65536"/>
                <a:gd name="T11" fmla="*/ 0 60000 65536"/>
                <a:gd name="T12" fmla="*/ 0 w 123825"/>
                <a:gd name="T13" fmla="*/ 0 h 357187"/>
                <a:gd name="T14" fmla="*/ 123825 w 123825"/>
                <a:gd name="T15" fmla="*/ 357187 h 357187"/>
              </a:gdLst>
              <a:ahLst/>
              <a:cxnLst>
                <a:cxn ang="T8">
                  <a:pos x="T0" y="T1"/>
                </a:cxn>
                <a:cxn ang="T9">
                  <a:pos x="T2" y="T3"/>
                </a:cxn>
                <a:cxn ang="T10">
                  <a:pos x="T4" y="T5"/>
                </a:cxn>
                <a:cxn ang="T11">
                  <a:pos x="T6" y="T7"/>
                </a:cxn>
              </a:cxnLst>
              <a:rect l="T12" t="T13" r="T14" b="T15"/>
              <a:pathLst>
                <a:path w="123825" h="357187">
                  <a:moveTo>
                    <a:pt x="0" y="0"/>
                  </a:moveTo>
                  <a:cubicBezTo>
                    <a:pt x="37306" y="173831"/>
                    <a:pt x="74613" y="347663"/>
                    <a:pt x="95250" y="352425"/>
                  </a:cubicBezTo>
                  <a:cubicBezTo>
                    <a:pt x="115887" y="357187"/>
                    <a:pt x="123825" y="28575"/>
                    <a:pt x="123825" y="28575"/>
                  </a:cubicBezTo>
                </a:path>
              </a:pathLst>
            </a:custGeom>
            <a:solidFill>
              <a:srgbClr val="FFFFFF"/>
            </a:solidFill>
            <a:ln w="38100" algn="ctr">
              <a:solidFill>
                <a:srgbClr val="000000"/>
              </a:solidFill>
              <a:round/>
              <a:headEnd/>
              <a:tailEnd/>
            </a:ln>
          </xdr:spPr>
        </xdr:sp>
        <xdr:grpSp>
          <xdr:nvGrpSpPr>
            <xdr:cNvPr id="872155" name="Groupe 53">
              <a:extLst>
                <a:ext uri="{FF2B5EF4-FFF2-40B4-BE49-F238E27FC236}">
                  <a16:creationId xmlns="" xmlns:a16="http://schemas.microsoft.com/office/drawing/2014/main" id="{00000000-0008-0000-2C00-0000DB4E0D00}"/>
                </a:ext>
              </a:extLst>
            </xdr:cNvPr>
            <xdr:cNvGrpSpPr>
              <a:grpSpLocks/>
            </xdr:cNvGrpSpPr>
          </xdr:nvGrpSpPr>
          <xdr:grpSpPr bwMode="auto">
            <a:xfrm>
              <a:off x="3067050" y="5838825"/>
              <a:ext cx="2286000" cy="1944688"/>
              <a:chOff x="3067050" y="5838825"/>
              <a:chExt cx="2286000" cy="1944688"/>
            </a:xfrm>
          </xdr:grpSpPr>
          <xdr:cxnSp macro="">
            <xdr:nvCxnSpPr>
              <xdr:cNvPr id="872157" name="Connecteur droit avec flèche 34">
                <a:extLst>
                  <a:ext uri="{FF2B5EF4-FFF2-40B4-BE49-F238E27FC236}">
                    <a16:creationId xmlns="" xmlns:a16="http://schemas.microsoft.com/office/drawing/2014/main" id="{00000000-0008-0000-2C00-0000DD4E0D00}"/>
                  </a:ext>
                </a:extLst>
              </xdr:cNvPr>
              <xdr:cNvCxnSpPr>
                <a:cxnSpLocks noChangeShapeType="1"/>
              </xdr:cNvCxnSpPr>
            </xdr:nvCxnSpPr>
            <xdr:spPr bwMode="auto">
              <a:xfrm rot="5400000">
                <a:off x="4705350" y="6467475"/>
                <a:ext cx="1276350" cy="1905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25" name="Rectangle à coins arrondis 38">
                <a:extLst>
                  <a:ext uri="{FF2B5EF4-FFF2-40B4-BE49-F238E27FC236}">
                    <a16:creationId xmlns="" xmlns:a16="http://schemas.microsoft.com/office/drawing/2014/main" id="{00000000-0008-0000-2C00-000019000000}"/>
                  </a:ext>
                </a:extLst>
              </xdr:cNvPr>
              <xdr:cNvSpPr/>
            </xdr:nvSpPr>
            <xdr:spPr bwMode="auto">
              <a:xfrm>
                <a:off x="4959015" y="6047115"/>
                <a:ext cx="307152" cy="668835"/>
              </a:xfrm>
              <a:prstGeom prst="roundRect">
                <a:avLst/>
              </a:prstGeom>
              <a:solidFill>
                <a:srgbClr val="FFFFFF"/>
              </a:solidFill>
              <a:ln w="0" cap="flat" cmpd="sng" algn="ctr">
                <a:solidFill>
                  <a:schemeClr val="bg1"/>
                </a:solidFill>
                <a:prstDash val="solid"/>
                <a:round/>
                <a:headEnd type="none" w="med" len="med"/>
                <a:tailEnd type="none" w="med" len="med"/>
              </a:ln>
              <a:effectLst/>
            </xdr:spPr>
            <xdr:txBody>
              <a:bodyPr vertOverflow="clip" vert="vert270" wrap="square" lIns="18288" tIns="0" rIns="0" bIns="0" rtlCol="0" anchor="ctr" upright="1"/>
              <a:lstStyle/>
              <a:p>
                <a:pPr algn="ctr"/>
                <a:r>
                  <a:rPr lang="fr-FR" sz="1100"/>
                  <a:t>220cm</a:t>
                </a:r>
              </a:p>
            </xdr:txBody>
          </xdr:sp>
          <xdr:grpSp>
            <xdr:nvGrpSpPr>
              <xdr:cNvPr id="872159" name="Groupe 52">
                <a:extLst>
                  <a:ext uri="{FF2B5EF4-FFF2-40B4-BE49-F238E27FC236}">
                    <a16:creationId xmlns="" xmlns:a16="http://schemas.microsoft.com/office/drawing/2014/main" id="{00000000-0008-0000-2C00-0000DF4E0D00}"/>
                  </a:ext>
                </a:extLst>
              </xdr:cNvPr>
              <xdr:cNvGrpSpPr>
                <a:grpSpLocks/>
              </xdr:cNvGrpSpPr>
            </xdr:nvGrpSpPr>
            <xdr:grpSpPr bwMode="auto">
              <a:xfrm>
                <a:off x="3067050" y="5838825"/>
                <a:ext cx="1694059" cy="1944688"/>
                <a:chOff x="3067050" y="5838825"/>
                <a:chExt cx="1694059" cy="1944688"/>
              </a:xfrm>
            </xdr:grpSpPr>
            <xdr:grpSp>
              <xdr:nvGrpSpPr>
                <xdr:cNvPr id="872160" name="Groupe 26">
                  <a:extLst>
                    <a:ext uri="{FF2B5EF4-FFF2-40B4-BE49-F238E27FC236}">
                      <a16:creationId xmlns="" xmlns:a16="http://schemas.microsoft.com/office/drawing/2014/main" id="{00000000-0008-0000-2C00-0000E04E0D00}"/>
                    </a:ext>
                  </a:extLst>
                </xdr:cNvPr>
                <xdr:cNvGrpSpPr>
                  <a:grpSpLocks/>
                </xdr:cNvGrpSpPr>
              </xdr:nvGrpSpPr>
              <xdr:grpSpPr bwMode="auto">
                <a:xfrm>
                  <a:off x="3238500" y="5838825"/>
                  <a:ext cx="1285875" cy="1276350"/>
                  <a:chOff x="3238500" y="5838825"/>
                  <a:chExt cx="1285875" cy="1276350"/>
                </a:xfrm>
              </xdr:grpSpPr>
              <xdr:sp macro="" textlink="">
                <xdr:nvSpPr>
                  <xdr:cNvPr id="872174" name="Rectangle 25">
                    <a:extLst>
                      <a:ext uri="{FF2B5EF4-FFF2-40B4-BE49-F238E27FC236}">
                        <a16:creationId xmlns="" xmlns:a16="http://schemas.microsoft.com/office/drawing/2014/main" id="{00000000-0008-0000-2C00-0000EE4E0D00}"/>
                      </a:ext>
                    </a:extLst>
                  </xdr:cNvPr>
                  <xdr:cNvSpPr>
                    <a:spLocks noChangeArrowheads="1"/>
                  </xdr:cNvSpPr>
                </xdr:nvSpPr>
                <xdr:spPr bwMode="auto">
                  <a:xfrm>
                    <a:off x="3238500" y="5838825"/>
                    <a:ext cx="1285875" cy="1276350"/>
                  </a:xfrm>
                  <a:prstGeom prst="rect">
                    <a:avLst/>
                  </a:prstGeom>
                  <a:solidFill>
                    <a:srgbClr val="FFFFFF"/>
                  </a:solidFill>
                  <a:ln w="9525" algn="ctr">
                    <a:solidFill>
                      <a:srgbClr val="000000"/>
                    </a:solidFill>
                    <a:round/>
                    <a:headEnd/>
                    <a:tailEnd/>
                  </a:ln>
                </xdr:spPr>
              </xdr:sp>
              <xdr:sp macro="" textlink="">
                <xdr:nvSpPr>
                  <xdr:cNvPr id="872175" name="Rectangle 24">
                    <a:extLst>
                      <a:ext uri="{FF2B5EF4-FFF2-40B4-BE49-F238E27FC236}">
                        <a16:creationId xmlns="" xmlns:a16="http://schemas.microsoft.com/office/drawing/2014/main" id="{00000000-0008-0000-2C00-0000EF4E0D00}"/>
                      </a:ext>
                    </a:extLst>
                  </xdr:cNvPr>
                  <xdr:cNvSpPr>
                    <a:spLocks noChangeArrowheads="1"/>
                  </xdr:cNvSpPr>
                </xdr:nvSpPr>
                <xdr:spPr bwMode="auto">
                  <a:xfrm>
                    <a:off x="3390900" y="6000751"/>
                    <a:ext cx="981075" cy="971550"/>
                  </a:xfrm>
                  <a:prstGeom prst="rect">
                    <a:avLst/>
                  </a:prstGeom>
                  <a:solidFill>
                    <a:srgbClr val="FFFFFF"/>
                  </a:solidFill>
                  <a:ln w="9525" algn="ctr">
                    <a:solidFill>
                      <a:srgbClr val="000000"/>
                    </a:solidFill>
                    <a:round/>
                    <a:headEnd/>
                    <a:tailEnd/>
                  </a:ln>
                </xdr:spPr>
              </xdr:sp>
            </xdr:grpSp>
            <xdr:sp macro="" textlink="">
              <xdr:nvSpPr>
                <xdr:cNvPr id="872161" name="Rectangle 28">
                  <a:extLst>
                    <a:ext uri="{FF2B5EF4-FFF2-40B4-BE49-F238E27FC236}">
                      <a16:creationId xmlns="" xmlns:a16="http://schemas.microsoft.com/office/drawing/2014/main" id="{00000000-0008-0000-2C00-0000E14E0D00}"/>
                    </a:ext>
                  </a:extLst>
                </xdr:cNvPr>
                <xdr:cNvSpPr>
                  <a:spLocks noChangeArrowheads="1"/>
                </xdr:cNvSpPr>
              </xdr:nvSpPr>
              <xdr:spPr bwMode="auto">
                <a:xfrm>
                  <a:off x="4029075" y="6648450"/>
                  <a:ext cx="342900" cy="314325"/>
                </a:xfrm>
                <a:prstGeom prst="rect">
                  <a:avLst/>
                </a:prstGeom>
                <a:solidFill>
                  <a:srgbClr val="C0504D"/>
                </a:solidFill>
                <a:ln w="9525" algn="ctr">
                  <a:solidFill>
                    <a:srgbClr val="000000"/>
                  </a:solidFill>
                  <a:round/>
                  <a:headEnd/>
                  <a:tailEnd/>
                </a:ln>
              </xdr:spPr>
            </xdr:sp>
            <xdr:grpSp>
              <xdr:nvGrpSpPr>
                <xdr:cNvPr id="872162" name="Groupe 51">
                  <a:extLst>
                    <a:ext uri="{FF2B5EF4-FFF2-40B4-BE49-F238E27FC236}">
                      <a16:creationId xmlns="" xmlns:a16="http://schemas.microsoft.com/office/drawing/2014/main" id="{00000000-0008-0000-2C00-0000E24E0D00}"/>
                    </a:ext>
                  </a:extLst>
                </xdr:cNvPr>
                <xdr:cNvGrpSpPr>
                  <a:grpSpLocks/>
                </xdr:cNvGrpSpPr>
              </xdr:nvGrpSpPr>
              <xdr:grpSpPr bwMode="auto">
                <a:xfrm>
                  <a:off x="3067050" y="7135679"/>
                  <a:ext cx="1694059" cy="647834"/>
                  <a:chOff x="3067050" y="7135679"/>
                  <a:chExt cx="1694059" cy="647834"/>
                </a:xfrm>
              </xdr:grpSpPr>
              <xdr:grpSp>
                <xdr:nvGrpSpPr>
                  <xdr:cNvPr id="872163" name="Groupe 48">
                    <a:extLst>
                      <a:ext uri="{FF2B5EF4-FFF2-40B4-BE49-F238E27FC236}">
                        <a16:creationId xmlns="" xmlns:a16="http://schemas.microsoft.com/office/drawing/2014/main" id="{00000000-0008-0000-2C00-0000E34E0D00}"/>
                      </a:ext>
                    </a:extLst>
                  </xdr:cNvPr>
                  <xdr:cNvGrpSpPr>
                    <a:grpSpLocks/>
                  </xdr:cNvGrpSpPr>
                </xdr:nvGrpSpPr>
                <xdr:grpSpPr bwMode="auto">
                  <a:xfrm>
                    <a:off x="3067050" y="7183715"/>
                    <a:ext cx="1590675" cy="599798"/>
                    <a:chOff x="3067050" y="7183715"/>
                    <a:chExt cx="1590675" cy="599798"/>
                  </a:xfrm>
                </xdr:grpSpPr>
                <xdr:cxnSp macro="">
                  <xdr:nvCxnSpPr>
                    <xdr:cNvPr id="872166" name="Connecteur droit avec flèche 36">
                      <a:extLst>
                        <a:ext uri="{FF2B5EF4-FFF2-40B4-BE49-F238E27FC236}">
                          <a16:creationId xmlns="" xmlns:a16="http://schemas.microsoft.com/office/drawing/2014/main" id="{00000000-0008-0000-2C00-0000E64E0D00}"/>
                        </a:ext>
                      </a:extLst>
                    </xdr:cNvPr>
                    <xdr:cNvCxnSpPr>
                      <a:cxnSpLocks noChangeShapeType="1"/>
                    </xdr:cNvCxnSpPr>
                  </xdr:nvCxnSpPr>
                  <xdr:spPr bwMode="auto">
                    <a:xfrm rot="10800000">
                      <a:off x="3228975" y="7781925"/>
                      <a:ext cx="1314450" cy="1588"/>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34" name="Rectangle à coins arrondis 33">
                      <a:extLst>
                        <a:ext uri="{FF2B5EF4-FFF2-40B4-BE49-F238E27FC236}">
                          <a16:creationId xmlns="" xmlns:a16="http://schemas.microsoft.com/office/drawing/2014/main" id="{00000000-0008-0000-2C00-000022000000}"/>
                        </a:ext>
                      </a:extLst>
                    </xdr:cNvPr>
                    <xdr:cNvSpPr/>
                  </xdr:nvSpPr>
                  <xdr:spPr bwMode="auto">
                    <a:xfrm>
                      <a:off x="3482073" y="7545562"/>
                      <a:ext cx="653514" cy="192933"/>
                    </a:xfrm>
                    <a:prstGeom prst="roundRect">
                      <a:avLst/>
                    </a:prstGeom>
                    <a:solidFill>
                      <a:srgbClr val="FFFFFF"/>
                    </a:solidFill>
                    <a:ln w="9525"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ctr"/>
                      <a:r>
                        <a:rPr lang="fr-FR" sz="1100"/>
                        <a:t>220cm</a:t>
                      </a:r>
                    </a:p>
                  </xdr:txBody>
                </xdr:sp>
                <xdr:cxnSp macro="">
                  <xdr:nvCxnSpPr>
                    <xdr:cNvPr id="872168" name="Connecteur droit 40">
                      <a:extLst>
                        <a:ext uri="{FF2B5EF4-FFF2-40B4-BE49-F238E27FC236}">
                          <a16:creationId xmlns="" xmlns:a16="http://schemas.microsoft.com/office/drawing/2014/main" id="{00000000-0008-0000-2C00-0000E84E0D00}"/>
                        </a:ext>
                      </a:extLst>
                    </xdr:cNvPr>
                    <xdr:cNvCxnSpPr>
                      <a:cxnSpLocks noChangeShapeType="1"/>
                    </xdr:cNvCxnSpPr>
                  </xdr:nvCxnSpPr>
                  <xdr:spPr bwMode="auto">
                    <a:xfrm>
                      <a:off x="3067050" y="7429500"/>
                      <a:ext cx="1590675" cy="1588"/>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872169" name="Connecteur droit 42">
                      <a:extLst>
                        <a:ext uri="{FF2B5EF4-FFF2-40B4-BE49-F238E27FC236}">
                          <a16:creationId xmlns="" xmlns:a16="http://schemas.microsoft.com/office/drawing/2014/main" id="{00000000-0008-0000-2C00-0000E94E0D00}"/>
                        </a:ext>
                      </a:extLst>
                    </xdr:cNvPr>
                    <xdr:cNvCxnSpPr>
                      <a:cxnSpLocks noChangeShapeType="1"/>
                    </xdr:cNvCxnSpPr>
                  </xdr:nvCxnSpPr>
                  <xdr:spPr bwMode="auto">
                    <a:xfrm rot="5400000">
                      <a:off x="4491038" y="7443787"/>
                      <a:ext cx="104775" cy="1588"/>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872170" name="Connecteur droit 43">
                      <a:extLst>
                        <a:ext uri="{FF2B5EF4-FFF2-40B4-BE49-F238E27FC236}">
                          <a16:creationId xmlns="" xmlns:a16="http://schemas.microsoft.com/office/drawing/2014/main" id="{00000000-0008-0000-2C00-0000EA4E0D00}"/>
                        </a:ext>
                      </a:extLst>
                    </xdr:cNvPr>
                    <xdr:cNvCxnSpPr>
                      <a:cxnSpLocks noChangeShapeType="1"/>
                    </xdr:cNvCxnSpPr>
                  </xdr:nvCxnSpPr>
                  <xdr:spPr bwMode="auto">
                    <a:xfrm rot="5400000">
                      <a:off x="3177381" y="7414421"/>
                      <a:ext cx="104775" cy="1588"/>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872171" name="Connecteur droit 44">
                      <a:extLst>
                        <a:ext uri="{FF2B5EF4-FFF2-40B4-BE49-F238E27FC236}">
                          <a16:creationId xmlns="" xmlns:a16="http://schemas.microsoft.com/office/drawing/2014/main" id="{00000000-0008-0000-2C00-0000EB4E0D00}"/>
                        </a:ext>
                      </a:extLst>
                    </xdr:cNvPr>
                    <xdr:cNvCxnSpPr>
                      <a:cxnSpLocks noChangeShapeType="1"/>
                    </xdr:cNvCxnSpPr>
                  </xdr:nvCxnSpPr>
                  <xdr:spPr bwMode="auto">
                    <a:xfrm rot="5400000">
                      <a:off x="4329906" y="7414421"/>
                      <a:ext cx="104775" cy="1588"/>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872172" name="Connecteur droit 46">
                      <a:extLst>
                        <a:ext uri="{FF2B5EF4-FFF2-40B4-BE49-F238E27FC236}">
                          <a16:creationId xmlns="" xmlns:a16="http://schemas.microsoft.com/office/drawing/2014/main" id="{00000000-0008-0000-2C00-0000EC4E0D00}"/>
                        </a:ext>
                      </a:extLst>
                    </xdr:cNvPr>
                    <xdr:cNvCxnSpPr>
                      <a:cxnSpLocks noChangeShapeType="1"/>
                    </xdr:cNvCxnSpPr>
                  </xdr:nvCxnSpPr>
                  <xdr:spPr bwMode="auto">
                    <a:xfrm rot="5400000">
                      <a:off x="3339306" y="7404895"/>
                      <a:ext cx="104775" cy="1588"/>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sp macro="" textlink="">
                  <xdr:nvSpPr>
                    <xdr:cNvPr id="40" name="Rectangle à coins arrondis 39">
                      <a:extLst>
                        <a:ext uri="{FF2B5EF4-FFF2-40B4-BE49-F238E27FC236}">
                          <a16:creationId xmlns="" xmlns:a16="http://schemas.microsoft.com/office/drawing/2014/main" id="{00000000-0008-0000-2C00-000028000000}"/>
                        </a:ext>
                      </a:extLst>
                    </xdr:cNvPr>
                    <xdr:cNvSpPr/>
                  </xdr:nvSpPr>
                  <xdr:spPr bwMode="auto">
                    <a:xfrm>
                      <a:off x="3534354" y="7024643"/>
                      <a:ext cx="633909" cy="218657"/>
                    </a:xfrm>
                    <a:prstGeom prst="roundRect">
                      <a:avLst/>
                    </a:prstGeom>
                    <a:solidFill>
                      <a:srgbClr val="FFFFFF"/>
                    </a:solidFill>
                    <a:ln w="9525"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ctr"/>
                      <a:r>
                        <a:rPr lang="fr-FR" sz="1100"/>
                        <a:t>196cm</a:t>
                      </a:r>
                    </a:p>
                  </xdr:txBody>
                </xdr:sp>
              </xdr:grpSp>
              <xdr:sp macro="" textlink="">
                <xdr:nvSpPr>
                  <xdr:cNvPr id="31" name="Rectangle à coins arrondis 30">
                    <a:extLst>
                      <a:ext uri="{FF2B5EF4-FFF2-40B4-BE49-F238E27FC236}">
                        <a16:creationId xmlns="" xmlns:a16="http://schemas.microsoft.com/office/drawing/2014/main" id="{00000000-0008-0000-2C00-00001F000000}"/>
                      </a:ext>
                    </a:extLst>
                  </xdr:cNvPr>
                  <xdr:cNvSpPr/>
                </xdr:nvSpPr>
                <xdr:spPr bwMode="auto">
                  <a:xfrm>
                    <a:off x="3109570" y="7069660"/>
                    <a:ext cx="444390" cy="270106"/>
                  </a:xfrm>
                  <a:prstGeom prst="roundRect">
                    <a:avLst/>
                  </a:prstGeom>
                  <a:solidFill>
                    <a:srgbClr val="FFFFFF"/>
                  </a:solidFill>
                  <a:ln w="0"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ctr"/>
                    <a:r>
                      <a:rPr lang="fr-FR" sz="1100"/>
                      <a:t>12cm</a:t>
                    </a:r>
                  </a:p>
                </xdr:txBody>
              </xdr:sp>
              <xdr:sp macro="" textlink="">
                <xdr:nvSpPr>
                  <xdr:cNvPr id="32" name="Rectangle à coins arrondis 31">
                    <a:extLst>
                      <a:ext uri="{FF2B5EF4-FFF2-40B4-BE49-F238E27FC236}">
                        <a16:creationId xmlns="" xmlns:a16="http://schemas.microsoft.com/office/drawing/2014/main" id="{00000000-0008-0000-2C00-000020000000}"/>
                      </a:ext>
                    </a:extLst>
                  </xdr:cNvPr>
                  <xdr:cNvSpPr/>
                </xdr:nvSpPr>
                <xdr:spPr bwMode="auto">
                  <a:xfrm>
                    <a:off x="4279360" y="7063229"/>
                    <a:ext cx="470530" cy="276537"/>
                  </a:xfrm>
                  <a:prstGeom prst="roundRect">
                    <a:avLst/>
                  </a:prstGeom>
                  <a:solidFill>
                    <a:srgbClr val="FFFFFF"/>
                  </a:solidFill>
                  <a:ln w="0"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ctr"/>
                    <a:r>
                      <a:rPr lang="fr-FR" sz="1100"/>
                      <a:t>12cm</a:t>
                    </a:r>
                  </a:p>
                </xdr:txBody>
              </xdr:sp>
            </xdr:grpSp>
          </xdr:grpSp>
        </xdr:grpSp>
        <xdr:cxnSp macro="">
          <xdr:nvCxnSpPr>
            <xdr:cNvPr id="872156" name="Connecteur droit 61">
              <a:extLst>
                <a:ext uri="{FF2B5EF4-FFF2-40B4-BE49-F238E27FC236}">
                  <a16:creationId xmlns="" xmlns:a16="http://schemas.microsoft.com/office/drawing/2014/main" id="{00000000-0008-0000-2C00-0000DC4E0D00}"/>
                </a:ext>
              </a:extLst>
            </xdr:cNvPr>
            <xdr:cNvCxnSpPr>
              <a:cxnSpLocks noChangeShapeType="1"/>
            </xdr:cNvCxnSpPr>
          </xdr:nvCxnSpPr>
          <xdr:spPr bwMode="auto">
            <a:xfrm flipV="1">
              <a:off x="2647950" y="6134100"/>
              <a:ext cx="2219325" cy="9525"/>
            </a:xfrm>
            <a:prstGeom prst="line">
              <a:avLst/>
            </a:prstGeom>
            <a:noFill/>
            <a:ln w="38100" algn="ctr">
              <a:solidFill>
                <a:srgbClr val="000000"/>
              </a:solidFill>
              <a:prstDash val="dashDot"/>
              <a:round/>
              <a:headEnd/>
              <a:tailEnd/>
            </a:ln>
            <a:extLst>
              <a:ext uri="{909E8E84-426E-40DD-AFC4-6F175D3DCCD1}">
                <a14:hiddenFill xmlns:a14="http://schemas.microsoft.com/office/drawing/2010/main">
                  <a:noFill/>
                </a14:hiddenFill>
              </a:ext>
            </a:extLst>
          </xdr:spPr>
        </xdr:cxnSp>
      </xdr:grpSp>
      <xdr:grpSp>
        <xdr:nvGrpSpPr>
          <xdr:cNvPr id="872137" name="Groupe 81">
            <a:extLst>
              <a:ext uri="{FF2B5EF4-FFF2-40B4-BE49-F238E27FC236}">
                <a16:creationId xmlns="" xmlns:a16="http://schemas.microsoft.com/office/drawing/2014/main" id="{00000000-0008-0000-2C00-0000C94E0D00}"/>
              </a:ext>
            </a:extLst>
          </xdr:cNvPr>
          <xdr:cNvGrpSpPr>
            <a:grpSpLocks/>
          </xdr:cNvGrpSpPr>
        </xdr:nvGrpSpPr>
        <xdr:grpSpPr bwMode="auto">
          <a:xfrm>
            <a:off x="2606364" y="104775"/>
            <a:ext cx="3365598" cy="5115983"/>
            <a:chOff x="2606364" y="104775"/>
            <a:chExt cx="3365598" cy="5115983"/>
          </a:xfrm>
        </xdr:grpSpPr>
        <xdr:sp macro="" textlink="">
          <xdr:nvSpPr>
            <xdr:cNvPr id="5" name="Text Box 48">
              <a:extLst>
                <a:ext uri="{FF2B5EF4-FFF2-40B4-BE49-F238E27FC236}">
                  <a16:creationId xmlns="" xmlns:a16="http://schemas.microsoft.com/office/drawing/2014/main" id="{00000000-0008-0000-2C00-000005000000}"/>
                </a:ext>
              </a:extLst>
            </xdr:cNvPr>
            <xdr:cNvSpPr txBox="1">
              <a:spLocks noChangeArrowheads="1"/>
            </xdr:cNvSpPr>
          </xdr:nvSpPr>
          <xdr:spPr bwMode="auto">
            <a:xfrm>
              <a:off x="3769619" y="104775"/>
              <a:ext cx="2202343" cy="237951"/>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ctr" rtl="0">
                <a:defRPr sz="1000"/>
              </a:pPr>
              <a:r>
                <a:rPr lang="fr-FR" sz="1200" b="1" i="0" strike="noStrike">
                  <a:solidFill>
                    <a:srgbClr val="000000"/>
                  </a:solidFill>
                  <a:latin typeface="Arial"/>
                  <a:cs typeface="Arial"/>
                </a:rPr>
                <a:t>FOSSE</a:t>
              </a:r>
              <a:r>
                <a:rPr lang="fr-FR" sz="1200" b="1" i="0" strike="noStrike" baseline="0">
                  <a:solidFill>
                    <a:srgbClr val="000000"/>
                  </a:solidFill>
                  <a:latin typeface="Arial"/>
                  <a:cs typeface="Arial"/>
                </a:rPr>
                <a:t> A AIGUILLES AU CS</a:t>
              </a:r>
              <a:endParaRPr lang="fr-FR" sz="1200" b="1" i="0" strike="noStrike">
                <a:solidFill>
                  <a:srgbClr val="000000"/>
                </a:solidFill>
                <a:latin typeface="Arial"/>
                <a:cs typeface="Arial"/>
              </a:endParaRPr>
            </a:p>
          </xdr:txBody>
        </xdr:sp>
        <xdr:grpSp>
          <xdr:nvGrpSpPr>
            <xdr:cNvPr id="872139" name="Groupe 79">
              <a:extLst>
                <a:ext uri="{FF2B5EF4-FFF2-40B4-BE49-F238E27FC236}">
                  <a16:creationId xmlns="" xmlns:a16="http://schemas.microsoft.com/office/drawing/2014/main" id="{00000000-0008-0000-2C00-0000CB4E0D00}"/>
                </a:ext>
              </a:extLst>
            </xdr:cNvPr>
            <xdr:cNvGrpSpPr>
              <a:grpSpLocks/>
            </xdr:cNvGrpSpPr>
          </xdr:nvGrpSpPr>
          <xdr:grpSpPr bwMode="auto">
            <a:xfrm>
              <a:off x="2606364" y="2482363"/>
              <a:ext cx="3137211" cy="2738395"/>
              <a:chOff x="2606364" y="2482363"/>
              <a:chExt cx="3137211" cy="2738395"/>
            </a:xfrm>
          </xdr:grpSpPr>
          <xdr:sp macro="" textlink="">
            <xdr:nvSpPr>
              <xdr:cNvPr id="872140" name="Rectangle 443" descr="Diagonal brick">
                <a:extLst>
                  <a:ext uri="{FF2B5EF4-FFF2-40B4-BE49-F238E27FC236}">
                    <a16:creationId xmlns="" xmlns:a16="http://schemas.microsoft.com/office/drawing/2014/main" id="{00000000-0008-0000-2C00-0000CC4E0D00}"/>
                  </a:ext>
                </a:extLst>
              </xdr:cNvPr>
              <xdr:cNvSpPr>
                <a:spLocks noChangeArrowheads="1"/>
              </xdr:cNvSpPr>
            </xdr:nvSpPr>
            <xdr:spPr bwMode="auto">
              <a:xfrm rot="21374481" flipV="1">
                <a:off x="2606364" y="2608403"/>
                <a:ext cx="682676" cy="83936"/>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sp macro="" textlink="">
            <xdr:nvSpPr>
              <xdr:cNvPr id="872141" name="Rectangle 443" descr="Diagonal brick">
                <a:extLst>
                  <a:ext uri="{FF2B5EF4-FFF2-40B4-BE49-F238E27FC236}">
                    <a16:creationId xmlns="" xmlns:a16="http://schemas.microsoft.com/office/drawing/2014/main" id="{00000000-0008-0000-2C00-0000CD4E0D00}"/>
                  </a:ext>
                </a:extLst>
              </xdr:cNvPr>
              <xdr:cNvSpPr>
                <a:spLocks noChangeArrowheads="1"/>
              </xdr:cNvSpPr>
            </xdr:nvSpPr>
            <xdr:spPr bwMode="auto">
              <a:xfrm rot="230699" flipV="1">
                <a:off x="4555266" y="2603698"/>
                <a:ext cx="639583" cy="89584"/>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sp macro="" textlink="">
            <xdr:nvSpPr>
              <xdr:cNvPr id="872142" name="Rectangle 5">
                <a:extLst>
                  <a:ext uri="{FF2B5EF4-FFF2-40B4-BE49-F238E27FC236}">
                    <a16:creationId xmlns="" xmlns:a16="http://schemas.microsoft.com/office/drawing/2014/main" id="{00000000-0008-0000-2C00-0000CE4E0D00}"/>
                  </a:ext>
                </a:extLst>
              </xdr:cNvPr>
              <xdr:cNvSpPr>
                <a:spLocks noChangeArrowheads="1"/>
              </xdr:cNvSpPr>
            </xdr:nvSpPr>
            <xdr:spPr bwMode="auto">
              <a:xfrm>
                <a:off x="3257550" y="2495550"/>
                <a:ext cx="1295399" cy="85725"/>
              </a:xfrm>
              <a:prstGeom prst="rect">
                <a:avLst/>
              </a:prstGeom>
              <a:solidFill>
                <a:srgbClr val="948A54"/>
              </a:solidFill>
              <a:ln w="9525" algn="ctr">
                <a:solidFill>
                  <a:srgbClr val="000000"/>
                </a:solidFill>
                <a:round/>
                <a:headEnd/>
                <a:tailEnd/>
              </a:ln>
            </xdr:spPr>
          </xdr:sp>
          <xdr:sp macro="" textlink="">
            <xdr:nvSpPr>
              <xdr:cNvPr id="872143" name="Rectangle 390" descr="Horizontal brick">
                <a:extLst>
                  <a:ext uri="{FF2B5EF4-FFF2-40B4-BE49-F238E27FC236}">
                    <a16:creationId xmlns="" xmlns:a16="http://schemas.microsoft.com/office/drawing/2014/main" id="{00000000-0008-0000-2C00-0000CF4E0D00}"/>
                  </a:ext>
                </a:extLst>
              </xdr:cNvPr>
              <xdr:cNvSpPr>
                <a:spLocks noChangeArrowheads="1"/>
              </xdr:cNvSpPr>
            </xdr:nvSpPr>
            <xdr:spPr bwMode="auto">
              <a:xfrm flipH="1">
                <a:off x="3248023" y="2590800"/>
                <a:ext cx="180976" cy="1943100"/>
              </a:xfrm>
              <a:prstGeom prst="rect">
                <a:avLst/>
              </a:prstGeom>
              <a:blipFill dpi="0" rotWithShape="1">
                <a:blip xmlns:r="http://schemas.openxmlformats.org/officeDocument/2006/relationships" r:embed="rId2"/>
                <a:srcRect/>
                <a:tile tx="0" ty="0" sx="100000" sy="100000" flip="none" algn="tl"/>
              </a:blipFill>
              <a:ln w="9525">
                <a:solidFill>
                  <a:srgbClr val="000000"/>
                </a:solidFill>
                <a:miter lim="800000"/>
                <a:headEnd/>
                <a:tailEnd/>
              </a:ln>
            </xdr:spPr>
          </xdr:sp>
          <xdr:sp macro="" textlink="">
            <xdr:nvSpPr>
              <xdr:cNvPr id="872144" name="Rectangle 390" descr="Horizontal brick">
                <a:extLst>
                  <a:ext uri="{FF2B5EF4-FFF2-40B4-BE49-F238E27FC236}">
                    <a16:creationId xmlns="" xmlns:a16="http://schemas.microsoft.com/office/drawing/2014/main" id="{00000000-0008-0000-2C00-0000D04E0D00}"/>
                  </a:ext>
                </a:extLst>
              </xdr:cNvPr>
              <xdr:cNvSpPr>
                <a:spLocks noChangeArrowheads="1"/>
              </xdr:cNvSpPr>
            </xdr:nvSpPr>
            <xdr:spPr bwMode="auto">
              <a:xfrm flipH="1">
                <a:off x="4362450" y="2590800"/>
                <a:ext cx="180976" cy="1943100"/>
              </a:xfrm>
              <a:prstGeom prst="rect">
                <a:avLst/>
              </a:prstGeom>
              <a:blipFill dpi="0" rotWithShape="1">
                <a:blip xmlns:r="http://schemas.openxmlformats.org/officeDocument/2006/relationships" r:embed="rId2"/>
                <a:srcRect/>
                <a:tile tx="0" ty="0" sx="100000" sy="100000" flip="none" algn="tl"/>
              </a:blipFill>
              <a:ln w="9525">
                <a:solidFill>
                  <a:srgbClr val="000000"/>
                </a:solidFill>
                <a:miter lim="800000"/>
                <a:headEnd/>
                <a:tailEnd/>
              </a:ln>
            </xdr:spPr>
          </xdr:sp>
          <xdr:sp macro="" textlink="">
            <xdr:nvSpPr>
              <xdr:cNvPr id="872145" name="Rectangle 433" descr="Sphere">
                <a:extLst>
                  <a:ext uri="{FF2B5EF4-FFF2-40B4-BE49-F238E27FC236}">
                    <a16:creationId xmlns="" xmlns:a16="http://schemas.microsoft.com/office/drawing/2014/main" id="{00000000-0008-0000-2C00-0000D14E0D00}"/>
                  </a:ext>
                </a:extLst>
              </xdr:cNvPr>
              <xdr:cNvSpPr>
                <a:spLocks noChangeArrowheads="1"/>
              </xdr:cNvSpPr>
            </xdr:nvSpPr>
            <xdr:spPr bwMode="auto">
              <a:xfrm>
                <a:off x="2825652" y="4667392"/>
                <a:ext cx="2364500" cy="146188"/>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sp macro="" textlink="">
            <xdr:nvSpPr>
              <xdr:cNvPr id="872146" name="Rectangle 23">
                <a:extLst>
                  <a:ext uri="{FF2B5EF4-FFF2-40B4-BE49-F238E27FC236}">
                    <a16:creationId xmlns="" xmlns:a16="http://schemas.microsoft.com/office/drawing/2014/main" id="{00000000-0008-0000-2C00-0000D24E0D00}"/>
                  </a:ext>
                </a:extLst>
              </xdr:cNvPr>
              <xdr:cNvSpPr>
                <a:spLocks noChangeArrowheads="1"/>
              </xdr:cNvSpPr>
            </xdr:nvSpPr>
            <xdr:spPr bwMode="auto">
              <a:xfrm>
                <a:off x="3962789" y="2482363"/>
                <a:ext cx="342900" cy="114300"/>
              </a:xfrm>
              <a:prstGeom prst="rect">
                <a:avLst/>
              </a:prstGeom>
              <a:solidFill>
                <a:srgbClr val="C0504D"/>
              </a:solidFill>
              <a:ln w="9525" algn="ctr">
                <a:solidFill>
                  <a:srgbClr val="000000"/>
                </a:solidFill>
                <a:round/>
                <a:headEnd/>
                <a:tailEnd/>
              </a:ln>
            </xdr:spPr>
          </xdr:sp>
          <xdr:cxnSp macro="">
            <xdr:nvCxnSpPr>
              <xdr:cNvPr id="872147" name="Connecteur droit avec flèche 32">
                <a:extLst>
                  <a:ext uri="{FF2B5EF4-FFF2-40B4-BE49-F238E27FC236}">
                    <a16:creationId xmlns="" xmlns:a16="http://schemas.microsoft.com/office/drawing/2014/main" id="{00000000-0008-0000-2C00-0000D34E0D00}"/>
                  </a:ext>
                </a:extLst>
              </xdr:cNvPr>
              <xdr:cNvCxnSpPr>
                <a:cxnSpLocks noChangeShapeType="1"/>
              </xdr:cNvCxnSpPr>
            </xdr:nvCxnSpPr>
            <xdr:spPr bwMode="auto">
              <a:xfrm rot="5400000" flipH="1" flipV="1">
                <a:off x="4615698" y="3614386"/>
                <a:ext cx="2092805" cy="2860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15" name="Rectangle à coins arrondis 14">
                <a:extLst>
                  <a:ext uri="{FF2B5EF4-FFF2-40B4-BE49-F238E27FC236}">
                    <a16:creationId xmlns="" xmlns:a16="http://schemas.microsoft.com/office/drawing/2014/main" id="{00000000-0008-0000-2C00-00000F000000}"/>
                  </a:ext>
                </a:extLst>
              </xdr:cNvPr>
              <xdr:cNvSpPr/>
            </xdr:nvSpPr>
            <xdr:spPr bwMode="auto">
              <a:xfrm>
                <a:off x="5383799" y="2998772"/>
                <a:ext cx="320222" cy="694559"/>
              </a:xfrm>
              <a:prstGeom prst="roundRect">
                <a:avLst/>
              </a:prstGeom>
              <a:noFill/>
              <a:ln w="0" cap="flat" cmpd="sng" algn="ctr">
                <a:solidFill>
                  <a:schemeClr val="bg1"/>
                </a:solidFill>
                <a:prstDash val="solid"/>
                <a:round/>
                <a:headEnd type="none" w="med" len="med"/>
                <a:tailEnd type="none" w="med" len="med"/>
              </a:ln>
              <a:effectLst/>
            </xdr:spPr>
            <xdr:txBody>
              <a:bodyPr vertOverflow="clip" vert="vert270" wrap="square" lIns="18288" tIns="0" rIns="0" bIns="0" rtlCol="0" anchor="ctr" upright="1"/>
              <a:lstStyle/>
              <a:p>
                <a:pPr algn="ctr"/>
                <a:r>
                  <a:rPr lang="fr-FR" sz="1100"/>
                  <a:t>500cm</a:t>
                </a:r>
              </a:p>
            </xdr:txBody>
          </xdr:sp>
          <xdr:sp macro="" textlink="">
            <xdr:nvSpPr>
              <xdr:cNvPr id="16" name="Rectangle à coins arrondis 15">
                <a:extLst>
                  <a:ext uri="{FF2B5EF4-FFF2-40B4-BE49-F238E27FC236}">
                    <a16:creationId xmlns="" xmlns:a16="http://schemas.microsoft.com/office/drawing/2014/main" id="{00000000-0008-0000-2C00-000010000000}"/>
                  </a:ext>
                </a:extLst>
              </xdr:cNvPr>
              <xdr:cNvSpPr/>
            </xdr:nvSpPr>
            <xdr:spPr bwMode="auto">
              <a:xfrm>
                <a:off x="3318695" y="4863792"/>
                <a:ext cx="1124044" cy="360142"/>
              </a:xfrm>
              <a:prstGeom prst="roundRect">
                <a:avLst/>
              </a:prstGeom>
              <a:solidFill>
                <a:srgbClr val="FFFFFF"/>
              </a:solidFill>
              <a:ln w="0"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ctr"/>
                <a:r>
                  <a:rPr lang="fr-FR" sz="1100"/>
                  <a:t>Coupe AA</a:t>
                </a:r>
              </a:p>
            </xdr:txBody>
          </xdr:sp>
          <xdr:grpSp>
            <xdr:nvGrpSpPr>
              <xdr:cNvPr id="872150" name="Groupe 78">
                <a:extLst>
                  <a:ext uri="{FF2B5EF4-FFF2-40B4-BE49-F238E27FC236}">
                    <a16:creationId xmlns="" xmlns:a16="http://schemas.microsoft.com/office/drawing/2014/main" id="{00000000-0008-0000-2C00-0000D64E0D00}"/>
                  </a:ext>
                </a:extLst>
              </xdr:cNvPr>
              <xdr:cNvGrpSpPr>
                <a:grpSpLocks/>
              </xdr:cNvGrpSpPr>
            </xdr:nvGrpSpPr>
            <xdr:grpSpPr bwMode="auto">
              <a:xfrm>
                <a:off x="4522751" y="2580824"/>
                <a:ext cx="1220824" cy="2105947"/>
                <a:chOff x="4522751" y="2580824"/>
                <a:chExt cx="1220824" cy="2105947"/>
              </a:xfrm>
            </xdr:grpSpPr>
            <xdr:cxnSp macro="">
              <xdr:nvCxnSpPr>
                <xdr:cNvPr id="872151" name="Connecteur droit 71">
                  <a:extLst>
                    <a:ext uri="{FF2B5EF4-FFF2-40B4-BE49-F238E27FC236}">
                      <a16:creationId xmlns="" xmlns:a16="http://schemas.microsoft.com/office/drawing/2014/main" id="{00000000-0008-0000-2C00-0000D74E0D00}"/>
                    </a:ext>
                  </a:extLst>
                </xdr:cNvPr>
                <xdr:cNvCxnSpPr>
                  <a:cxnSpLocks noChangeShapeType="1"/>
                </xdr:cNvCxnSpPr>
              </xdr:nvCxnSpPr>
              <xdr:spPr bwMode="auto">
                <a:xfrm>
                  <a:off x="5591175" y="2580824"/>
                  <a:ext cx="152400" cy="1588"/>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sp macro="" textlink="">
              <xdr:nvSpPr>
                <xdr:cNvPr id="19" name="Rectangle à coins arrondis 18">
                  <a:extLst>
                    <a:ext uri="{FF2B5EF4-FFF2-40B4-BE49-F238E27FC236}">
                      <a16:creationId xmlns="" xmlns:a16="http://schemas.microsoft.com/office/drawing/2014/main" id="{00000000-0008-0000-2C00-000013000000}"/>
                    </a:ext>
                  </a:extLst>
                </xdr:cNvPr>
                <xdr:cNvSpPr/>
              </xdr:nvSpPr>
              <xdr:spPr bwMode="auto">
                <a:xfrm rot="10800000">
                  <a:off x="4521161" y="4420046"/>
                  <a:ext cx="307152" cy="334417"/>
                </a:xfrm>
                <a:prstGeom prst="roundRect">
                  <a:avLst/>
                </a:prstGeom>
                <a:noFill/>
                <a:ln w="0" cap="flat" cmpd="sng" algn="ctr">
                  <a:noFill/>
                  <a:prstDash val="solid"/>
                  <a:round/>
                  <a:headEnd type="none" w="med" len="med"/>
                  <a:tailEnd type="none" w="med" len="med"/>
                </a:ln>
                <a:effectLst/>
              </xdr:spPr>
              <xdr:txBody>
                <a:bodyPr vertOverflow="clip" vert="vert270" wrap="square" lIns="18288" tIns="0" rIns="0" bIns="0" rtlCol="0" anchor="ctr" upright="1"/>
                <a:lstStyle/>
                <a:p>
                  <a:pPr algn="ctr"/>
                  <a:r>
                    <a:rPr lang="fr-FR" sz="1100"/>
                    <a:t>10cm</a:t>
                  </a:r>
                </a:p>
              </xdr:txBody>
            </xdr:sp>
          </xdr:grpSp>
        </xdr:grpSp>
      </xdr:grpSp>
    </xdr:grpSp>
    <xdr:clientData/>
  </xdr:twoCellAnchor>
  <xdr:twoCellAnchor>
    <xdr:from>
      <xdr:col>14</xdr:col>
      <xdr:colOff>95250</xdr:colOff>
      <xdr:row>14</xdr:row>
      <xdr:rowOff>114300</xdr:rowOff>
    </xdr:from>
    <xdr:to>
      <xdr:col>19</xdr:col>
      <xdr:colOff>19050</xdr:colOff>
      <xdr:row>14</xdr:row>
      <xdr:rowOff>114300</xdr:rowOff>
    </xdr:to>
    <xdr:cxnSp macro="">
      <xdr:nvCxnSpPr>
        <xdr:cNvPr id="872078" name="Connecteur droit avec flèche 42">
          <a:extLst>
            <a:ext uri="{FF2B5EF4-FFF2-40B4-BE49-F238E27FC236}">
              <a16:creationId xmlns="" xmlns:a16="http://schemas.microsoft.com/office/drawing/2014/main" id="{00000000-0008-0000-2C00-00008E4E0D00}"/>
            </a:ext>
          </a:extLst>
        </xdr:cNvPr>
        <xdr:cNvCxnSpPr>
          <a:cxnSpLocks noChangeShapeType="1"/>
        </xdr:cNvCxnSpPr>
      </xdr:nvCxnSpPr>
      <xdr:spPr bwMode="auto">
        <a:xfrm flipV="1">
          <a:off x="2317750" y="2374900"/>
          <a:ext cx="71755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15</xdr:col>
      <xdr:colOff>98425</xdr:colOff>
      <xdr:row>13</xdr:row>
      <xdr:rowOff>84456</xdr:rowOff>
    </xdr:from>
    <xdr:to>
      <xdr:col>19</xdr:col>
      <xdr:colOff>2317</xdr:colOff>
      <xdr:row>15</xdr:row>
      <xdr:rowOff>2728</xdr:rowOff>
    </xdr:to>
    <xdr:sp macro="" textlink="">
      <xdr:nvSpPr>
        <xdr:cNvPr id="44" name="Rectangle à coins arrondis 43">
          <a:extLst>
            <a:ext uri="{FF2B5EF4-FFF2-40B4-BE49-F238E27FC236}">
              <a16:creationId xmlns="" xmlns:a16="http://schemas.microsoft.com/office/drawing/2014/main" id="{00000000-0008-0000-2C00-00002C000000}"/>
            </a:ext>
          </a:extLst>
        </xdr:cNvPr>
        <xdr:cNvSpPr/>
      </xdr:nvSpPr>
      <xdr:spPr bwMode="auto">
        <a:xfrm>
          <a:off x="2714625" y="2209801"/>
          <a:ext cx="514350" cy="247650"/>
        </a:xfrm>
        <a:prstGeom prst="roundRect">
          <a:avLst/>
        </a:prstGeom>
        <a:noFill/>
        <a:ln w="0"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fr-FR" sz="1100"/>
            <a:t>60cm</a:t>
          </a:r>
        </a:p>
      </xdr:txBody>
    </xdr:sp>
    <xdr:clientData/>
  </xdr:twoCellAnchor>
  <xdr:twoCellAnchor>
    <xdr:from>
      <xdr:col>27</xdr:col>
      <xdr:colOff>80645</xdr:colOff>
      <xdr:row>5</xdr:row>
      <xdr:rowOff>19683</xdr:rowOff>
    </xdr:from>
    <xdr:to>
      <xdr:col>31</xdr:col>
      <xdr:colOff>35910</xdr:colOff>
      <xdr:row>13</xdr:row>
      <xdr:rowOff>2072</xdr:rowOff>
    </xdr:to>
    <xdr:sp macro="" textlink="">
      <xdr:nvSpPr>
        <xdr:cNvPr id="45" name="Rectangle à coins arrondis 44">
          <a:extLst>
            <a:ext uri="{FF2B5EF4-FFF2-40B4-BE49-F238E27FC236}">
              <a16:creationId xmlns="" xmlns:a16="http://schemas.microsoft.com/office/drawing/2014/main" id="{00000000-0008-0000-2C00-00002D000000}"/>
            </a:ext>
          </a:extLst>
        </xdr:cNvPr>
        <xdr:cNvSpPr/>
      </xdr:nvSpPr>
      <xdr:spPr bwMode="auto">
        <a:xfrm rot="16200000">
          <a:off x="4310062" y="1166811"/>
          <a:ext cx="1276351" cy="600076"/>
        </a:xfrm>
        <a:prstGeom prst="roundRect">
          <a:avLst/>
        </a:prstGeom>
        <a:noFill/>
        <a:ln w="0" cap="flat" cmpd="sng" algn="ctr">
          <a:noFill/>
          <a:prstDash val="solid"/>
          <a:round/>
          <a:headEnd type="none" w="med" len="med"/>
          <a:tailEnd type="none" w="med" len="med"/>
        </a:ln>
        <a:effectLst/>
      </xdr:spPr>
      <xdr:txBody>
        <a:bodyPr vertOverflow="clip" vert="vert270" wrap="square" lIns="18288" tIns="0" rIns="0" bIns="0" rtlCol="0" anchor="t" upright="1"/>
        <a:lstStyle/>
        <a:p>
          <a:pPr algn="ctr"/>
          <a:r>
            <a:rPr lang="fr-FR" sz="1100" b="1"/>
            <a:t>Trottoir</a:t>
          </a:r>
          <a:r>
            <a:rPr lang="fr-FR" sz="1100" b="1" baseline="0"/>
            <a:t> en briques et fini par un mortier de ciment</a:t>
          </a:r>
          <a:endParaRPr lang="fr-FR" sz="1100" b="1"/>
        </a:p>
      </xdr:txBody>
    </xdr:sp>
    <xdr:clientData/>
  </xdr:twoCellAnchor>
  <xdr:twoCellAnchor>
    <xdr:from>
      <xdr:col>27</xdr:col>
      <xdr:colOff>114300</xdr:colOff>
      <xdr:row>11</xdr:row>
      <xdr:rowOff>114300</xdr:rowOff>
    </xdr:from>
    <xdr:to>
      <xdr:col>29</xdr:col>
      <xdr:colOff>57150</xdr:colOff>
      <xdr:row>15</xdr:row>
      <xdr:rowOff>107950</xdr:rowOff>
    </xdr:to>
    <xdr:cxnSp macro="">
      <xdr:nvCxnSpPr>
        <xdr:cNvPr id="872081" name="Connecteur droit avec flèche 45">
          <a:extLst>
            <a:ext uri="{FF2B5EF4-FFF2-40B4-BE49-F238E27FC236}">
              <a16:creationId xmlns="" xmlns:a16="http://schemas.microsoft.com/office/drawing/2014/main" id="{00000000-0008-0000-2C00-0000914E0D00}"/>
            </a:ext>
          </a:extLst>
        </xdr:cNvPr>
        <xdr:cNvCxnSpPr>
          <a:cxnSpLocks noChangeShapeType="1"/>
        </xdr:cNvCxnSpPr>
      </xdr:nvCxnSpPr>
      <xdr:spPr bwMode="auto">
        <a:xfrm rot="5400000" flipH="1" flipV="1">
          <a:off x="4216400" y="2082800"/>
          <a:ext cx="628650" cy="260350"/>
        </a:xfrm>
        <a:prstGeom prst="straightConnector1">
          <a:avLst/>
        </a:prstGeom>
        <a:noFill/>
        <a:ln w="127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23</xdr:col>
      <xdr:colOff>54610</xdr:colOff>
      <xdr:row>15</xdr:row>
      <xdr:rowOff>1905</xdr:rowOff>
    </xdr:from>
    <xdr:to>
      <xdr:col>25</xdr:col>
      <xdr:colOff>94833</xdr:colOff>
      <xdr:row>15</xdr:row>
      <xdr:rowOff>56775</xdr:rowOff>
    </xdr:to>
    <xdr:sp macro="" textlink="">
      <xdr:nvSpPr>
        <xdr:cNvPr id="47" name="Triangle isocèle 46">
          <a:extLst>
            <a:ext uri="{FF2B5EF4-FFF2-40B4-BE49-F238E27FC236}">
              <a16:creationId xmlns="" xmlns:a16="http://schemas.microsoft.com/office/drawing/2014/main" id="{00000000-0008-0000-2C00-00002F000000}"/>
            </a:ext>
          </a:extLst>
        </xdr:cNvPr>
        <xdr:cNvSpPr/>
      </xdr:nvSpPr>
      <xdr:spPr bwMode="auto">
        <a:xfrm>
          <a:off x="3933825" y="2419350"/>
          <a:ext cx="381000" cy="66675"/>
        </a:xfrm>
        <a:prstGeom prst="triangle">
          <a:avLst/>
        </a:prstGeom>
        <a:solidFill>
          <a:schemeClr val="accent2"/>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23</xdr:col>
      <xdr:colOff>35560</xdr:colOff>
      <xdr:row>39</xdr:row>
      <xdr:rowOff>57785</xdr:rowOff>
    </xdr:from>
    <xdr:to>
      <xdr:col>26</xdr:col>
      <xdr:colOff>671</xdr:colOff>
      <xdr:row>41</xdr:row>
      <xdr:rowOff>894</xdr:rowOff>
    </xdr:to>
    <xdr:sp macro="" textlink="">
      <xdr:nvSpPr>
        <xdr:cNvPr id="48" name="Rectangle à coins arrondis 47">
          <a:extLst>
            <a:ext uri="{FF2B5EF4-FFF2-40B4-BE49-F238E27FC236}">
              <a16:creationId xmlns="" xmlns:a16="http://schemas.microsoft.com/office/drawing/2014/main" id="{00000000-0008-0000-2C00-000030000000}"/>
            </a:ext>
          </a:extLst>
        </xdr:cNvPr>
        <xdr:cNvSpPr/>
      </xdr:nvSpPr>
      <xdr:spPr bwMode="auto">
        <a:xfrm>
          <a:off x="3962400" y="6419850"/>
          <a:ext cx="438150" cy="220162"/>
        </a:xfrm>
        <a:prstGeom prst="roundRect">
          <a:avLst/>
        </a:prstGeom>
        <a:noFill/>
        <a:ln w="0"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ctr"/>
          <a:r>
            <a:rPr lang="fr-FR" sz="1100"/>
            <a:t>25cm</a:t>
          </a:r>
        </a:p>
      </xdr:txBody>
    </xdr:sp>
    <xdr:clientData/>
  </xdr:twoCellAnchor>
  <xdr:twoCellAnchor>
    <xdr:from>
      <xdr:col>21</xdr:col>
      <xdr:colOff>0</xdr:colOff>
      <xdr:row>41</xdr:row>
      <xdr:rowOff>40005</xdr:rowOff>
    </xdr:from>
    <xdr:to>
      <xdr:col>23</xdr:col>
      <xdr:colOff>75034</xdr:colOff>
      <xdr:row>42</xdr:row>
      <xdr:rowOff>76148</xdr:rowOff>
    </xdr:to>
    <xdr:sp macro="" textlink="">
      <xdr:nvSpPr>
        <xdr:cNvPr id="49" name="Rectangle à coins arrondis 48">
          <a:extLst>
            <a:ext uri="{FF2B5EF4-FFF2-40B4-BE49-F238E27FC236}">
              <a16:creationId xmlns="" xmlns:a16="http://schemas.microsoft.com/office/drawing/2014/main" id="{00000000-0008-0000-2C00-000031000000}"/>
            </a:ext>
          </a:extLst>
        </xdr:cNvPr>
        <xdr:cNvSpPr/>
      </xdr:nvSpPr>
      <xdr:spPr bwMode="auto">
        <a:xfrm>
          <a:off x="3562350" y="6667500"/>
          <a:ext cx="438150" cy="220162"/>
        </a:xfrm>
        <a:prstGeom prst="roundRect">
          <a:avLst/>
        </a:prstGeom>
        <a:noFill/>
        <a:ln w="0"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ctr"/>
          <a:r>
            <a:rPr lang="fr-FR" sz="1100"/>
            <a:t>25cm</a:t>
          </a:r>
        </a:p>
      </xdr:txBody>
    </xdr:sp>
    <xdr:clientData/>
  </xdr:twoCellAnchor>
  <xdr:twoCellAnchor>
    <xdr:from>
      <xdr:col>18</xdr:col>
      <xdr:colOff>19050</xdr:colOff>
      <xdr:row>11</xdr:row>
      <xdr:rowOff>44450</xdr:rowOff>
    </xdr:from>
    <xdr:to>
      <xdr:col>24</xdr:col>
      <xdr:colOff>57150</xdr:colOff>
      <xdr:row>14</xdr:row>
      <xdr:rowOff>146050</xdr:rowOff>
    </xdr:to>
    <xdr:cxnSp macro="">
      <xdr:nvCxnSpPr>
        <xdr:cNvPr id="872085" name="Forme 49">
          <a:extLst>
            <a:ext uri="{FF2B5EF4-FFF2-40B4-BE49-F238E27FC236}">
              <a16:creationId xmlns="" xmlns:a16="http://schemas.microsoft.com/office/drawing/2014/main" id="{00000000-0008-0000-2C00-0000954E0D00}"/>
            </a:ext>
          </a:extLst>
        </xdr:cNvPr>
        <xdr:cNvCxnSpPr>
          <a:cxnSpLocks noChangeShapeType="1"/>
        </xdr:cNvCxnSpPr>
      </xdr:nvCxnSpPr>
      <xdr:spPr bwMode="auto">
        <a:xfrm rot="16200000" flipV="1">
          <a:off x="3082925" y="1622425"/>
          <a:ext cx="577850" cy="990600"/>
        </a:xfrm>
        <a:prstGeom prst="bentConnector2">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11</xdr:col>
      <xdr:colOff>17145</xdr:colOff>
      <xdr:row>9</xdr:row>
      <xdr:rowOff>36831</xdr:rowOff>
    </xdr:from>
    <xdr:to>
      <xdr:col>18</xdr:col>
      <xdr:colOff>56713</xdr:colOff>
      <xdr:row>13</xdr:row>
      <xdr:rowOff>79642</xdr:rowOff>
    </xdr:to>
    <xdr:sp macro="" textlink="">
      <xdr:nvSpPr>
        <xdr:cNvPr id="51" name="Rectangle à coins arrondis 50">
          <a:extLst>
            <a:ext uri="{FF2B5EF4-FFF2-40B4-BE49-F238E27FC236}">
              <a16:creationId xmlns="" xmlns:a16="http://schemas.microsoft.com/office/drawing/2014/main" id="{00000000-0008-0000-2C00-000033000000}"/>
            </a:ext>
          </a:extLst>
        </xdr:cNvPr>
        <xdr:cNvSpPr/>
      </xdr:nvSpPr>
      <xdr:spPr bwMode="auto">
        <a:xfrm>
          <a:off x="1962150" y="1514476"/>
          <a:ext cx="1162050" cy="704850"/>
        </a:xfrm>
        <a:prstGeom prst="roundRect">
          <a:avLst/>
        </a:prstGeom>
        <a:noFill/>
        <a:ln w="0"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fr-FR" sz="1100"/>
            <a:t>Trappe</a:t>
          </a:r>
          <a:r>
            <a:rPr lang="fr-FR" sz="1100" baseline="0"/>
            <a:t> métallique 25X25cm</a:t>
          </a:r>
          <a:endParaRPr lang="fr-FR" sz="1100"/>
        </a:p>
      </xdr:txBody>
    </xdr:sp>
    <xdr:clientData/>
  </xdr:twoCellAnchor>
  <xdr:twoCellAnchor>
    <xdr:from>
      <xdr:col>19</xdr:col>
      <xdr:colOff>94457</xdr:colOff>
      <xdr:row>16</xdr:row>
      <xdr:rowOff>3334</xdr:rowOff>
    </xdr:from>
    <xdr:to>
      <xdr:col>19</xdr:col>
      <xdr:colOff>99221</xdr:colOff>
      <xdr:row>28</xdr:row>
      <xdr:rowOff>1760</xdr:rowOff>
    </xdr:to>
    <xdr:cxnSp macro="">
      <xdr:nvCxnSpPr>
        <xdr:cNvPr id="52" name="Connecteur droit 51">
          <a:extLst>
            <a:ext uri="{FF2B5EF4-FFF2-40B4-BE49-F238E27FC236}">
              <a16:creationId xmlns="" xmlns:a16="http://schemas.microsoft.com/office/drawing/2014/main" id="{00000000-0008-0000-2C00-000034000000}"/>
            </a:ext>
          </a:extLst>
        </xdr:cNvPr>
        <xdr:cNvCxnSpPr/>
      </xdr:nvCxnSpPr>
      <xdr:spPr>
        <a:xfrm rot="5400000">
          <a:off x="2376488" y="3567113"/>
          <a:ext cx="1952625" cy="1588"/>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79852</xdr:colOff>
      <xdr:row>16</xdr:row>
      <xdr:rowOff>3336</xdr:rowOff>
    </xdr:from>
    <xdr:to>
      <xdr:col>26</xdr:col>
      <xdr:colOff>80646</xdr:colOff>
      <xdr:row>28</xdr:row>
      <xdr:rowOff>1762</xdr:rowOff>
    </xdr:to>
    <xdr:cxnSp macro="">
      <xdr:nvCxnSpPr>
        <xdr:cNvPr id="53" name="Connecteur droit 52">
          <a:extLst>
            <a:ext uri="{FF2B5EF4-FFF2-40B4-BE49-F238E27FC236}">
              <a16:creationId xmlns="" xmlns:a16="http://schemas.microsoft.com/office/drawing/2014/main" id="{00000000-0008-0000-2C00-000035000000}"/>
            </a:ext>
          </a:extLst>
        </xdr:cNvPr>
        <xdr:cNvCxnSpPr/>
      </xdr:nvCxnSpPr>
      <xdr:spPr>
        <a:xfrm rot="5400000">
          <a:off x="3490913" y="3567115"/>
          <a:ext cx="1952625" cy="1588"/>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98425</xdr:colOff>
      <xdr:row>16</xdr:row>
      <xdr:rowOff>60960</xdr:rowOff>
    </xdr:from>
    <xdr:to>
      <xdr:col>20</xdr:col>
      <xdr:colOff>1193</xdr:colOff>
      <xdr:row>16</xdr:row>
      <xdr:rowOff>87451</xdr:rowOff>
    </xdr:to>
    <xdr:sp macro="" textlink="">
      <xdr:nvSpPr>
        <xdr:cNvPr id="54" name="Ellipse 53">
          <a:extLst>
            <a:ext uri="{FF2B5EF4-FFF2-40B4-BE49-F238E27FC236}">
              <a16:creationId xmlns="" xmlns:a16="http://schemas.microsoft.com/office/drawing/2014/main" id="{00000000-0008-0000-2C00-000036000000}"/>
            </a:ext>
          </a:extLst>
        </xdr:cNvPr>
        <xdr:cNvSpPr/>
      </xdr:nvSpPr>
      <xdr:spPr>
        <a:xfrm>
          <a:off x="3371850" y="2628900"/>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19</xdr:col>
      <xdr:colOff>98425</xdr:colOff>
      <xdr:row>17</xdr:row>
      <xdr:rowOff>0</xdr:rowOff>
    </xdr:from>
    <xdr:to>
      <xdr:col>20</xdr:col>
      <xdr:colOff>1193</xdr:colOff>
      <xdr:row>17</xdr:row>
      <xdr:rowOff>22937</xdr:rowOff>
    </xdr:to>
    <xdr:sp macro="" textlink="">
      <xdr:nvSpPr>
        <xdr:cNvPr id="55" name="Ellipse 54">
          <a:extLst>
            <a:ext uri="{FF2B5EF4-FFF2-40B4-BE49-F238E27FC236}">
              <a16:creationId xmlns="" xmlns:a16="http://schemas.microsoft.com/office/drawing/2014/main" id="{00000000-0008-0000-2C00-000037000000}"/>
            </a:ext>
          </a:extLst>
        </xdr:cNvPr>
        <xdr:cNvSpPr/>
      </xdr:nvSpPr>
      <xdr:spPr>
        <a:xfrm>
          <a:off x="3371850" y="2752725"/>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19</xdr:col>
      <xdr:colOff>111125</xdr:colOff>
      <xdr:row>18</xdr:row>
      <xdr:rowOff>0</xdr:rowOff>
    </xdr:from>
    <xdr:to>
      <xdr:col>20</xdr:col>
      <xdr:colOff>708</xdr:colOff>
      <xdr:row>18</xdr:row>
      <xdr:rowOff>60903</xdr:rowOff>
    </xdr:to>
    <xdr:sp macro="" textlink="">
      <xdr:nvSpPr>
        <xdr:cNvPr id="56" name="Ellipse 55">
          <a:extLst>
            <a:ext uri="{FF2B5EF4-FFF2-40B4-BE49-F238E27FC236}">
              <a16:creationId xmlns="" xmlns:a16="http://schemas.microsoft.com/office/drawing/2014/main" id="{00000000-0008-0000-2C00-000038000000}"/>
            </a:ext>
          </a:extLst>
        </xdr:cNvPr>
        <xdr:cNvSpPr/>
      </xdr:nvSpPr>
      <xdr:spPr>
        <a:xfrm>
          <a:off x="3381375" y="2914650"/>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19</xdr:col>
      <xdr:colOff>98425</xdr:colOff>
      <xdr:row>18</xdr:row>
      <xdr:rowOff>133350</xdr:rowOff>
    </xdr:from>
    <xdr:to>
      <xdr:col>20</xdr:col>
      <xdr:colOff>1193</xdr:colOff>
      <xdr:row>18</xdr:row>
      <xdr:rowOff>133350</xdr:rowOff>
    </xdr:to>
    <xdr:sp macro="" textlink="">
      <xdr:nvSpPr>
        <xdr:cNvPr id="57" name="Ellipse 56">
          <a:extLst>
            <a:ext uri="{FF2B5EF4-FFF2-40B4-BE49-F238E27FC236}">
              <a16:creationId xmlns="" xmlns:a16="http://schemas.microsoft.com/office/drawing/2014/main" id="{00000000-0008-0000-2C00-000039000000}"/>
            </a:ext>
          </a:extLst>
        </xdr:cNvPr>
        <xdr:cNvSpPr/>
      </xdr:nvSpPr>
      <xdr:spPr>
        <a:xfrm>
          <a:off x="3371850" y="3076575"/>
          <a:ext cx="47625" cy="17144"/>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19</xdr:col>
      <xdr:colOff>111760</xdr:colOff>
      <xdr:row>19</xdr:row>
      <xdr:rowOff>139700</xdr:rowOff>
    </xdr:from>
    <xdr:to>
      <xdr:col>19</xdr:col>
      <xdr:colOff>152343</xdr:colOff>
      <xdr:row>20</xdr:row>
      <xdr:rowOff>3271</xdr:rowOff>
    </xdr:to>
    <xdr:sp macro="" textlink="">
      <xdr:nvSpPr>
        <xdr:cNvPr id="58" name="Ellipse 57">
          <a:extLst>
            <a:ext uri="{FF2B5EF4-FFF2-40B4-BE49-F238E27FC236}">
              <a16:creationId xmlns="" xmlns:a16="http://schemas.microsoft.com/office/drawing/2014/main" id="{00000000-0008-0000-2C00-00003A000000}"/>
            </a:ext>
          </a:extLst>
        </xdr:cNvPr>
        <xdr:cNvSpPr/>
      </xdr:nvSpPr>
      <xdr:spPr>
        <a:xfrm>
          <a:off x="3362325" y="3219450"/>
          <a:ext cx="47625" cy="17144"/>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19</xdr:col>
      <xdr:colOff>98425</xdr:colOff>
      <xdr:row>20</xdr:row>
      <xdr:rowOff>103505</xdr:rowOff>
    </xdr:from>
    <xdr:to>
      <xdr:col>20</xdr:col>
      <xdr:colOff>1193</xdr:colOff>
      <xdr:row>20</xdr:row>
      <xdr:rowOff>157709</xdr:rowOff>
    </xdr:to>
    <xdr:sp macro="" textlink="">
      <xdr:nvSpPr>
        <xdr:cNvPr id="59" name="Ellipse 58">
          <a:extLst>
            <a:ext uri="{FF2B5EF4-FFF2-40B4-BE49-F238E27FC236}">
              <a16:creationId xmlns="" xmlns:a16="http://schemas.microsoft.com/office/drawing/2014/main" id="{00000000-0008-0000-2C00-00003B000000}"/>
            </a:ext>
          </a:extLst>
        </xdr:cNvPr>
        <xdr:cNvSpPr/>
      </xdr:nvSpPr>
      <xdr:spPr>
        <a:xfrm>
          <a:off x="3371850" y="3371850"/>
          <a:ext cx="47625" cy="2666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19</xdr:col>
      <xdr:colOff>98425</xdr:colOff>
      <xdr:row>21</xdr:row>
      <xdr:rowOff>117475</xdr:rowOff>
    </xdr:from>
    <xdr:to>
      <xdr:col>20</xdr:col>
      <xdr:colOff>1193</xdr:colOff>
      <xdr:row>21</xdr:row>
      <xdr:rowOff>123025</xdr:rowOff>
    </xdr:to>
    <xdr:sp macro="" textlink="">
      <xdr:nvSpPr>
        <xdr:cNvPr id="60" name="Ellipse 59">
          <a:extLst>
            <a:ext uri="{FF2B5EF4-FFF2-40B4-BE49-F238E27FC236}">
              <a16:creationId xmlns="" xmlns:a16="http://schemas.microsoft.com/office/drawing/2014/main" id="{00000000-0008-0000-2C00-00003C000000}"/>
            </a:ext>
          </a:extLst>
        </xdr:cNvPr>
        <xdr:cNvSpPr/>
      </xdr:nvSpPr>
      <xdr:spPr>
        <a:xfrm>
          <a:off x="3371850" y="3543300"/>
          <a:ext cx="47625" cy="17144"/>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19</xdr:col>
      <xdr:colOff>80645</xdr:colOff>
      <xdr:row>23</xdr:row>
      <xdr:rowOff>0</xdr:rowOff>
    </xdr:from>
    <xdr:to>
      <xdr:col>20</xdr:col>
      <xdr:colOff>18663</xdr:colOff>
      <xdr:row>23</xdr:row>
      <xdr:rowOff>2823</xdr:rowOff>
    </xdr:to>
    <xdr:sp macro="" textlink="">
      <xdr:nvSpPr>
        <xdr:cNvPr id="61" name="Ellipse 60">
          <a:extLst>
            <a:ext uri="{FF2B5EF4-FFF2-40B4-BE49-F238E27FC236}">
              <a16:creationId xmlns="" xmlns:a16="http://schemas.microsoft.com/office/drawing/2014/main" id="{00000000-0008-0000-2C00-00003D000000}"/>
            </a:ext>
          </a:extLst>
        </xdr:cNvPr>
        <xdr:cNvSpPr/>
      </xdr:nvSpPr>
      <xdr:spPr>
        <a:xfrm>
          <a:off x="3352800" y="3724275"/>
          <a:ext cx="47625" cy="36194"/>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19</xdr:col>
      <xdr:colOff>111760</xdr:colOff>
      <xdr:row>24</xdr:row>
      <xdr:rowOff>0</xdr:rowOff>
    </xdr:from>
    <xdr:to>
      <xdr:col>19</xdr:col>
      <xdr:colOff>152343</xdr:colOff>
      <xdr:row>24</xdr:row>
      <xdr:rowOff>59774</xdr:rowOff>
    </xdr:to>
    <xdr:sp macro="" textlink="">
      <xdr:nvSpPr>
        <xdr:cNvPr id="62" name="Ellipse 61">
          <a:extLst>
            <a:ext uri="{FF2B5EF4-FFF2-40B4-BE49-F238E27FC236}">
              <a16:creationId xmlns="" xmlns:a16="http://schemas.microsoft.com/office/drawing/2014/main" id="{00000000-0008-0000-2C00-00003E000000}"/>
            </a:ext>
          </a:extLst>
        </xdr:cNvPr>
        <xdr:cNvSpPr/>
      </xdr:nvSpPr>
      <xdr:spPr>
        <a:xfrm>
          <a:off x="3362325" y="3886200"/>
          <a:ext cx="47625" cy="36194"/>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19</xdr:col>
      <xdr:colOff>98425</xdr:colOff>
      <xdr:row>25</xdr:row>
      <xdr:rowOff>39370</xdr:rowOff>
    </xdr:from>
    <xdr:to>
      <xdr:col>20</xdr:col>
      <xdr:colOff>1193</xdr:colOff>
      <xdr:row>25</xdr:row>
      <xdr:rowOff>81327</xdr:rowOff>
    </xdr:to>
    <xdr:sp macro="" textlink="">
      <xdr:nvSpPr>
        <xdr:cNvPr id="63" name="Ellipse 62">
          <a:extLst>
            <a:ext uri="{FF2B5EF4-FFF2-40B4-BE49-F238E27FC236}">
              <a16:creationId xmlns="" xmlns:a16="http://schemas.microsoft.com/office/drawing/2014/main" id="{00000000-0008-0000-2C00-00003F000000}"/>
            </a:ext>
          </a:extLst>
        </xdr:cNvPr>
        <xdr:cNvSpPr/>
      </xdr:nvSpPr>
      <xdr:spPr>
        <a:xfrm>
          <a:off x="3371850" y="4095750"/>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19</xdr:col>
      <xdr:colOff>98425</xdr:colOff>
      <xdr:row>26</xdr:row>
      <xdr:rowOff>60960</xdr:rowOff>
    </xdr:from>
    <xdr:to>
      <xdr:col>20</xdr:col>
      <xdr:colOff>1193</xdr:colOff>
      <xdr:row>26</xdr:row>
      <xdr:rowOff>83036</xdr:rowOff>
    </xdr:to>
    <xdr:sp macro="" textlink="">
      <xdr:nvSpPr>
        <xdr:cNvPr id="64" name="Ellipse 63">
          <a:extLst>
            <a:ext uri="{FF2B5EF4-FFF2-40B4-BE49-F238E27FC236}">
              <a16:creationId xmlns="" xmlns:a16="http://schemas.microsoft.com/office/drawing/2014/main" id="{00000000-0008-0000-2C00-000040000000}"/>
            </a:ext>
          </a:extLst>
        </xdr:cNvPr>
        <xdr:cNvSpPr/>
      </xdr:nvSpPr>
      <xdr:spPr>
        <a:xfrm>
          <a:off x="3371850" y="4248150"/>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19</xdr:col>
      <xdr:colOff>80645</xdr:colOff>
      <xdr:row>27</xdr:row>
      <xdr:rowOff>57785</xdr:rowOff>
    </xdr:from>
    <xdr:to>
      <xdr:col>20</xdr:col>
      <xdr:colOff>18663</xdr:colOff>
      <xdr:row>27</xdr:row>
      <xdr:rowOff>118268</xdr:rowOff>
    </xdr:to>
    <xdr:sp macro="" textlink="">
      <xdr:nvSpPr>
        <xdr:cNvPr id="65" name="Ellipse 64">
          <a:extLst>
            <a:ext uri="{FF2B5EF4-FFF2-40B4-BE49-F238E27FC236}">
              <a16:creationId xmlns="" xmlns:a16="http://schemas.microsoft.com/office/drawing/2014/main" id="{00000000-0008-0000-2C00-000041000000}"/>
            </a:ext>
          </a:extLst>
        </xdr:cNvPr>
        <xdr:cNvSpPr/>
      </xdr:nvSpPr>
      <xdr:spPr>
        <a:xfrm>
          <a:off x="3352800" y="4467225"/>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26</xdr:col>
      <xdr:colOff>60960</xdr:colOff>
      <xdr:row>16</xdr:row>
      <xdr:rowOff>41275</xdr:rowOff>
    </xdr:from>
    <xdr:to>
      <xdr:col>26</xdr:col>
      <xdr:colOff>57277</xdr:colOff>
      <xdr:row>16</xdr:row>
      <xdr:rowOff>94900</xdr:rowOff>
    </xdr:to>
    <xdr:sp macro="" textlink="">
      <xdr:nvSpPr>
        <xdr:cNvPr id="66" name="Ellipse 65">
          <a:extLst>
            <a:ext uri="{FF2B5EF4-FFF2-40B4-BE49-F238E27FC236}">
              <a16:creationId xmlns="" xmlns:a16="http://schemas.microsoft.com/office/drawing/2014/main" id="{00000000-0008-0000-2C00-000042000000}"/>
            </a:ext>
          </a:extLst>
        </xdr:cNvPr>
        <xdr:cNvSpPr/>
      </xdr:nvSpPr>
      <xdr:spPr>
        <a:xfrm>
          <a:off x="4410075" y="2657475"/>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26</xdr:col>
      <xdr:colOff>60960</xdr:colOff>
      <xdr:row>17</xdr:row>
      <xdr:rowOff>40005</xdr:rowOff>
    </xdr:from>
    <xdr:to>
      <xdr:col>26</xdr:col>
      <xdr:colOff>57277</xdr:colOff>
      <xdr:row>17</xdr:row>
      <xdr:rowOff>59868</xdr:rowOff>
    </xdr:to>
    <xdr:sp macro="" textlink="">
      <xdr:nvSpPr>
        <xdr:cNvPr id="67" name="Ellipse 66">
          <a:extLst>
            <a:ext uri="{FF2B5EF4-FFF2-40B4-BE49-F238E27FC236}">
              <a16:creationId xmlns="" xmlns:a16="http://schemas.microsoft.com/office/drawing/2014/main" id="{00000000-0008-0000-2C00-000043000000}"/>
            </a:ext>
          </a:extLst>
        </xdr:cNvPr>
        <xdr:cNvSpPr/>
      </xdr:nvSpPr>
      <xdr:spPr>
        <a:xfrm>
          <a:off x="4410075" y="2781300"/>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26</xdr:col>
      <xdr:colOff>56515</xdr:colOff>
      <xdr:row>18</xdr:row>
      <xdr:rowOff>0</xdr:rowOff>
    </xdr:from>
    <xdr:to>
      <xdr:col>26</xdr:col>
      <xdr:colOff>112585</xdr:colOff>
      <xdr:row>18</xdr:row>
      <xdr:rowOff>60278</xdr:rowOff>
    </xdr:to>
    <xdr:sp macro="" textlink="">
      <xdr:nvSpPr>
        <xdr:cNvPr id="68" name="Ellipse 67">
          <a:extLst>
            <a:ext uri="{FF2B5EF4-FFF2-40B4-BE49-F238E27FC236}">
              <a16:creationId xmlns="" xmlns:a16="http://schemas.microsoft.com/office/drawing/2014/main" id="{00000000-0008-0000-2C00-000044000000}"/>
            </a:ext>
          </a:extLst>
        </xdr:cNvPr>
        <xdr:cNvSpPr/>
      </xdr:nvSpPr>
      <xdr:spPr>
        <a:xfrm>
          <a:off x="4419600" y="2943225"/>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26</xdr:col>
      <xdr:colOff>60960</xdr:colOff>
      <xdr:row>19</xdr:row>
      <xdr:rowOff>0</xdr:rowOff>
    </xdr:from>
    <xdr:to>
      <xdr:col>26</xdr:col>
      <xdr:colOff>57277</xdr:colOff>
      <xdr:row>19</xdr:row>
      <xdr:rowOff>18288</xdr:rowOff>
    </xdr:to>
    <xdr:sp macro="" textlink="">
      <xdr:nvSpPr>
        <xdr:cNvPr id="69" name="Ellipse 68">
          <a:extLst>
            <a:ext uri="{FF2B5EF4-FFF2-40B4-BE49-F238E27FC236}">
              <a16:creationId xmlns="" xmlns:a16="http://schemas.microsoft.com/office/drawing/2014/main" id="{00000000-0008-0000-2C00-000045000000}"/>
            </a:ext>
          </a:extLst>
        </xdr:cNvPr>
        <xdr:cNvSpPr/>
      </xdr:nvSpPr>
      <xdr:spPr>
        <a:xfrm>
          <a:off x="4410075" y="3076575"/>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26</xdr:col>
      <xdr:colOff>0</xdr:colOff>
      <xdr:row>20</xdr:row>
      <xdr:rowOff>0</xdr:rowOff>
    </xdr:from>
    <xdr:to>
      <xdr:col>26</xdr:col>
      <xdr:colOff>58734</xdr:colOff>
      <xdr:row>20</xdr:row>
      <xdr:rowOff>60803</xdr:rowOff>
    </xdr:to>
    <xdr:sp macro="" textlink="">
      <xdr:nvSpPr>
        <xdr:cNvPr id="70" name="Ellipse 69">
          <a:extLst>
            <a:ext uri="{FF2B5EF4-FFF2-40B4-BE49-F238E27FC236}">
              <a16:creationId xmlns="" xmlns:a16="http://schemas.microsoft.com/office/drawing/2014/main" id="{00000000-0008-0000-2C00-000046000000}"/>
            </a:ext>
          </a:extLst>
        </xdr:cNvPr>
        <xdr:cNvSpPr/>
      </xdr:nvSpPr>
      <xdr:spPr>
        <a:xfrm>
          <a:off x="4400550" y="3238500"/>
          <a:ext cx="47625" cy="17144"/>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26</xdr:col>
      <xdr:colOff>60960</xdr:colOff>
      <xdr:row>21</xdr:row>
      <xdr:rowOff>0</xdr:rowOff>
    </xdr:from>
    <xdr:to>
      <xdr:col>26</xdr:col>
      <xdr:colOff>57277</xdr:colOff>
      <xdr:row>21</xdr:row>
      <xdr:rowOff>0</xdr:rowOff>
    </xdr:to>
    <xdr:sp macro="" textlink="">
      <xdr:nvSpPr>
        <xdr:cNvPr id="71" name="Ellipse 70">
          <a:extLst>
            <a:ext uri="{FF2B5EF4-FFF2-40B4-BE49-F238E27FC236}">
              <a16:creationId xmlns="" xmlns:a16="http://schemas.microsoft.com/office/drawing/2014/main" id="{00000000-0008-0000-2C00-000047000000}"/>
            </a:ext>
          </a:extLst>
        </xdr:cNvPr>
        <xdr:cNvSpPr/>
      </xdr:nvSpPr>
      <xdr:spPr>
        <a:xfrm>
          <a:off x="4410075" y="3400425"/>
          <a:ext cx="47625" cy="76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26</xdr:col>
      <xdr:colOff>60960</xdr:colOff>
      <xdr:row>22</xdr:row>
      <xdr:rowOff>0</xdr:rowOff>
    </xdr:from>
    <xdr:to>
      <xdr:col>26</xdr:col>
      <xdr:colOff>57277</xdr:colOff>
      <xdr:row>22</xdr:row>
      <xdr:rowOff>2858</xdr:rowOff>
    </xdr:to>
    <xdr:sp macro="" textlink="">
      <xdr:nvSpPr>
        <xdr:cNvPr id="72" name="Ellipse 71">
          <a:extLst>
            <a:ext uri="{FF2B5EF4-FFF2-40B4-BE49-F238E27FC236}">
              <a16:creationId xmlns="" xmlns:a16="http://schemas.microsoft.com/office/drawing/2014/main" id="{00000000-0008-0000-2C00-000048000000}"/>
            </a:ext>
          </a:extLst>
        </xdr:cNvPr>
        <xdr:cNvSpPr/>
      </xdr:nvSpPr>
      <xdr:spPr>
        <a:xfrm>
          <a:off x="4410075" y="3562350"/>
          <a:ext cx="47625" cy="17144"/>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26</xdr:col>
      <xdr:colOff>3175</xdr:colOff>
      <xdr:row>23</xdr:row>
      <xdr:rowOff>17145</xdr:rowOff>
    </xdr:from>
    <xdr:to>
      <xdr:col>26</xdr:col>
      <xdr:colOff>57265</xdr:colOff>
      <xdr:row>23</xdr:row>
      <xdr:rowOff>39431</xdr:rowOff>
    </xdr:to>
    <xdr:sp macro="" textlink="">
      <xdr:nvSpPr>
        <xdr:cNvPr id="73" name="Ellipse 72">
          <a:extLst>
            <a:ext uri="{FF2B5EF4-FFF2-40B4-BE49-F238E27FC236}">
              <a16:creationId xmlns="" xmlns:a16="http://schemas.microsoft.com/office/drawing/2014/main" id="{00000000-0008-0000-2C00-000049000000}"/>
            </a:ext>
          </a:extLst>
        </xdr:cNvPr>
        <xdr:cNvSpPr/>
      </xdr:nvSpPr>
      <xdr:spPr>
        <a:xfrm>
          <a:off x="4391025" y="3743325"/>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26</xdr:col>
      <xdr:colOff>0</xdr:colOff>
      <xdr:row>24</xdr:row>
      <xdr:rowOff>61595</xdr:rowOff>
    </xdr:from>
    <xdr:to>
      <xdr:col>26</xdr:col>
      <xdr:colOff>58388</xdr:colOff>
      <xdr:row>24</xdr:row>
      <xdr:rowOff>57531</xdr:rowOff>
    </xdr:to>
    <xdr:sp macro="" textlink="">
      <xdr:nvSpPr>
        <xdr:cNvPr id="74" name="Ellipse 73">
          <a:extLst>
            <a:ext uri="{FF2B5EF4-FFF2-40B4-BE49-F238E27FC236}">
              <a16:creationId xmlns="" xmlns:a16="http://schemas.microsoft.com/office/drawing/2014/main" id="{00000000-0008-0000-2C00-00004A000000}"/>
            </a:ext>
          </a:extLst>
        </xdr:cNvPr>
        <xdr:cNvSpPr/>
      </xdr:nvSpPr>
      <xdr:spPr>
        <a:xfrm>
          <a:off x="4400550" y="3905250"/>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26</xdr:col>
      <xdr:colOff>60960</xdr:colOff>
      <xdr:row>25</xdr:row>
      <xdr:rowOff>35560</xdr:rowOff>
    </xdr:from>
    <xdr:to>
      <xdr:col>26</xdr:col>
      <xdr:colOff>57277</xdr:colOff>
      <xdr:row>25</xdr:row>
      <xdr:rowOff>94696</xdr:rowOff>
    </xdr:to>
    <xdr:sp macro="" textlink="">
      <xdr:nvSpPr>
        <xdr:cNvPr id="75" name="Ellipse 74">
          <a:extLst>
            <a:ext uri="{FF2B5EF4-FFF2-40B4-BE49-F238E27FC236}">
              <a16:creationId xmlns="" xmlns:a16="http://schemas.microsoft.com/office/drawing/2014/main" id="{00000000-0008-0000-2C00-00004B000000}"/>
            </a:ext>
          </a:extLst>
        </xdr:cNvPr>
        <xdr:cNvSpPr/>
      </xdr:nvSpPr>
      <xdr:spPr>
        <a:xfrm>
          <a:off x="4410075" y="4124325"/>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26</xdr:col>
      <xdr:colOff>60960</xdr:colOff>
      <xdr:row>26</xdr:row>
      <xdr:rowOff>55245</xdr:rowOff>
    </xdr:from>
    <xdr:to>
      <xdr:col>26</xdr:col>
      <xdr:colOff>57277</xdr:colOff>
      <xdr:row>26</xdr:row>
      <xdr:rowOff>114143</xdr:rowOff>
    </xdr:to>
    <xdr:sp macro="" textlink="">
      <xdr:nvSpPr>
        <xdr:cNvPr id="76" name="Ellipse 75">
          <a:extLst>
            <a:ext uri="{FF2B5EF4-FFF2-40B4-BE49-F238E27FC236}">
              <a16:creationId xmlns="" xmlns:a16="http://schemas.microsoft.com/office/drawing/2014/main" id="{00000000-0008-0000-2C00-00004C000000}"/>
            </a:ext>
          </a:extLst>
        </xdr:cNvPr>
        <xdr:cNvSpPr/>
      </xdr:nvSpPr>
      <xdr:spPr>
        <a:xfrm>
          <a:off x="4410075" y="4276725"/>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26</xdr:col>
      <xdr:colOff>3175</xdr:colOff>
      <xdr:row>27</xdr:row>
      <xdr:rowOff>100330</xdr:rowOff>
    </xdr:from>
    <xdr:to>
      <xdr:col>26</xdr:col>
      <xdr:colOff>57265</xdr:colOff>
      <xdr:row>27</xdr:row>
      <xdr:rowOff>100330</xdr:rowOff>
    </xdr:to>
    <xdr:sp macro="" textlink="">
      <xdr:nvSpPr>
        <xdr:cNvPr id="77" name="Ellipse 76">
          <a:extLst>
            <a:ext uri="{FF2B5EF4-FFF2-40B4-BE49-F238E27FC236}">
              <a16:creationId xmlns="" xmlns:a16="http://schemas.microsoft.com/office/drawing/2014/main" id="{00000000-0008-0000-2C00-00004D000000}"/>
            </a:ext>
          </a:extLst>
        </xdr:cNvPr>
        <xdr:cNvSpPr/>
      </xdr:nvSpPr>
      <xdr:spPr>
        <a:xfrm>
          <a:off x="4391025" y="4495800"/>
          <a:ext cx="47625" cy="36194"/>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19</xdr:col>
      <xdr:colOff>0</xdr:colOff>
      <xdr:row>28</xdr:row>
      <xdr:rowOff>3174</xdr:rowOff>
    </xdr:from>
    <xdr:to>
      <xdr:col>27</xdr:col>
      <xdr:colOff>3194</xdr:colOff>
      <xdr:row>28</xdr:row>
      <xdr:rowOff>139832</xdr:rowOff>
    </xdr:to>
    <xdr:sp macro="" textlink="">
      <xdr:nvSpPr>
        <xdr:cNvPr id="78" name="Rectangle 77">
          <a:extLst>
            <a:ext uri="{FF2B5EF4-FFF2-40B4-BE49-F238E27FC236}">
              <a16:creationId xmlns="" xmlns:a16="http://schemas.microsoft.com/office/drawing/2014/main" id="{00000000-0008-0000-2C00-00004E000000}"/>
            </a:ext>
          </a:extLst>
        </xdr:cNvPr>
        <xdr:cNvSpPr/>
      </xdr:nvSpPr>
      <xdr:spPr>
        <a:xfrm>
          <a:off x="3238500" y="4533899"/>
          <a:ext cx="1323975" cy="161926"/>
        </a:xfrm>
        <a:prstGeom prst="rect">
          <a:avLst/>
        </a:prstGeom>
        <a:blipFill>
          <a:blip xmlns:r="http://schemas.openxmlformats.org/officeDocument/2006/relationships" r:embed="rId4" cstate="print"/>
          <a:tile tx="0" ty="0" sx="100000" sy="100000" flip="none" algn="tl"/>
        </a:blip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19</xdr:col>
      <xdr:colOff>3487</xdr:colOff>
      <xdr:row>15</xdr:row>
      <xdr:rowOff>139364</xdr:rowOff>
    </xdr:from>
    <xdr:to>
      <xdr:col>23</xdr:col>
      <xdr:colOff>55504</xdr:colOff>
      <xdr:row>15</xdr:row>
      <xdr:rowOff>141997</xdr:rowOff>
    </xdr:to>
    <xdr:cxnSp macro="">
      <xdr:nvCxnSpPr>
        <xdr:cNvPr id="79" name="Connecteur droit 78">
          <a:extLst>
            <a:ext uri="{FF2B5EF4-FFF2-40B4-BE49-F238E27FC236}">
              <a16:creationId xmlns="" xmlns:a16="http://schemas.microsoft.com/office/drawing/2014/main" id="{00000000-0008-0000-2C00-00004F000000}"/>
            </a:ext>
          </a:extLst>
        </xdr:cNvPr>
        <xdr:cNvCxnSpPr/>
      </xdr:nvCxnSpPr>
      <xdr:spPr>
        <a:xfrm rot="10800000" flipH="1" flipV="1">
          <a:off x="3260402" y="2574589"/>
          <a:ext cx="704553" cy="1363"/>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35560</xdr:colOff>
      <xdr:row>15</xdr:row>
      <xdr:rowOff>35560</xdr:rowOff>
    </xdr:from>
    <xdr:to>
      <xdr:col>19</xdr:col>
      <xdr:colOff>92077</xdr:colOff>
      <xdr:row>15</xdr:row>
      <xdr:rowOff>97845</xdr:rowOff>
    </xdr:to>
    <xdr:sp macro="" textlink="">
      <xdr:nvSpPr>
        <xdr:cNvPr id="80" name="Ellipse 79">
          <a:extLst>
            <a:ext uri="{FF2B5EF4-FFF2-40B4-BE49-F238E27FC236}">
              <a16:creationId xmlns="" xmlns:a16="http://schemas.microsoft.com/office/drawing/2014/main" id="{00000000-0008-0000-2C00-000050000000}"/>
            </a:ext>
          </a:extLst>
        </xdr:cNvPr>
        <xdr:cNvSpPr/>
      </xdr:nvSpPr>
      <xdr:spPr>
        <a:xfrm>
          <a:off x="3314700" y="2505075"/>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26</xdr:col>
      <xdr:colOff>0</xdr:colOff>
      <xdr:row>15</xdr:row>
      <xdr:rowOff>35560</xdr:rowOff>
    </xdr:from>
    <xdr:to>
      <xdr:col>26</xdr:col>
      <xdr:colOff>58388</xdr:colOff>
      <xdr:row>15</xdr:row>
      <xdr:rowOff>90630</xdr:rowOff>
    </xdr:to>
    <xdr:sp macro="" textlink="">
      <xdr:nvSpPr>
        <xdr:cNvPr id="81" name="Ellipse 80">
          <a:extLst>
            <a:ext uri="{FF2B5EF4-FFF2-40B4-BE49-F238E27FC236}">
              <a16:creationId xmlns="" xmlns:a16="http://schemas.microsoft.com/office/drawing/2014/main" id="{00000000-0008-0000-2C00-000051000000}"/>
            </a:ext>
          </a:extLst>
        </xdr:cNvPr>
        <xdr:cNvSpPr/>
      </xdr:nvSpPr>
      <xdr:spPr>
        <a:xfrm>
          <a:off x="4400550" y="2495550"/>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20</xdr:col>
      <xdr:colOff>96520</xdr:colOff>
      <xdr:row>15</xdr:row>
      <xdr:rowOff>61595</xdr:rowOff>
    </xdr:from>
    <xdr:to>
      <xdr:col>20</xdr:col>
      <xdr:colOff>133931</xdr:colOff>
      <xdr:row>15</xdr:row>
      <xdr:rowOff>63200</xdr:rowOff>
    </xdr:to>
    <xdr:sp macro="" textlink="">
      <xdr:nvSpPr>
        <xdr:cNvPr id="82" name="Ellipse 81">
          <a:extLst>
            <a:ext uri="{FF2B5EF4-FFF2-40B4-BE49-F238E27FC236}">
              <a16:creationId xmlns="" xmlns:a16="http://schemas.microsoft.com/office/drawing/2014/main" id="{00000000-0008-0000-2C00-000052000000}"/>
            </a:ext>
          </a:extLst>
        </xdr:cNvPr>
        <xdr:cNvSpPr/>
      </xdr:nvSpPr>
      <xdr:spPr>
        <a:xfrm>
          <a:off x="3514725" y="2514600"/>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21</xdr:col>
      <xdr:colOff>113665</xdr:colOff>
      <xdr:row>15</xdr:row>
      <xdr:rowOff>35560</xdr:rowOff>
    </xdr:from>
    <xdr:to>
      <xdr:col>22</xdr:col>
      <xdr:colOff>3227</xdr:colOff>
      <xdr:row>15</xdr:row>
      <xdr:rowOff>104396</xdr:rowOff>
    </xdr:to>
    <xdr:sp macro="" textlink="">
      <xdr:nvSpPr>
        <xdr:cNvPr id="83" name="Ellipse 82">
          <a:extLst>
            <a:ext uri="{FF2B5EF4-FFF2-40B4-BE49-F238E27FC236}">
              <a16:creationId xmlns="" xmlns:a16="http://schemas.microsoft.com/office/drawing/2014/main" id="{00000000-0008-0000-2C00-000053000000}"/>
            </a:ext>
          </a:extLst>
        </xdr:cNvPr>
        <xdr:cNvSpPr/>
      </xdr:nvSpPr>
      <xdr:spPr>
        <a:xfrm>
          <a:off x="3705225" y="2505075"/>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23</xdr:col>
      <xdr:colOff>0</xdr:colOff>
      <xdr:row>15</xdr:row>
      <xdr:rowOff>35560</xdr:rowOff>
    </xdr:from>
    <xdr:to>
      <xdr:col>23</xdr:col>
      <xdr:colOff>22191</xdr:colOff>
      <xdr:row>15</xdr:row>
      <xdr:rowOff>90630</xdr:rowOff>
    </xdr:to>
    <xdr:sp macro="" textlink="">
      <xdr:nvSpPr>
        <xdr:cNvPr id="84" name="Ellipse 83">
          <a:extLst>
            <a:ext uri="{FF2B5EF4-FFF2-40B4-BE49-F238E27FC236}">
              <a16:creationId xmlns="" xmlns:a16="http://schemas.microsoft.com/office/drawing/2014/main" id="{00000000-0008-0000-2C00-000054000000}"/>
            </a:ext>
          </a:extLst>
        </xdr:cNvPr>
        <xdr:cNvSpPr/>
      </xdr:nvSpPr>
      <xdr:spPr>
        <a:xfrm>
          <a:off x="3886200" y="2495550"/>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25</xdr:col>
      <xdr:colOff>94615</xdr:colOff>
      <xdr:row>15</xdr:row>
      <xdr:rowOff>100330</xdr:rowOff>
    </xdr:from>
    <xdr:to>
      <xdr:col>27</xdr:col>
      <xdr:colOff>2215</xdr:colOff>
      <xdr:row>15</xdr:row>
      <xdr:rowOff>103170</xdr:rowOff>
    </xdr:to>
    <xdr:cxnSp macro="">
      <xdr:nvCxnSpPr>
        <xdr:cNvPr id="85" name="Connecteur droit 84">
          <a:extLst>
            <a:ext uri="{FF2B5EF4-FFF2-40B4-BE49-F238E27FC236}">
              <a16:creationId xmlns="" xmlns:a16="http://schemas.microsoft.com/office/drawing/2014/main" id="{00000000-0008-0000-2C00-000055000000}"/>
            </a:ext>
          </a:extLst>
        </xdr:cNvPr>
        <xdr:cNvCxnSpPr/>
      </xdr:nvCxnSpPr>
      <xdr:spPr>
        <a:xfrm>
          <a:off x="4314825" y="2562225"/>
          <a:ext cx="239717" cy="284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61595</xdr:colOff>
      <xdr:row>25</xdr:row>
      <xdr:rowOff>635</xdr:rowOff>
    </xdr:from>
    <xdr:to>
      <xdr:col>19</xdr:col>
      <xdr:colOff>17268</xdr:colOff>
      <xdr:row>28</xdr:row>
      <xdr:rowOff>56870</xdr:rowOff>
    </xdr:to>
    <xdr:cxnSp macro="">
      <xdr:nvCxnSpPr>
        <xdr:cNvPr id="86" name="Connecteur en angle 85">
          <a:extLst>
            <a:ext uri="{FF2B5EF4-FFF2-40B4-BE49-F238E27FC236}">
              <a16:creationId xmlns="" xmlns:a16="http://schemas.microsoft.com/office/drawing/2014/main" id="{00000000-0008-0000-2C00-000056000000}"/>
            </a:ext>
          </a:extLst>
        </xdr:cNvPr>
        <xdr:cNvCxnSpPr/>
      </xdr:nvCxnSpPr>
      <xdr:spPr>
        <a:xfrm rot="10800000">
          <a:off x="2124075" y="4086225"/>
          <a:ext cx="1123950" cy="495300"/>
        </a:xfrm>
        <a:prstGeom prst="bentConnector3">
          <a:avLst>
            <a:gd name="adj1" fmla="val 50000"/>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57785</xdr:colOff>
      <xdr:row>24</xdr:row>
      <xdr:rowOff>56515</xdr:rowOff>
    </xdr:from>
    <xdr:to>
      <xdr:col>12</xdr:col>
      <xdr:colOff>56537</xdr:colOff>
      <xdr:row>27</xdr:row>
      <xdr:rowOff>17325</xdr:rowOff>
    </xdr:to>
    <xdr:sp macro="" textlink="">
      <xdr:nvSpPr>
        <xdr:cNvPr id="87" name="Rectangle à coins arrondis 86">
          <a:extLst>
            <a:ext uri="{FF2B5EF4-FFF2-40B4-BE49-F238E27FC236}">
              <a16:creationId xmlns="" xmlns:a16="http://schemas.microsoft.com/office/drawing/2014/main" id="{00000000-0008-0000-2C00-000057000000}"/>
            </a:ext>
          </a:extLst>
        </xdr:cNvPr>
        <xdr:cNvSpPr/>
      </xdr:nvSpPr>
      <xdr:spPr bwMode="auto">
        <a:xfrm>
          <a:off x="742950" y="3933825"/>
          <a:ext cx="1419226" cy="438149"/>
        </a:xfrm>
        <a:prstGeom prst="roundRect">
          <a:avLst/>
        </a:prstGeom>
        <a:noFill/>
        <a:ln w="0"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fr-FR" sz="1100" b="1"/>
            <a:t>Dalle de fond en béton</a:t>
          </a:r>
        </a:p>
        <a:p>
          <a:pPr algn="ctr"/>
          <a:r>
            <a:rPr lang="fr-FR" sz="1100" b="1"/>
            <a:t>B250</a:t>
          </a:r>
        </a:p>
      </xdr:txBody>
    </xdr:sp>
    <xdr:clientData/>
  </xdr:twoCellAnchor>
  <xdr:twoCellAnchor>
    <xdr:from>
      <xdr:col>32</xdr:col>
      <xdr:colOff>96520</xdr:colOff>
      <xdr:row>29</xdr:row>
      <xdr:rowOff>0</xdr:rowOff>
    </xdr:from>
    <xdr:to>
      <xdr:col>35</xdr:col>
      <xdr:colOff>53747</xdr:colOff>
      <xdr:row>29</xdr:row>
      <xdr:rowOff>1588</xdr:rowOff>
    </xdr:to>
    <xdr:cxnSp macro="">
      <xdr:nvCxnSpPr>
        <xdr:cNvPr id="88" name="Connecteur droit 87">
          <a:extLst>
            <a:ext uri="{FF2B5EF4-FFF2-40B4-BE49-F238E27FC236}">
              <a16:creationId xmlns="" xmlns:a16="http://schemas.microsoft.com/office/drawing/2014/main" id="{00000000-0008-0000-2C00-000058000000}"/>
            </a:ext>
          </a:extLst>
        </xdr:cNvPr>
        <xdr:cNvCxnSpPr/>
      </xdr:nvCxnSpPr>
      <xdr:spPr>
        <a:xfrm>
          <a:off x="5457825" y="4695825"/>
          <a:ext cx="419100"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97788</xdr:colOff>
      <xdr:row>28</xdr:row>
      <xdr:rowOff>2469</xdr:rowOff>
    </xdr:from>
    <xdr:to>
      <xdr:col>28</xdr:col>
      <xdr:colOff>97788</xdr:colOff>
      <xdr:row>29</xdr:row>
      <xdr:rowOff>20436</xdr:rowOff>
    </xdr:to>
    <xdr:cxnSp macro="">
      <xdr:nvCxnSpPr>
        <xdr:cNvPr id="89" name="Connecteur droit avec flèche 88">
          <a:extLst>
            <a:ext uri="{FF2B5EF4-FFF2-40B4-BE49-F238E27FC236}">
              <a16:creationId xmlns="" xmlns:a16="http://schemas.microsoft.com/office/drawing/2014/main" id="{00000000-0008-0000-2C00-000059000000}"/>
            </a:ext>
          </a:extLst>
        </xdr:cNvPr>
        <xdr:cNvCxnSpPr>
          <a:stCxn id="19" idx="1"/>
        </xdr:cNvCxnSpPr>
      </xdr:nvCxnSpPr>
      <xdr:spPr>
        <a:xfrm>
          <a:off x="4838698" y="4536369"/>
          <a:ext cx="2" cy="178506"/>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113665</xdr:colOff>
      <xdr:row>19</xdr:row>
      <xdr:rowOff>57785</xdr:rowOff>
    </xdr:from>
    <xdr:to>
      <xdr:col>19</xdr:col>
      <xdr:colOff>96647</xdr:colOff>
      <xdr:row>20</xdr:row>
      <xdr:rowOff>1159</xdr:rowOff>
    </xdr:to>
    <xdr:cxnSp macro="">
      <xdr:nvCxnSpPr>
        <xdr:cNvPr id="90" name="Connecteur droit avec flèche 89">
          <a:extLst>
            <a:ext uri="{FF2B5EF4-FFF2-40B4-BE49-F238E27FC236}">
              <a16:creationId xmlns="" xmlns:a16="http://schemas.microsoft.com/office/drawing/2014/main" id="{00000000-0008-0000-2C00-00005A000000}"/>
            </a:ext>
          </a:extLst>
        </xdr:cNvPr>
        <xdr:cNvCxnSpPr/>
      </xdr:nvCxnSpPr>
      <xdr:spPr>
        <a:xfrm>
          <a:off x="2409825" y="3171825"/>
          <a:ext cx="942975" cy="66675"/>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xdr:colOff>
      <xdr:row>19</xdr:row>
      <xdr:rowOff>100333</xdr:rowOff>
    </xdr:from>
    <xdr:to>
      <xdr:col>19</xdr:col>
      <xdr:colOff>80908</xdr:colOff>
      <xdr:row>23</xdr:row>
      <xdr:rowOff>2973</xdr:rowOff>
    </xdr:to>
    <xdr:cxnSp macro="">
      <xdr:nvCxnSpPr>
        <xdr:cNvPr id="91" name="Connecteur droit avec flèche 90">
          <a:extLst>
            <a:ext uri="{FF2B5EF4-FFF2-40B4-BE49-F238E27FC236}">
              <a16:creationId xmlns="" xmlns:a16="http://schemas.microsoft.com/office/drawing/2014/main" id="{00000000-0008-0000-2C00-00005B000000}"/>
            </a:ext>
          </a:extLst>
        </xdr:cNvPr>
        <xdr:cNvCxnSpPr/>
      </xdr:nvCxnSpPr>
      <xdr:spPr>
        <a:xfrm>
          <a:off x="2428878" y="3200403"/>
          <a:ext cx="923925" cy="552447"/>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36830</xdr:colOff>
      <xdr:row>18</xdr:row>
      <xdr:rowOff>1</xdr:rowOff>
    </xdr:from>
    <xdr:to>
      <xdr:col>14</xdr:col>
      <xdr:colOff>111239</xdr:colOff>
      <xdr:row>21</xdr:row>
      <xdr:rowOff>37265</xdr:rowOff>
    </xdr:to>
    <xdr:sp macro="" textlink="">
      <xdr:nvSpPr>
        <xdr:cNvPr id="92" name="Rectangle à coins arrondis 91">
          <a:extLst>
            <a:ext uri="{FF2B5EF4-FFF2-40B4-BE49-F238E27FC236}">
              <a16:creationId xmlns="" xmlns:a16="http://schemas.microsoft.com/office/drawing/2014/main" id="{00000000-0008-0000-2C00-00005C000000}"/>
            </a:ext>
          </a:extLst>
        </xdr:cNvPr>
        <xdr:cNvSpPr/>
      </xdr:nvSpPr>
      <xdr:spPr bwMode="auto">
        <a:xfrm>
          <a:off x="1028700" y="2914651"/>
          <a:ext cx="1533526" cy="533399"/>
        </a:xfrm>
        <a:prstGeom prst="roundRect">
          <a:avLst/>
        </a:prstGeom>
        <a:noFill/>
        <a:ln w="0"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fr-FR" sz="1100" baseline="0"/>
            <a:t> Fer en béton de 10mm et espacement de 15cm</a:t>
          </a:r>
          <a:endParaRPr lang="fr-FR" sz="1100"/>
        </a:p>
      </xdr:txBody>
    </xdr:sp>
    <xdr:clientData/>
  </xdr:twoCellAnchor>
  <xdr:twoCellAnchor>
    <xdr:from>
      <xdr:col>26</xdr:col>
      <xdr:colOff>111126</xdr:colOff>
      <xdr:row>25</xdr:row>
      <xdr:rowOff>0</xdr:rowOff>
    </xdr:from>
    <xdr:to>
      <xdr:col>28</xdr:col>
      <xdr:colOff>220</xdr:colOff>
      <xdr:row>25</xdr:row>
      <xdr:rowOff>3174</xdr:rowOff>
    </xdr:to>
    <xdr:cxnSp macro="">
      <xdr:nvCxnSpPr>
        <xdr:cNvPr id="93" name="Connecteur droit avec flèche 92">
          <a:extLst>
            <a:ext uri="{FF2B5EF4-FFF2-40B4-BE49-F238E27FC236}">
              <a16:creationId xmlns="" xmlns:a16="http://schemas.microsoft.com/office/drawing/2014/main" id="{00000000-0008-0000-2C00-00005D000000}"/>
            </a:ext>
          </a:extLst>
        </xdr:cNvPr>
        <xdr:cNvCxnSpPr/>
      </xdr:nvCxnSpPr>
      <xdr:spPr>
        <a:xfrm rot="10800000" flipV="1">
          <a:off x="4505326" y="4048125"/>
          <a:ext cx="219075" cy="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6350</xdr:colOff>
      <xdr:row>24</xdr:row>
      <xdr:rowOff>133350</xdr:rowOff>
    </xdr:from>
    <xdr:to>
      <xdr:col>25</xdr:col>
      <xdr:colOff>120650</xdr:colOff>
      <xdr:row>24</xdr:row>
      <xdr:rowOff>139700</xdr:rowOff>
    </xdr:to>
    <xdr:cxnSp macro="">
      <xdr:nvCxnSpPr>
        <xdr:cNvPr id="872129" name="Connecteur droit avec flèche 93">
          <a:extLst>
            <a:ext uri="{FF2B5EF4-FFF2-40B4-BE49-F238E27FC236}">
              <a16:creationId xmlns="" xmlns:a16="http://schemas.microsoft.com/office/drawing/2014/main" id="{00000000-0008-0000-2C00-0000C14E0D00}"/>
            </a:ext>
          </a:extLst>
        </xdr:cNvPr>
        <xdr:cNvCxnSpPr>
          <a:cxnSpLocks noChangeShapeType="1"/>
        </xdr:cNvCxnSpPr>
      </xdr:nvCxnSpPr>
      <xdr:spPr bwMode="auto">
        <a:xfrm flipV="1">
          <a:off x="3975100" y="3981450"/>
          <a:ext cx="114300" cy="635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26</xdr:col>
      <xdr:colOff>98425</xdr:colOff>
      <xdr:row>24</xdr:row>
      <xdr:rowOff>3174</xdr:rowOff>
    </xdr:from>
    <xdr:to>
      <xdr:col>29</xdr:col>
      <xdr:colOff>133387</xdr:colOff>
      <xdr:row>25</xdr:row>
      <xdr:rowOff>1885</xdr:rowOff>
    </xdr:to>
    <xdr:sp macro="" textlink="">
      <xdr:nvSpPr>
        <xdr:cNvPr id="95" name="Rectangle à coins arrondis 94">
          <a:extLst>
            <a:ext uri="{FF2B5EF4-FFF2-40B4-BE49-F238E27FC236}">
              <a16:creationId xmlns="" xmlns:a16="http://schemas.microsoft.com/office/drawing/2014/main" id="{00000000-0008-0000-2C00-00005F000000}"/>
            </a:ext>
          </a:extLst>
        </xdr:cNvPr>
        <xdr:cNvSpPr/>
      </xdr:nvSpPr>
      <xdr:spPr bwMode="auto">
        <a:xfrm>
          <a:off x="4495800" y="3886199"/>
          <a:ext cx="514350" cy="200025"/>
        </a:xfrm>
        <a:prstGeom prst="roundRect">
          <a:avLst/>
        </a:prstGeom>
        <a:noFill/>
        <a:ln w="0"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fr-FR" sz="1100"/>
            <a:t>10cm</a:t>
          </a:r>
        </a:p>
      </xdr:txBody>
    </xdr:sp>
    <xdr:clientData/>
  </xdr:twoCellAnchor>
  <xdr:twoCellAnchor>
    <xdr:from>
      <xdr:col>21</xdr:col>
      <xdr:colOff>19686</xdr:colOff>
      <xdr:row>13</xdr:row>
      <xdr:rowOff>0</xdr:rowOff>
    </xdr:from>
    <xdr:to>
      <xdr:col>21</xdr:col>
      <xdr:colOff>112754</xdr:colOff>
      <xdr:row>15</xdr:row>
      <xdr:rowOff>36920</xdr:rowOff>
    </xdr:to>
    <xdr:cxnSp macro="">
      <xdr:nvCxnSpPr>
        <xdr:cNvPr id="96" name="Connecteur en angle 95">
          <a:extLst>
            <a:ext uri="{FF2B5EF4-FFF2-40B4-BE49-F238E27FC236}">
              <a16:creationId xmlns="" xmlns:a16="http://schemas.microsoft.com/office/drawing/2014/main" id="{00000000-0008-0000-2C00-000060000000}"/>
            </a:ext>
          </a:extLst>
        </xdr:cNvPr>
        <xdr:cNvCxnSpPr/>
      </xdr:nvCxnSpPr>
      <xdr:spPr>
        <a:xfrm rot="16200000" flipV="1">
          <a:off x="3433764" y="2243137"/>
          <a:ext cx="381000" cy="104775"/>
        </a:xfrm>
        <a:prstGeom prst="bentConnector3">
          <a:avLst>
            <a:gd name="adj1" fmla="val 50000"/>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60960</xdr:colOff>
      <xdr:row>11</xdr:row>
      <xdr:rowOff>117475</xdr:rowOff>
    </xdr:from>
    <xdr:to>
      <xdr:col>13</xdr:col>
      <xdr:colOff>37</xdr:colOff>
      <xdr:row>14</xdr:row>
      <xdr:rowOff>56285</xdr:rowOff>
    </xdr:to>
    <xdr:sp macro="" textlink="">
      <xdr:nvSpPr>
        <xdr:cNvPr id="97" name="Rectangle à coins arrondis 96">
          <a:extLst>
            <a:ext uri="{FF2B5EF4-FFF2-40B4-BE49-F238E27FC236}">
              <a16:creationId xmlns="" xmlns:a16="http://schemas.microsoft.com/office/drawing/2014/main" id="{00000000-0008-0000-2C00-000061000000}"/>
            </a:ext>
          </a:extLst>
        </xdr:cNvPr>
        <xdr:cNvSpPr/>
      </xdr:nvSpPr>
      <xdr:spPr bwMode="auto">
        <a:xfrm>
          <a:off x="847725" y="1924050"/>
          <a:ext cx="1419226" cy="419099"/>
        </a:xfrm>
        <a:prstGeom prst="roundRect">
          <a:avLst/>
        </a:prstGeom>
        <a:noFill/>
        <a:ln w="0"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fr-FR" sz="1100"/>
            <a:t>Dalle de Couverture en</a:t>
          </a:r>
          <a:r>
            <a:rPr lang="fr-FR" sz="1100" baseline="0"/>
            <a:t> BA</a:t>
          </a:r>
          <a:r>
            <a:rPr lang="fr-FR" sz="1100"/>
            <a:t>, épaisseur=10cm</a:t>
          </a:r>
        </a:p>
      </xdr:txBody>
    </xdr:sp>
    <xdr:clientData/>
  </xdr:twoCellAnchor>
  <xdr:twoCellAnchor>
    <xdr:from>
      <xdr:col>12</xdr:col>
      <xdr:colOff>61596</xdr:colOff>
      <xdr:row>13</xdr:row>
      <xdr:rowOff>19685</xdr:rowOff>
    </xdr:from>
    <xdr:to>
      <xdr:col>20</xdr:col>
      <xdr:colOff>115303</xdr:colOff>
      <xdr:row>13</xdr:row>
      <xdr:rowOff>20479</xdr:rowOff>
    </xdr:to>
    <xdr:cxnSp macro="">
      <xdr:nvCxnSpPr>
        <xdr:cNvPr id="98" name="Connecteur droit avec flèche 97">
          <a:extLst>
            <a:ext uri="{FF2B5EF4-FFF2-40B4-BE49-F238E27FC236}">
              <a16:creationId xmlns="" xmlns:a16="http://schemas.microsoft.com/office/drawing/2014/main" id="{00000000-0008-0000-2C00-000062000000}"/>
            </a:ext>
          </a:extLst>
        </xdr:cNvPr>
        <xdr:cNvCxnSpPr/>
      </xdr:nvCxnSpPr>
      <xdr:spPr>
        <a:xfrm rot="10800000">
          <a:off x="2124076" y="2114550"/>
          <a:ext cx="1419225" cy="1588"/>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112396</xdr:colOff>
      <xdr:row>41</xdr:row>
      <xdr:rowOff>19685</xdr:rowOff>
    </xdr:from>
    <xdr:to>
      <xdr:col>26</xdr:col>
      <xdr:colOff>2083</xdr:colOff>
      <xdr:row>43</xdr:row>
      <xdr:rowOff>394</xdr:rowOff>
    </xdr:to>
    <xdr:cxnSp macro="">
      <xdr:nvCxnSpPr>
        <xdr:cNvPr id="99" name="Connecteur droit 98">
          <a:extLst>
            <a:ext uri="{FF2B5EF4-FFF2-40B4-BE49-F238E27FC236}">
              <a16:creationId xmlns="" xmlns:a16="http://schemas.microsoft.com/office/drawing/2014/main" id="{00000000-0008-0000-2C00-000063000000}"/>
            </a:ext>
          </a:extLst>
        </xdr:cNvPr>
        <xdr:cNvCxnSpPr/>
      </xdr:nvCxnSpPr>
      <xdr:spPr>
        <a:xfrm rot="5400000">
          <a:off x="4048126" y="6638925"/>
          <a:ext cx="314325" cy="3333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3174</xdr:colOff>
      <xdr:row>41</xdr:row>
      <xdr:rowOff>19685</xdr:rowOff>
    </xdr:from>
    <xdr:to>
      <xdr:col>25</xdr:col>
      <xdr:colOff>99224</xdr:colOff>
      <xdr:row>42</xdr:row>
      <xdr:rowOff>157202</xdr:rowOff>
    </xdr:to>
    <xdr:cxnSp macro="">
      <xdr:nvCxnSpPr>
        <xdr:cNvPr id="100" name="Connecteur droit 99">
          <a:extLst>
            <a:ext uri="{FF2B5EF4-FFF2-40B4-BE49-F238E27FC236}">
              <a16:creationId xmlns="" xmlns:a16="http://schemas.microsoft.com/office/drawing/2014/main" id="{00000000-0008-0000-2C00-000064000000}"/>
            </a:ext>
          </a:extLst>
        </xdr:cNvPr>
        <xdr:cNvCxnSpPr/>
      </xdr:nvCxnSpPr>
      <xdr:spPr>
        <a:xfrm rot="16200000" flipH="1">
          <a:off x="4043362" y="6662737"/>
          <a:ext cx="304800" cy="2952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20</xdr:col>
      <xdr:colOff>241300</xdr:colOff>
      <xdr:row>47</xdr:row>
      <xdr:rowOff>63500</xdr:rowOff>
    </xdr:from>
    <xdr:to>
      <xdr:col>20</xdr:col>
      <xdr:colOff>304800</xdr:colOff>
      <xdr:row>68</xdr:row>
      <xdr:rowOff>114300</xdr:rowOff>
    </xdr:to>
    <xdr:sp macro="" textlink="">
      <xdr:nvSpPr>
        <xdr:cNvPr id="884474" name="Rectangle 185" descr="Woven mat">
          <a:extLst>
            <a:ext uri="{FF2B5EF4-FFF2-40B4-BE49-F238E27FC236}">
              <a16:creationId xmlns="" xmlns:a16="http://schemas.microsoft.com/office/drawing/2014/main" id="{00000000-0008-0000-2D00-0000FA7E0D00}"/>
            </a:ext>
          </a:extLst>
        </xdr:cNvPr>
        <xdr:cNvSpPr>
          <a:spLocks noChangeArrowheads="1"/>
        </xdr:cNvSpPr>
      </xdr:nvSpPr>
      <xdr:spPr bwMode="auto">
        <a:xfrm>
          <a:off x="17005300" y="9315450"/>
          <a:ext cx="63500" cy="418465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3</xdr:col>
      <xdr:colOff>266700</xdr:colOff>
      <xdr:row>63</xdr:row>
      <xdr:rowOff>6350</xdr:rowOff>
    </xdr:from>
    <xdr:to>
      <xdr:col>4</xdr:col>
      <xdr:colOff>19050</xdr:colOff>
      <xdr:row>64</xdr:row>
      <xdr:rowOff>57150</xdr:rowOff>
    </xdr:to>
    <xdr:sp macro="" textlink="">
      <xdr:nvSpPr>
        <xdr:cNvPr id="884475" name="Rectangle 162" descr="Zig zag">
          <a:extLst>
            <a:ext uri="{FF2B5EF4-FFF2-40B4-BE49-F238E27FC236}">
              <a16:creationId xmlns="" xmlns:a16="http://schemas.microsoft.com/office/drawing/2014/main" id="{00000000-0008-0000-2D00-0000FB7E0D00}"/>
            </a:ext>
          </a:extLst>
        </xdr:cNvPr>
        <xdr:cNvSpPr>
          <a:spLocks noChangeArrowheads="1"/>
        </xdr:cNvSpPr>
      </xdr:nvSpPr>
      <xdr:spPr bwMode="auto">
        <a:xfrm flipV="1">
          <a:off x="2781300" y="12407900"/>
          <a:ext cx="590550" cy="247650"/>
        </a:xfrm>
        <a:prstGeom prst="rect">
          <a:avLst/>
        </a:prstGeom>
        <a:blipFill dpi="0" rotWithShape="0">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3175">
              <a:solidFill>
                <a:srgbClr val="000000"/>
              </a:solidFill>
              <a:miter lim="800000"/>
              <a:headEnd/>
              <a:tailEnd/>
            </a14:hiddenLine>
          </a:ext>
        </a:extLst>
      </xdr:spPr>
    </xdr:sp>
    <xdr:clientData/>
  </xdr:twoCellAnchor>
  <xdr:twoCellAnchor>
    <xdr:from>
      <xdr:col>3</xdr:col>
      <xdr:colOff>438150</xdr:colOff>
      <xdr:row>58</xdr:row>
      <xdr:rowOff>38100</xdr:rowOff>
    </xdr:from>
    <xdr:to>
      <xdr:col>7</xdr:col>
      <xdr:colOff>171450</xdr:colOff>
      <xdr:row>64</xdr:row>
      <xdr:rowOff>120650</xdr:rowOff>
    </xdr:to>
    <xdr:sp macro="" textlink="">
      <xdr:nvSpPr>
        <xdr:cNvPr id="884476" name="Rectangle 148" descr="Divot">
          <a:extLst>
            <a:ext uri="{FF2B5EF4-FFF2-40B4-BE49-F238E27FC236}">
              <a16:creationId xmlns="" xmlns:a16="http://schemas.microsoft.com/office/drawing/2014/main" id="{00000000-0008-0000-2D00-0000FC7E0D00}"/>
            </a:ext>
          </a:extLst>
        </xdr:cNvPr>
        <xdr:cNvSpPr>
          <a:spLocks noChangeArrowheads="1"/>
        </xdr:cNvSpPr>
      </xdr:nvSpPr>
      <xdr:spPr bwMode="auto">
        <a:xfrm>
          <a:off x="2952750" y="11455400"/>
          <a:ext cx="3086100" cy="1263650"/>
        </a:xfrm>
        <a:prstGeom prst="rect">
          <a:avLst/>
        </a:prstGeom>
        <a:blipFill dpi="0" rotWithShape="0">
          <a:blip xmlns:r="http://schemas.openxmlformats.org/officeDocument/2006/relationships" r:embed="rId3"/>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463550</xdr:colOff>
      <xdr:row>60</xdr:row>
      <xdr:rowOff>38100</xdr:rowOff>
    </xdr:from>
    <xdr:to>
      <xdr:col>3</xdr:col>
      <xdr:colOff>450850</xdr:colOff>
      <xdr:row>65</xdr:row>
      <xdr:rowOff>38100</xdr:rowOff>
    </xdr:to>
    <xdr:sp macro="" textlink="">
      <xdr:nvSpPr>
        <xdr:cNvPr id="884477" name="Rectangle 159" descr="Zig zag">
          <a:extLst>
            <a:ext uri="{FF2B5EF4-FFF2-40B4-BE49-F238E27FC236}">
              <a16:creationId xmlns="" xmlns:a16="http://schemas.microsoft.com/office/drawing/2014/main" id="{00000000-0008-0000-2D00-0000FD7E0D00}"/>
            </a:ext>
          </a:extLst>
        </xdr:cNvPr>
        <xdr:cNvSpPr>
          <a:spLocks noChangeArrowheads="1"/>
        </xdr:cNvSpPr>
      </xdr:nvSpPr>
      <xdr:spPr bwMode="auto">
        <a:xfrm flipV="1">
          <a:off x="463550" y="11849100"/>
          <a:ext cx="2501900" cy="984250"/>
        </a:xfrm>
        <a:prstGeom prst="rect">
          <a:avLst/>
        </a:prstGeom>
        <a:blipFill dpi="0" rotWithShape="0">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3175">
              <a:solidFill>
                <a:srgbClr val="000000"/>
              </a:solidFill>
              <a:miter lim="800000"/>
              <a:headEnd/>
              <a:tailEnd/>
            </a14:hiddenLine>
          </a:ext>
        </a:extLst>
      </xdr:spPr>
    </xdr:sp>
    <xdr:clientData/>
  </xdr:twoCellAnchor>
  <xdr:twoCellAnchor>
    <xdr:from>
      <xdr:col>20</xdr:col>
      <xdr:colOff>448945</xdr:colOff>
      <xdr:row>3</xdr:row>
      <xdr:rowOff>55880</xdr:rowOff>
    </xdr:from>
    <xdr:to>
      <xdr:col>21</xdr:col>
      <xdr:colOff>326554</xdr:colOff>
      <xdr:row>4</xdr:row>
      <xdr:rowOff>95318</xdr:rowOff>
    </xdr:to>
    <xdr:sp macro="" textlink="">
      <xdr:nvSpPr>
        <xdr:cNvPr id="6" name="Text Box 68">
          <a:extLst>
            <a:ext uri="{FF2B5EF4-FFF2-40B4-BE49-F238E27FC236}">
              <a16:creationId xmlns="" xmlns:a16="http://schemas.microsoft.com/office/drawing/2014/main" id="{00000000-0008-0000-2D00-000006000000}"/>
            </a:ext>
          </a:extLst>
        </xdr:cNvPr>
        <xdr:cNvSpPr txBox="1">
          <a:spLocks noChangeArrowheads="1"/>
        </xdr:cNvSpPr>
      </xdr:nvSpPr>
      <xdr:spPr bwMode="auto">
        <a:xfrm>
          <a:off x="17306925" y="647700"/>
          <a:ext cx="695325" cy="247314"/>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0.2 m</a:t>
          </a:r>
        </a:p>
      </xdr:txBody>
    </xdr:sp>
    <xdr:clientData/>
  </xdr:twoCellAnchor>
  <xdr:twoCellAnchor>
    <xdr:from>
      <xdr:col>19</xdr:col>
      <xdr:colOff>171450</xdr:colOff>
      <xdr:row>11</xdr:row>
      <xdr:rowOff>57150</xdr:rowOff>
    </xdr:from>
    <xdr:to>
      <xdr:col>20</xdr:col>
      <xdr:colOff>476250</xdr:colOff>
      <xdr:row>19</xdr:row>
      <xdr:rowOff>57150</xdr:rowOff>
    </xdr:to>
    <xdr:sp macro="" textlink="">
      <xdr:nvSpPr>
        <xdr:cNvPr id="884479" name="Rectangle 120" descr="Dark downward diagonal">
          <a:extLst>
            <a:ext uri="{FF2B5EF4-FFF2-40B4-BE49-F238E27FC236}">
              <a16:creationId xmlns="" xmlns:a16="http://schemas.microsoft.com/office/drawing/2014/main" id="{00000000-0008-0000-2D00-0000FF7E0D00}"/>
            </a:ext>
          </a:extLst>
        </xdr:cNvPr>
        <xdr:cNvSpPr>
          <a:spLocks noChangeArrowheads="1"/>
        </xdr:cNvSpPr>
      </xdr:nvSpPr>
      <xdr:spPr bwMode="auto">
        <a:xfrm>
          <a:off x="16097250" y="2222500"/>
          <a:ext cx="1143000" cy="1574800"/>
        </a:xfrm>
        <a:prstGeom prst="rect">
          <a:avLst/>
        </a:prstGeom>
        <a:blipFill dpi="0" rotWithShape="0">
          <a:blip xmlns:r="http://schemas.openxmlformats.org/officeDocument/2006/relationships" r:embed="rId4"/>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476250</xdr:colOff>
      <xdr:row>3</xdr:row>
      <xdr:rowOff>0</xdr:rowOff>
    </xdr:from>
    <xdr:to>
      <xdr:col>8</xdr:col>
      <xdr:colOff>285750</xdr:colOff>
      <xdr:row>26</xdr:row>
      <xdr:rowOff>139700</xdr:rowOff>
    </xdr:to>
    <xdr:sp macro="" textlink="">
      <xdr:nvSpPr>
        <xdr:cNvPr id="884480" name="Rectangle 93" descr="Dark downward diagonal">
          <a:extLst>
            <a:ext uri="{FF2B5EF4-FFF2-40B4-BE49-F238E27FC236}">
              <a16:creationId xmlns="" xmlns:a16="http://schemas.microsoft.com/office/drawing/2014/main" id="{00000000-0008-0000-2D00-0000007F0D00}"/>
            </a:ext>
          </a:extLst>
        </xdr:cNvPr>
        <xdr:cNvSpPr>
          <a:spLocks noChangeArrowheads="1"/>
        </xdr:cNvSpPr>
      </xdr:nvSpPr>
      <xdr:spPr bwMode="auto">
        <a:xfrm>
          <a:off x="5505450" y="590550"/>
          <a:ext cx="1485900" cy="4667250"/>
        </a:xfrm>
        <a:prstGeom prst="rect">
          <a:avLst/>
        </a:prstGeom>
        <a:blipFill dpi="0" rotWithShape="0">
          <a:blip xmlns:r="http://schemas.openxmlformats.org/officeDocument/2006/relationships" r:embed="rId4"/>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5</xdr:row>
      <xdr:rowOff>95250</xdr:rowOff>
    </xdr:from>
    <xdr:to>
      <xdr:col>6</xdr:col>
      <xdr:colOff>476250</xdr:colOff>
      <xdr:row>30</xdr:row>
      <xdr:rowOff>139700</xdr:rowOff>
    </xdr:to>
    <xdr:sp macro="" textlink="">
      <xdr:nvSpPr>
        <xdr:cNvPr id="884481" name="Rectangle 92" descr="Zig zag">
          <a:extLst>
            <a:ext uri="{FF2B5EF4-FFF2-40B4-BE49-F238E27FC236}">
              <a16:creationId xmlns="" xmlns:a16="http://schemas.microsoft.com/office/drawing/2014/main" id="{00000000-0008-0000-2D00-0000017F0D00}"/>
            </a:ext>
          </a:extLst>
        </xdr:cNvPr>
        <xdr:cNvSpPr>
          <a:spLocks noChangeArrowheads="1"/>
        </xdr:cNvSpPr>
      </xdr:nvSpPr>
      <xdr:spPr bwMode="auto">
        <a:xfrm flipV="1">
          <a:off x="2514600" y="1079500"/>
          <a:ext cx="2990850" cy="4965700"/>
        </a:xfrm>
        <a:prstGeom prst="rect">
          <a:avLst/>
        </a:prstGeom>
        <a:blipFill dpi="0" rotWithShape="0">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3175">
              <a:solidFill>
                <a:srgbClr val="000000"/>
              </a:solidFill>
              <a:miter lim="800000"/>
              <a:headEnd/>
              <a:tailEnd/>
            </a14:hiddenLine>
          </a:ext>
        </a:extLst>
      </xdr:spPr>
    </xdr:sp>
    <xdr:clientData/>
  </xdr:twoCellAnchor>
  <xdr:twoCellAnchor>
    <xdr:from>
      <xdr:col>21</xdr:col>
      <xdr:colOff>146050</xdr:colOff>
      <xdr:row>6</xdr:row>
      <xdr:rowOff>101600</xdr:rowOff>
    </xdr:from>
    <xdr:to>
      <xdr:col>24</xdr:col>
      <xdr:colOff>374650</xdr:colOff>
      <xdr:row>23</xdr:row>
      <xdr:rowOff>139700</xdr:rowOff>
    </xdr:to>
    <xdr:sp macro="" textlink="">
      <xdr:nvSpPr>
        <xdr:cNvPr id="884482" name="Rectangle 72" descr="Recycled paper">
          <a:extLst>
            <a:ext uri="{FF2B5EF4-FFF2-40B4-BE49-F238E27FC236}">
              <a16:creationId xmlns="" xmlns:a16="http://schemas.microsoft.com/office/drawing/2014/main" id="{00000000-0008-0000-2D00-0000027F0D00}"/>
            </a:ext>
          </a:extLst>
        </xdr:cNvPr>
        <xdr:cNvSpPr>
          <a:spLocks noChangeArrowheads="1"/>
        </xdr:cNvSpPr>
      </xdr:nvSpPr>
      <xdr:spPr bwMode="auto">
        <a:xfrm>
          <a:off x="17748250" y="1282700"/>
          <a:ext cx="2743200" cy="3384550"/>
        </a:xfrm>
        <a:prstGeom prst="rect">
          <a:avLst/>
        </a:prstGeom>
        <a:blipFill dpi="0" rotWithShape="0">
          <a:blip xmlns:r="http://schemas.openxmlformats.org/officeDocument/2006/relationships" r:embed="rId5"/>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355600</xdr:colOff>
      <xdr:row>14</xdr:row>
      <xdr:rowOff>82550</xdr:rowOff>
    </xdr:from>
    <xdr:to>
      <xdr:col>23</xdr:col>
      <xdr:colOff>76200</xdr:colOff>
      <xdr:row>18</xdr:row>
      <xdr:rowOff>120650</xdr:rowOff>
    </xdr:to>
    <xdr:sp macro="" textlink="">
      <xdr:nvSpPr>
        <xdr:cNvPr id="884483" name="Freeform 71" descr="Sand">
          <a:extLst>
            <a:ext uri="{FF2B5EF4-FFF2-40B4-BE49-F238E27FC236}">
              <a16:creationId xmlns="" xmlns:a16="http://schemas.microsoft.com/office/drawing/2014/main" id="{00000000-0008-0000-2D00-0000037F0D00}"/>
            </a:ext>
          </a:extLst>
        </xdr:cNvPr>
        <xdr:cNvSpPr>
          <a:spLocks/>
        </xdr:cNvSpPr>
      </xdr:nvSpPr>
      <xdr:spPr bwMode="auto">
        <a:xfrm>
          <a:off x="17957800" y="2838450"/>
          <a:ext cx="1397000" cy="825500"/>
        </a:xfrm>
        <a:custGeom>
          <a:avLst/>
          <a:gdLst>
            <a:gd name="T0" fmla="*/ 2147483646 w 66"/>
            <a:gd name="T1" fmla="*/ 2147483646 h 75"/>
            <a:gd name="T2" fmla="*/ 2147483646 w 66"/>
            <a:gd name="T3" fmla="*/ 2147483646 h 75"/>
            <a:gd name="T4" fmla="*/ 2147483646 w 66"/>
            <a:gd name="T5" fmla="*/ 2147483646 h 75"/>
            <a:gd name="T6" fmla="*/ 2147483646 w 66"/>
            <a:gd name="T7" fmla="*/ 2147483646 h 75"/>
            <a:gd name="T8" fmla="*/ 2147483646 w 66"/>
            <a:gd name="T9" fmla="*/ 2147483646 h 75"/>
            <a:gd name="T10" fmla="*/ 0 w 66"/>
            <a:gd name="T11" fmla="*/ 2147483646 h 75"/>
            <a:gd name="T12" fmla="*/ 0 w 66"/>
            <a:gd name="T13" fmla="*/ 2147483646 h 75"/>
            <a:gd name="T14" fmla="*/ 2147483646 w 66"/>
            <a:gd name="T15" fmla="*/ 2147483646 h 75"/>
            <a:gd name="T16" fmla="*/ 2147483646 w 66"/>
            <a:gd name="T17" fmla="*/ 2147483646 h 75"/>
            <a:gd name="T18" fmla="*/ 2147483646 w 66"/>
            <a:gd name="T19" fmla="*/ 2147483646 h 75"/>
            <a:gd name="T20" fmla="*/ 2147483646 w 66"/>
            <a:gd name="T21" fmla="*/ 2147483646 h 75"/>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66"/>
            <a:gd name="T34" fmla="*/ 0 h 75"/>
            <a:gd name="T35" fmla="*/ 66 w 66"/>
            <a:gd name="T36" fmla="*/ 75 h 75"/>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66" h="75">
              <a:moveTo>
                <a:pt x="27" y="7"/>
              </a:moveTo>
              <a:cubicBezTo>
                <a:pt x="38" y="14"/>
                <a:pt x="66" y="0"/>
                <a:pt x="55" y="16"/>
              </a:cubicBezTo>
              <a:cubicBezTo>
                <a:pt x="53" y="30"/>
                <a:pt x="55" y="44"/>
                <a:pt x="47" y="57"/>
              </a:cubicBezTo>
              <a:cubicBezTo>
                <a:pt x="45" y="75"/>
                <a:pt x="35" y="66"/>
                <a:pt x="11" y="65"/>
              </a:cubicBezTo>
              <a:cubicBezTo>
                <a:pt x="8" y="62"/>
                <a:pt x="6" y="61"/>
                <a:pt x="4" y="57"/>
              </a:cubicBezTo>
              <a:cubicBezTo>
                <a:pt x="3" y="55"/>
                <a:pt x="0" y="51"/>
                <a:pt x="0" y="51"/>
              </a:cubicBezTo>
              <a:cubicBezTo>
                <a:pt x="2" y="42"/>
                <a:pt x="3" y="37"/>
                <a:pt x="0" y="28"/>
              </a:cubicBezTo>
              <a:cubicBezTo>
                <a:pt x="2" y="20"/>
                <a:pt x="6" y="19"/>
                <a:pt x="10" y="12"/>
              </a:cubicBezTo>
              <a:cubicBezTo>
                <a:pt x="11" y="6"/>
                <a:pt x="13" y="4"/>
                <a:pt x="19" y="2"/>
              </a:cubicBezTo>
              <a:cubicBezTo>
                <a:pt x="23" y="2"/>
                <a:pt x="29" y="1"/>
                <a:pt x="30" y="5"/>
              </a:cubicBezTo>
              <a:cubicBezTo>
                <a:pt x="31" y="12"/>
                <a:pt x="27" y="7"/>
                <a:pt x="27" y="7"/>
              </a:cubicBezTo>
              <a:close/>
            </a:path>
          </a:pathLst>
        </a:custGeom>
        <a:blipFill dpi="0" rotWithShape="0">
          <a:blip xmlns:r="http://schemas.openxmlformats.org/officeDocument/2006/relationships" r:embed="rId6"/>
          <a:srcRect/>
          <a:tile tx="0" ty="0" sx="100000" sy="100000" flip="none" algn="tl"/>
        </a:blipFill>
        <a:ln w="9525">
          <a:solidFill>
            <a:srgbClr val="000000"/>
          </a:solidFill>
          <a:round/>
          <a:headEnd/>
          <a:tailEnd/>
        </a:ln>
      </xdr:spPr>
    </xdr:sp>
    <xdr:clientData/>
  </xdr:twoCellAnchor>
  <xdr:twoCellAnchor>
    <xdr:from>
      <xdr:col>3</xdr:col>
      <xdr:colOff>273050</xdr:colOff>
      <xdr:row>10</xdr:row>
      <xdr:rowOff>139700</xdr:rowOff>
    </xdr:from>
    <xdr:to>
      <xdr:col>7</xdr:col>
      <xdr:colOff>0</xdr:colOff>
      <xdr:row>20</xdr:row>
      <xdr:rowOff>95250</xdr:rowOff>
    </xdr:to>
    <xdr:sp macro="" textlink="">
      <xdr:nvSpPr>
        <xdr:cNvPr id="884484" name="Rectangle 1" descr="Divot">
          <a:extLst>
            <a:ext uri="{FF2B5EF4-FFF2-40B4-BE49-F238E27FC236}">
              <a16:creationId xmlns="" xmlns:a16="http://schemas.microsoft.com/office/drawing/2014/main" id="{00000000-0008-0000-2D00-0000047F0D00}"/>
            </a:ext>
          </a:extLst>
        </xdr:cNvPr>
        <xdr:cNvSpPr>
          <a:spLocks noChangeArrowheads="1"/>
        </xdr:cNvSpPr>
      </xdr:nvSpPr>
      <xdr:spPr bwMode="auto">
        <a:xfrm>
          <a:off x="2787650" y="2108200"/>
          <a:ext cx="3079750" cy="192405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6</xdr:col>
      <xdr:colOff>476250</xdr:colOff>
      <xdr:row>5</xdr:row>
      <xdr:rowOff>139700</xdr:rowOff>
    </xdr:from>
    <xdr:to>
      <xdr:col>7</xdr:col>
      <xdr:colOff>177800</xdr:colOff>
      <xdr:row>25</xdr:row>
      <xdr:rowOff>0</xdr:rowOff>
    </xdr:to>
    <xdr:sp macro="" textlink="">
      <xdr:nvSpPr>
        <xdr:cNvPr id="884485" name="Rectangle 2" descr="Recycled paper">
          <a:extLst>
            <a:ext uri="{FF2B5EF4-FFF2-40B4-BE49-F238E27FC236}">
              <a16:creationId xmlns="" xmlns:a16="http://schemas.microsoft.com/office/drawing/2014/main" id="{00000000-0008-0000-2D00-0000057F0D00}"/>
            </a:ext>
          </a:extLst>
        </xdr:cNvPr>
        <xdr:cNvSpPr>
          <a:spLocks noChangeArrowheads="1"/>
        </xdr:cNvSpPr>
      </xdr:nvSpPr>
      <xdr:spPr bwMode="auto">
        <a:xfrm>
          <a:off x="5505450" y="1123950"/>
          <a:ext cx="539750" cy="3797300"/>
        </a:xfrm>
        <a:prstGeom prst="rect">
          <a:avLst/>
        </a:prstGeom>
        <a:blipFill dpi="0" rotWithShape="0">
          <a:blip xmlns:r="http://schemas.openxmlformats.org/officeDocument/2006/relationships" r:embed="rId5"/>
          <a:srcRect/>
          <a:tile tx="0" ty="0" sx="100000" sy="100000" flip="none" algn="tl"/>
        </a:blipFill>
        <a:ln w="9525">
          <a:solidFill>
            <a:srgbClr val="000000"/>
          </a:solidFill>
          <a:miter lim="800000"/>
          <a:headEnd/>
          <a:tailEnd/>
        </a:ln>
      </xdr:spPr>
    </xdr:sp>
    <xdr:clientData/>
  </xdr:twoCellAnchor>
  <xdr:twoCellAnchor>
    <xdr:from>
      <xdr:col>6</xdr:col>
      <xdr:colOff>241300</xdr:colOff>
      <xdr:row>20</xdr:row>
      <xdr:rowOff>57150</xdr:rowOff>
    </xdr:from>
    <xdr:to>
      <xdr:col>6</xdr:col>
      <xdr:colOff>381000</xdr:colOff>
      <xdr:row>21</xdr:row>
      <xdr:rowOff>44450</xdr:rowOff>
    </xdr:to>
    <xdr:sp macro="" textlink="">
      <xdr:nvSpPr>
        <xdr:cNvPr id="884486" name="Freeform 11">
          <a:extLst>
            <a:ext uri="{FF2B5EF4-FFF2-40B4-BE49-F238E27FC236}">
              <a16:creationId xmlns="" xmlns:a16="http://schemas.microsoft.com/office/drawing/2014/main" id="{00000000-0008-0000-2D00-0000067F0D00}"/>
            </a:ext>
          </a:extLst>
        </xdr:cNvPr>
        <xdr:cNvSpPr>
          <a:spLocks/>
        </xdr:cNvSpPr>
      </xdr:nvSpPr>
      <xdr:spPr bwMode="auto">
        <a:xfrm>
          <a:off x="5270500" y="3994150"/>
          <a:ext cx="139700" cy="1841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4</xdr:col>
      <xdr:colOff>38100</xdr:colOff>
      <xdr:row>20</xdr:row>
      <xdr:rowOff>57150</xdr:rowOff>
    </xdr:from>
    <xdr:to>
      <xdr:col>4</xdr:col>
      <xdr:colOff>177800</xdr:colOff>
      <xdr:row>21</xdr:row>
      <xdr:rowOff>44450</xdr:rowOff>
    </xdr:to>
    <xdr:sp macro="" textlink="">
      <xdr:nvSpPr>
        <xdr:cNvPr id="884487" name="Freeform 14">
          <a:extLst>
            <a:ext uri="{FF2B5EF4-FFF2-40B4-BE49-F238E27FC236}">
              <a16:creationId xmlns="" xmlns:a16="http://schemas.microsoft.com/office/drawing/2014/main" id="{00000000-0008-0000-2D00-0000077F0D00}"/>
            </a:ext>
          </a:extLst>
        </xdr:cNvPr>
        <xdr:cNvSpPr>
          <a:spLocks/>
        </xdr:cNvSpPr>
      </xdr:nvSpPr>
      <xdr:spPr bwMode="auto">
        <a:xfrm>
          <a:off x="3390900" y="3994150"/>
          <a:ext cx="139700" cy="1841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4</xdr:col>
      <xdr:colOff>273050</xdr:colOff>
      <xdr:row>20</xdr:row>
      <xdr:rowOff>63500</xdr:rowOff>
    </xdr:from>
    <xdr:to>
      <xdr:col>4</xdr:col>
      <xdr:colOff>419100</xdr:colOff>
      <xdr:row>21</xdr:row>
      <xdr:rowOff>57150</xdr:rowOff>
    </xdr:to>
    <xdr:sp macro="" textlink="">
      <xdr:nvSpPr>
        <xdr:cNvPr id="884488" name="Freeform 16">
          <a:extLst>
            <a:ext uri="{FF2B5EF4-FFF2-40B4-BE49-F238E27FC236}">
              <a16:creationId xmlns="" xmlns:a16="http://schemas.microsoft.com/office/drawing/2014/main" id="{00000000-0008-0000-2D00-0000087F0D00}"/>
            </a:ext>
          </a:extLst>
        </xdr:cNvPr>
        <xdr:cNvSpPr>
          <a:spLocks/>
        </xdr:cNvSpPr>
      </xdr:nvSpPr>
      <xdr:spPr bwMode="auto">
        <a:xfrm>
          <a:off x="3625850" y="4000500"/>
          <a:ext cx="146050" cy="1905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14</xdr:row>
      <xdr:rowOff>139700</xdr:rowOff>
    </xdr:from>
    <xdr:to>
      <xdr:col>3</xdr:col>
      <xdr:colOff>317500</xdr:colOff>
      <xdr:row>15</xdr:row>
      <xdr:rowOff>114300</xdr:rowOff>
    </xdr:to>
    <xdr:sp macro="" textlink="">
      <xdr:nvSpPr>
        <xdr:cNvPr id="884489" name="Freeform 19">
          <a:extLst>
            <a:ext uri="{FF2B5EF4-FFF2-40B4-BE49-F238E27FC236}">
              <a16:creationId xmlns="" xmlns:a16="http://schemas.microsoft.com/office/drawing/2014/main" id="{00000000-0008-0000-2D00-0000097F0D00}"/>
            </a:ext>
          </a:extLst>
        </xdr:cNvPr>
        <xdr:cNvSpPr>
          <a:spLocks/>
        </xdr:cNvSpPr>
      </xdr:nvSpPr>
      <xdr:spPr bwMode="auto">
        <a:xfrm>
          <a:off x="2686050" y="2895600"/>
          <a:ext cx="146050" cy="171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14</xdr:row>
      <xdr:rowOff>6350</xdr:rowOff>
    </xdr:from>
    <xdr:to>
      <xdr:col>3</xdr:col>
      <xdr:colOff>317500</xdr:colOff>
      <xdr:row>14</xdr:row>
      <xdr:rowOff>146050</xdr:rowOff>
    </xdr:to>
    <xdr:sp macro="" textlink="">
      <xdr:nvSpPr>
        <xdr:cNvPr id="884490" name="Freeform 20">
          <a:extLst>
            <a:ext uri="{FF2B5EF4-FFF2-40B4-BE49-F238E27FC236}">
              <a16:creationId xmlns="" xmlns:a16="http://schemas.microsoft.com/office/drawing/2014/main" id="{00000000-0008-0000-2D00-00000A7F0D00}"/>
            </a:ext>
          </a:extLst>
        </xdr:cNvPr>
        <xdr:cNvSpPr>
          <a:spLocks/>
        </xdr:cNvSpPr>
      </xdr:nvSpPr>
      <xdr:spPr bwMode="auto">
        <a:xfrm>
          <a:off x="2686050" y="2762250"/>
          <a:ext cx="146050" cy="1397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15</xdr:row>
      <xdr:rowOff>95250</xdr:rowOff>
    </xdr:from>
    <xdr:to>
      <xdr:col>3</xdr:col>
      <xdr:colOff>323850</xdr:colOff>
      <xdr:row>16</xdr:row>
      <xdr:rowOff>82550</xdr:rowOff>
    </xdr:to>
    <xdr:sp macro="" textlink="">
      <xdr:nvSpPr>
        <xdr:cNvPr id="884491" name="Freeform 21">
          <a:extLst>
            <a:ext uri="{FF2B5EF4-FFF2-40B4-BE49-F238E27FC236}">
              <a16:creationId xmlns="" xmlns:a16="http://schemas.microsoft.com/office/drawing/2014/main" id="{00000000-0008-0000-2D00-00000B7F0D00}"/>
            </a:ext>
          </a:extLst>
        </xdr:cNvPr>
        <xdr:cNvSpPr>
          <a:spLocks/>
        </xdr:cNvSpPr>
      </xdr:nvSpPr>
      <xdr:spPr bwMode="auto">
        <a:xfrm>
          <a:off x="2686050" y="3048000"/>
          <a:ext cx="152400" cy="1841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16</xdr:row>
      <xdr:rowOff>63500</xdr:rowOff>
    </xdr:from>
    <xdr:to>
      <xdr:col>3</xdr:col>
      <xdr:colOff>323850</xdr:colOff>
      <xdr:row>17</xdr:row>
      <xdr:rowOff>57150</xdr:rowOff>
    </xdr:to>
    <xdr:sp macro="" textlink="">
      <xdr:nvSpPr>
        <xdr:cNvPr id="884492" name="Freeform 22">
          <a:extLst>
            <a:ext uri="{FF2B5EF4-FFF2-40B4-BE49-F238E27FC236}">
              <a16:creationId xmlns="" xmlns:a16="http://schemas.microsoft.com/office/drawing/2014/main" id="{00000000-0008-0000-2D00-00000C7F0D00}"/>
            </a:ext>
          </a:extLst>
        </xdr:cNvPr>
        <xdr:cNvSpPr>
          <a:spLocks/>
        </xdr:cNvSpPr>
      </xdr:nvSpPr>
      <xdr:spPr bwMode="auto">
        <a:xfrm>
          <a:off x="2686050" y="3213100"/>
          <a:ext cx="152400" cy="1905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17</xdr:row>
      <xdr:rowOff>38100</xdr:rowOff>
    </xdr:from>
    <xdr:to>
      <xdr:col>3</xdr:col>
      <xdr:colOff>323850</xdr:colOff>
      <xdr:row>18</xdr:row>
      <xdr:rowOff>19050</xdr:rowOff>
    </xdr:to>
    <xdr:sp macro="" textlink="">
      <xdr:nvSpPr>
        <xdr:cNvPr id="884493" name="Freeform 23">
          <a:extLst>
            <a:ext uri="{FF2B5EF4-FFF2-40B4-BE49-F238E27FC236}">
              <a16:creationId xmlns="" xmlns:a16="http://schemas.microsoft.com/office/drawing/2014/main" id="{00000000-0008-0000-2D00-00000D7F0D00}"/>
            </a:ext>
          </a:extLst>
        </xdr:cNvPr>
        <xdr:cNvSpPr>
          <a:spLocks/>
        </xdr:cNvSpPr>
      </xdr:nvSpPr>
      <xdr:spPr bwMode="auto">
        <a:xfrm>
          <a:off x="2686050" y="3384550"/>
          <a:ext cx="15240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18</xdr:row>
      <xdr:rowOff>19050</xdr:rowOff>
    </xdr:from>
    <xdr:to>
      <xdr:col>3</xdr:col>
      <xdr:colOff>323850</xdr:colOff>
      <xdr:row>19</xdr:row>
      <xdr:rowOff>0</xdr:rowOff>
    </xdr:to>
    <xdr:sp macro="" textlink="">
      <xdr:nvSpPr>
        <xdr:cNvPr id="884494" name="Freeform 24">
          <a:extLst>
            <a:ext uri="{FF2B5EF4-FFF2-40B4-BE49-F238E27FC236}">
              <a16:creationId xmlns="" xmlns:a16="http://schemas.microsoft.com/office/drawing/2014/main" id="{00000000-0008-0000-2D00-00000E7F0D00}"/>
            </a:ext>
          </a:extLst>
        </xdr:cNvPr>
        <xdr:cNvSpPr>
          <a:spLocks/>
        </xdr:cNvSpPr>
      </xdr:nvSpPr>
      <xdr:spPr bwMode="auto">
        <a:xfrm>
          <a:off x="2686050" y="3562350"/>
          <a:ext cx="15240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13</xdr:row>
      <xdr:rowOff>38100</xdr:rowOff>
    </xdr:from>
    <xdr:to>
      <xdr:col>3</xdr:col>
      <xdr:colOff>323850</xdr:colOff>
      <xdr:row>14</xdr:row>
      <xdr:rowOff>19050</xdr:rowOff>
    </xdr:to>
    <xdr:sp macro="" textlink="">
      <xdr:nvSpPr>
        <xdr:cNvPr id="884495" name="Freeform 26">
          <a:extLst>
            <a:ext uri="{FF2B5EF4-FFF2-40B4-BE49-F238E27FC236}">
              <a16:creationId xmlns="" xmlns:a16="http://schemas.microsoft.com/office/drawing/2014/main" id="{00000000-0008-0000-2D00-00000F7F0D00}"/>
            </a:ext>
          </a:extLst>
        </xdr:cNvPr>
        <xdr:cNvSpPr>
          <a:spLocks/>
        </xdr:cNvSpPr>
      </xdr:nvSpPr>
      <xdr:spPr bwMode="auto">
        <a:xfrm>
          <a:off x="2686050" y="2597150"/>
          <a:ext cx="15240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12</xdr:row>
      <xdr:rowOff>63500</xdr:rowOff>
    </xdr:from>
    <xdr:to>
      <xdr:col>3</xdr:col>
      <xdr:colOff>317500</xdr:colOff>
      <xdr:row>13</xdr:row>
      <xdr:rowOff>57150</xdr:rowOff>
    </xdr:to>
    <xdr:sp macro="" textlink="">
      <xdr:nvSpPr>
        <xdr:cNvPr id="884496" name="Freeform 27">
          <a:extLst>
            <a:ext uri="{FF2B5EF4-FFF2-40B4-BE49-F238E27FC236}">
              <a16:creationId xmlns="" xmlns:a16="http://schemas.microsoft.com/office/drawing/2014/main" id="{00000000-0008-0000-2D00-0000107F0D00}"/>
            </a:ext>
          </a:extLst>
        </xdr:cNvPr>
        <xdr:cNvSpPr>
          <a:spLocks/>
        </xdr:cNvSpPr>
      </xdr:nvSpPr>
      <xdr:spPr bwMode="auto">
        <a:xfrm>
          <a:off x="2686050" y="2425700"/>
          <a:ext cx="146050" cy="1905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11</xdr:row>
      <xdr:rowOff>114300</xdr:rowOff>
    </xdr:from>
    <xdr:to>
      <xdr:col>3</xdr:col>
      <xdr:colOff>323850</xdr:colOff>
      <xdr:row>12</xdr:row>
      <xdr:rowOff>95250</xdr:rowOff>
    </xdr:to>
    <xdr:sp macro="" textlink="">
      <xdr:nvSpPr>
        <xdr:cNvPr id="884497" name="Freeform 28">
          <a:extLst>
            <a:ext uri="{FF2B5EF4-FFF2-40B4-BE49-F238E27FC236}">
              <a16:creationId xmlns="" xmlns:a16="http://schemas.microsoft.com/office/drawing/2014/main" id="{00000000-0008-0000-2D00-0000117F0D00}"/>
            </a:ext>
          </a:extLst>
        </xdr:cNvPr>
        <xdr:cNvSpPr>
          <a:spLocks/>
        </xdr:cNvSpPr>
      </xdr:nvSpPr>
      <xdr:spPr bwMode="auto">
        <a:xfrm>
          <a:off x="2686050" y="2279650"/>
          <a:ext cx="15240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11</xdr:row>
      <xdr:rowOff>0</xdr:rowOff>
    </xdr:from>
    <xdr:to>
      <xdr:col>3</xdr:col>
      <xdr:colOff>317500</xdr:colOff>
      <xdr:row>11</xdr:row>
      <xdr:rowOff>139700</xdr:rowOff>
    </xdr:to>
    <xdr:sp macro="" textlink="">
      <xdr:nvSpPr>
        <xdr:cNvPr id="884498" name="Freeform 29">
          <a:extLst>
            <a:ext uri="{FF2B5EF4-FFF2-40B4-BE49-F238E27FC236}">
              <a16:creationId xmlns="" xmlns:a16="http://schemas.microsoft.com/office/drawing/2014/main" id="{00000000-0008-0000-2D00-0000127F0D00}"/>
            </a:ext>
          </a:extLst>
        </xdr:cNvPr>
        <xdr:cNvSpPr>
          <a:spLocks/>
        </xdr:cNvSpPr>
      </xdr:nvSpPr>
      <xdr:spPr bwMode="auto">
        <a:xfrm>
          <a:off x="2686050" y="2165350"/>
          <a:ext cx="146050" cy="1397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10</xdr:row>
      <xdr:rowOff>44450</xdr:rowOff>
    </xdr:from>
    <xdr:to>
      <xdr:col>3</xdr:col>
      <xdr:colOff>317500</xdr:colOff>
      <xdr:row>11</xdr:row>
      <xdr:rowOff>25400</xdr:rowOff>
    </xdr:to>
    <xdr:sp macro="" textlink="">
      <xdr:nvSpPr>
        <xdr:cNvPr id="884499" name="Freeform 30">
          <a:extLst>
            <a:ext uri="{FF2B5EF4-FFF2-40B4-BE49-F238E27FC236}">
              <a16:creationId xmlns="" xmlns:a16="http://schemas.microsoft.com/office/drawing/2014/main" id="{00000000-0008-0000-2D00-0000137F0D00}"/>
            </a:ext>
          </a:extLst>
        </xdr:cNvPr>
        <xdr:cNvSpPr>
          <a:spLocks/>
        </xdr:cNvSpPr>
      </xdr:nvSpPr>
      <xdr:spPr bwMode="auto">
        <a:xfrm>
          <a:off x="2686050" y="2012950"/>
          <a:ext cx="14605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4</xdr:col>
      <xdr:colOff>114300</xdr:colOff>
      <xdr:row>10</xdr:row>
      <xdr:rowOff>19050</xdr:rowOff>
    </xdr:from>
    <xdr:to>
      <xdr:col>4</xdr:col>
      <xdr:colOff>254000</xdr:colOff>
      <xdr:row>11</xdr:row>
      <xdr:rowOff>0</xdr:rowOff>
    </xdr:to>
    <xdr:sp macro="" textlink="">
      <xdr:nvSpPr>
        <xdr:cNvPr id="884500" name="Freeform 31">
          <a:extLst>
            <a:ext uri="{FF2B5EF4-FFF2-40B4-BE49-F238E27FC236}">
              <a16:creationId xmlns="" xmlns:a16="http://schemas.microsoft.com/office/drawing/2014/main" id="{00000000-0008-0000-2D00-0000147F0D00}"/>
            </a:ext>
          </a:extLst>
        </xdr:cNvPr>
        <xdr:cNvSpPr>
          <a:spLocks/>
        </xdr:cNvSpPr>
      </xdr:nvSpPr>
      <xdr:spPr bwMode="auto">
        <a:xfrm>
          <a:off x="3467100" y="1987550"/>
          <a:ext cx="13970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476250</xdr:colOff>
      <xdr:row>10</xdr:row>
      <xdr:rowOff>6350</xdr:rowOff>
    </xdr:from>
    <xdr:to>
      <xdr:col>4</xdr:col>
      <xdr:colOff>133350</xdr:colOff>
      <xdr:row>10</xdr:row>
      <xdr:rowOff>139700</xdr:rowOff>
    </xdr:to>
    <xdr:sp macro="" textlink="">
      <xdr:nvSpPr>
        <xdr:cNvPr id="884501" name="Freeform 32">
          <a:extLst>
            <a:ext uri="{FF2B5EF4-FFF2-40B4-BE49-F238E27FC236}">
              <a16:creationId xmlns="" xmlns:a16="http://schemas.microsoft.com/office/drawing/2014/main" id="{00000000-0008-0000-2D00-0000157F0D00}"/>
            </a:ext>
          </a:extLst>
        </xdr:cNvPr>
        <xdr:cNvSpPr>
          <a:spLocks/>
        </xdr:cNvSpPr>
      </xdr:nvSpPr>
      <xdr:spPr bwMode="auto">
        <a:xfrm>
          <a:off x="2990850" y="1974850"/>
          <a:ext cx="495300" cy="1333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361950</xdr:colOff>
      <xdr:row>10</xdr:row>
      <xdr:rowOff>19050</xdr:rowOff>
    </xdr:from>
    <xdr:to>
      <xdr:col>4</xdr:col>
      <xdr:colOff>19050</xdr:colOff>
      <xdr:row>11</xdr:row>
      <xdr:rowOff>0</xdr:rowOff>
    </xdr:to>
    <xdr:sp macro="" textlink="">
      <xdr:nvSpPr>
        <xdr:cNvPr id="884502" name="Freeform 33">
          <a:extLst>
            <a:ext uri="{FF2B5EF4-FFF2-40B4-BE49-F238E27FC236}">
              <a16:creationId xmlns="" xmlns:a16="http://schemas.microsoft.com/office/drawing/2014/main" id="{00000000-0008-0000-2D00-0000167F0D00}"/>
            </a:ext>
          </a:extLst>
        </xdr:cNvPr>
        <xdr:cNvSpPr>
          <a:spLocks/>
        </xdr:cNvSpPr>
      </xdr:nvSpPr>
      <xdr:spPr bwMode="auto">
        <a:xfrm>
          <a:off x="2876550" y="1987550"/>
          <a:ext cx="49530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254000</xdr:colOff>
      <xdr:row>10</xdr:row>
      <xdr:rowOff>25400</xdr:rowOff>
    </xdr:from>
    <xdr:to>
      <xdr:col>3</xdr:col>
      <xdr:colOff>400050</xdr:colOff>
      <xdr:row>11</xdr:row>
      <xdr:rowOff>6350</xdr:rowOff>
    </xdr:to>
    <xdr:sp macro="" textlink="">
      <xdr:nvSpPr>
        <xdr:cNvPr id="884503" name="Freeform 34">
          <a:extLst>
            <a:ext uri="{FF2B5EF4-FFF2-40B4-BE49-F238E27FC236}">
              <a16:creationId xmlns="" xmlns:a16="http://schemas.microsoft.com/office/drawing/2014/main" id="{00000000-0008-0000-2D00-0000177F0D00}"/>
            </a:ext>
          </a:extLst>
        </xdr:cNvPr>
        <xdr:cNvSpPr>
          <a:spLocks/>
        </xdr:cNvSpPr>
      </xdr:nvSpPr>
      <xdr:spPr bwMode="auto">
        <a:xfrm>
          <a:off x="2768600" y="1993900"/>
          <a:ext cx="14605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4</xdr:col>
      <xdr:colOff>342900</xdr:colOff>
      <xdr:row>10</xdr:row>
      <xdr:rowOff>6350</xdr:rowOff>
    </xdr:from>
    <xdr:to>
      <xdr:col>5</xdr:col>
      <xdr:colOff>0</xdr:colOff>
      <xdr:row>10</xdr:row>
      <xdr:rowOff>139700</xdr:rowOff>
    </xdr:to>
    <xdr:sp macro="" textlink="">
      <xdr:nvSpPr>
        <xdr:cNvPr id="884504" name="Freeform 35">
          <a:extLst>
            <a:ext uri="{FF2B5EF4-FFF2-40B4-BE49-F238E27FC236}">
              <a16:creationId xmlns="" xmlns:a16="http://schemas.microsoft.com/office/drawing/2014/main" id="{00000000-0008-0000-2D00-0000187F0D00}"/>
            </a:ext>
          </a:extLst>
        </xdr:cNvPr>
        <xdr:cNvSpPr>
          <a:spLocks/>
        </xdr:cNvSpPr>
      </xdr:nvSpPr>
      <xdr:spPr bwMode="auto">
        <a:xfrm>
          <a:off x="3695700" y="1974850"/>
          <a:ext cx="495300" cy="1333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4</xdr:col>
      <xdr:colOff>463550</xdr:colOff>
      <xdr:row>10</xdr:row>
      <xdr:rowOff>6350</xdr:rowOff>
    </xdr:from>
    <xdr:to>
      <xdr:col>5</xdr:col>
      <xdr:colOff>120650</xdr:colOff>
      <xdr:row>10</xdr:row>
      <xdr:rowOff>139700</xdr:rowOff>
    </xdr:to>
    <xdr:sp macro="" textlink="">
      <xdr:nvSpPr>
        <xdr:cNvPr id="884505" name="Freeform 36">
          <a:extLst>
            <a:ext uri="{FF2B5EF4-FFF2-40B4-BE49-F238E27FC236}">
              <a16:creationId xmlns="" xmlns:a16="http://schemas.microsoft.com/office/drawing/2014/main" id="{00000000-0008-0000-2D00-0000197F0D00}"/>
            </a:ext>
          </a:extLst>
        </xdr:cNvPr>
        <xdr:cNvSpPr>
          <a:spLocks/>
        </xdr:cNvSpPr>
      </xdr:nvSpPr>
      <xdr:spPr bwMode="auto">
        <a:xfrm>
          <a:off x="3816350" y="1974850"/>
          <a:ext cx="495300" cy="1333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5</xdr:col>
      <xdr:colOff>95250</xdr:colOff>
      <xdr:row>10</xdr:row>
      <xdr:rowOff>6350</xdr:rowOff>
    </xdr:from>
    <xdr:to>
      <xdr:col>5</xdr:col>
      <xdr:colOff>241300</xdr:colOff>
      <xdr:row>10</xdr:row>
      <xdr:rowOff>146050</xdr:rowOff>
    </xdr:to>
    <xdr:sp macro="" textlink="">
      <xdr:nvSpPr>
        <xdr:cNvPr id="884506" name="Freeform 37">
          <a:extLst>
            <a:ext uri="{FF2B5EF4-FFF2-40B4-BE49-F238E27FC236}">
              <a16:creationId xmlns="" xmlns:a16="http://schemas.microsoft.com/office/drawing/2014/main" id="{00000000-0008-0000-2D00-00001A7F0D00}"/>
            </a:ext>
          </a:extLst>
        </xdr:cNvPr>
        <xdr:cNvSpPr>
          <a:spLocks/>
        </xdr:cNvSpPr>
      </xdr:nvSpPr>
      <xdr:spPr bwMode="auto">
        <a:xfrm>
          <a:off x="4286250" y="1974850"/>
          <a:ext cx="146050" cy="1397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5</xdr:col>
      <xdr:colOff>209550</xdr:colOff>
      <xdr:row>10</xdr:row>
      <xdr:rowOff>19050</xdr:rowOff>
    </xdr:from>
    <xdr:to>
      <xdr:col>5</xdr:col>
      <xdr:colOff>355600</xdr:colOff>
      <xdr:row>11</xdr:row>
      <xdr:rowOff>0</xdr:rowOff>
    </xdr:to>
    <xdr:sp macro="" textlink="">
      <xdr:nvSpPr>
        <xdr:cNvPr id="884507" name="Freeform 38">
          <a:extLst>
            <a:ext uri="{FF2B5EF4-FFF2-40B4-BE49-F238E27FC236}">
              <a16:creationId xmlns="" xmlns:a16="http://schemas.microsoft.com/office/drawing/2014/main" id="{00000000-0008-0000-2D00-00001B7F0D00}"/>
            </a:ext>
          </a:extLst>
        </xdr:cNvPr>
        <xdr:cNvSpPr>
          <a:spLocks/>
        </xdr:cNvSpPr>
      </xdr:nvSpPr>
      <xdr:spPr bwMode="auto">
        <a:xfrm>
          <a:off x="4400550" y="1987550"/>
          <a:ext cx="14605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4</xdr:col>
      <xdr:colOff>228600</xdr:colOff>
      <xdr:row>10</xdr:row>
      <xdr:rowOff>19050</xdr:rowOff>
    </xdr:from>
    <xdr:to>
      <xdr:col>4</xdr:col>
      <xdr:colOff>374650</xdr:colOff>
      <xdr:row>11</xdr:row>
      <xdr:rowOff>0</xdr:rowOff>
    </xdr:to>
    <xdr:sp macro="" textlink="">
      <xdr:nvSpPr>
        <xdr:cNvPr id="884508" name="Freeform 39">
          <a:extLst>
            <a:ext uri="{FF2B5EF4-FFF2-40B4-BE49-F238E27FC236}">
              <a16:creationId xmlns="" xmlns:a16="http://schemas.microsoft.com/office/drawing/2014/main" id="{00000000-0008-0000-2D00-00001C7F0D00}"/>
            </a:ext>
          </a:extLst>
        </xdr:cNvPr>
        <xdr:cNvSpPr>
          <a:spLocks/>
        </xdr:cNvSpPr>
      </xdr:nvSpPr>
      <xdr:spPr bwMode="auto">
        <a:xfrm>
          <a:off x="3581400" y="1987550"/>
          <a:ext cx="14605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5</xdr:col>
      <xdr:colOff>406400</xdr:colOff>
      <xdr:row>10</xdr:row>
      <xdr:rowOff>0</xdr:rowOff>
    </xdr:from>
    <xdr:to>
      <xdr:col>6</xdr:col>
      <xdr:colOff>63500</xdr:colOff>
      <xdr:row>10</xdr:row>
      <xdr:rowOff>139700</xdr:rowOff>
    </xdr:to>
    <xdr:sp macro="" textlink="">
      <xdr:nvSpPr>
        <xdr:cNvPr id="884509" name="Freeform 40">
          <a:extLst>
            <a:ext uri="{FF2B5EF4-FFF2-40B4-BE49-F238E27FC236}">
              <a16:creationId xmlns="" xmlns:a16="http://schemas.microsoft.com/office/drawing/2014/main" id="{00000000-0008-0000-2D00-00001D7F0D00}"/>
            </a:ext>
          </a:extLst>
        </xdr:cNvPr>
        <xdr:cNvSpPr>
          <a:spLocks/>
        </xdr:cNvSpPr>
      </xdr:nvSpPr>
      <xdr:spPr bwMode="auto">
        <a:xfrm>
          <a:off x="4597400" y="1968500"/>
          <a:ext cx="495300" cy="1397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6</xdr:col>
      <xdr:colOff>38100</xdr:colOff>
      <xdr:row>10</xdr:row>
      <xdr:rowOff>19050</xdr:rowOff>
    </xdr:from>
    <xdr:to>
      <xdr:col>6</xdr:col>
      <xdr:colOff>177800</xdr:colOff>
      <xdr:row>11</xdr:row>
      <xdr:rowOff>0</xdr:rowOff>
    </xdr:to>
    <xdr:sp macro="" textlink="">
      <xdr:nvSpPr>
        <xdr:cNvPr id="884510" name="Freeform 41">
          <a:extLst>
            <a:ext uri="{FF2B5EF4-FFF2-40B4-BE49-F238E27FC236}">
              <a16:creationId xmlns="" xmlns:a16="http://schemas.microsoft.com/office/drawing/2014/main" id="{00000000-0008-0000-2D00-00001E7F0D00}"/>
            </a:ext>
          </a:extLst>
        </xdr:cNvPr>
        <xdr:cNvSpPr>
          <a:spLocks/>
        </xdr:cNvSpPr>
      </xdr:nvSpPr>
      <xdr:spPr bwMode="auto">
        <a:xfrm>
          <a:off x="5067300" y="1987550"/>
          <a:ext cx="13970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6</xdr:col>
      <xdr:colOff>146050</xdr:colOff>
      <xdr:row>10</xdr:row>
      <xdr:rowOff>6350</xdr:rowOff>
    </xdr:from>
    <xdr:to>
      <xdr:col>6</xdr:col>
      <xdr:colOff>292100</xdr:colOff>
      <xdr:row>10</xdr:row>
      <xdr:rowOff>146050</xdr:rowOff>
    </xdr:to>
    <xdr:sp macro="" textlink="">
      <xdr:nvSpPr>
        <xdr:cNvPr id="884511" name="Freeform 42">
          <a:extLst>
            <a:ext uri="{FF2B5EF4-FFF2-40B4-BE49-F238E27FC236}">
              <a16:creationId xmlns="" xmlns:a16="http://schemas.microsoft.com/office/drawing/2014/main" id="{00000000-0008-0000-2D00-00001F7F0D00}"/>
            </a:ext>
          </a:extLst>
        </xdr:cNvPr>
        <xdr:cNvSpPr>
          <a:spLocks/>
        </xdr:cNvSpPr>
      </xdr:nvSpPr>
      <xdr:spPr bwMode="auto">
        <a:xfrm>
          <a:off x="5175250" y="1974850"/>
          <a:ext cx="146050" cy="1397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6</xdr:col>
      <xdr:colOff>247650</xdr:colOff>
      <xdr:row>10</xdr:row>
      <xdr:rowOff>0</xdr:rowOff>
    </xdr:from>
    <xdr:to>
      <xdr:col>6</xdr:col>
      <xdr:colOff>393700</xdr:colOff>
      <xdr:row>10</xdr:row>
      <xdr:rowOff>139700</xdr:rowOff>
    </xdr:to>
    <xdr:sp macro="" textlink="">
      <xdr:nvSpPr>
        <xdr:cNvPr id="884512" name="Freeform 43">
          <a:extLst>
            <a:ext uri="{FF2B5EF4-FFF2-40B4-BE49-F238E27FC236}">
              <a16:creationId xmlns="" xmlns:a16="http://schemas.microsoft.com/office/drawing/2014/main" id="{00000000-0008-0000-2D00-0000207F0D00}"/>
            </a:ext>
          </a:extLst>
        </xdr:cNvPr>
        <xdr:cNvSpPr>
          <a:spLocks/>
        </xdr:cNvSpPr>
      </xdr:nvSpPr>
      <xdr:spPr bwMode="auto">
        <a:xfrm>
          <a:off x="5276850" y="1968500"/>
          <a:ext cx="146050" cy="1397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5</xdr:col>
      <xdr:colOff>317500</xdr:colOff>
      <xdr:row>10</xdr:row>
      <xdr:rowOff>0</xdr:rowOff>
    </xdr:from>
    <xdr:to>
      <xdr:col>5</xdr:col>
      <xdr:colOff>463550</xdr:colOff>
      <xdr:row>10</xdr:row>
      <xdr:rowOff>139700</xdr:rowOff>
    </xdr:to>
    <xdr:sp macro="" textlink="">
      <xdr:nvSpPr>
        <xdr:cNvPr id="884513" name="Freeform 44">
          <a:extLst>
            <a:ext uri="{FF2B5EF4-FFF2-40B4-BE49-F238E27FC236}">
              <a16:creationId xmlns="" xmlns:a16="http://schemas.microsoft.com/office/drawing/2014/main" id="{00000000-0008-0000-2D00-0000217F0D00}"/>
            </a:ext>
          </a:extLst>
        </xdr:cNvPr>
        <xdr:cNvSpPr>
          <a:spLocks/>
        </xdr:cNvSpPr>
      </xdr:nvSpPr>
      <xdr:spPr bwMode="auto">
        <a:xfrm>
          <a:off x="4508500" y="1968500"/>
          <a:ext cx="146050" cy="1397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6</xdr:col>
      <xdr:colOff>361950</xdr:colOff>
      <xdr:row>10</xdr:row>
      <xdr:rowOff>6350</xdr:rowOff>
    </xdr:from>
    <xdr:to>
      <xdr:col>7</xdr:col>
      <xdr:colOff>19050</xdr:colOff>
      <xdr:row>10</xdr:row>
      <xdr:rowOff>139700</xdr:rowOff>
    </xdr:to>
    <xdr:sp macro="" textlink="">
      <xdr:nvSpPr>
        <xdr:cNvPr id="884514" name="Freeform 45">
          <a:extLst>
            <a:ext uri="{FF2B5EF4-FFF2-40B4-BE49-F238E27FC236}">
              <a16:creationId xmlns="" xmlns:a16="http://schemas.microsoft.com/office/drawing/2014/main" id="{00000000-0008-0000-2D00-0000227F0D00}"/>
            </a:ext>
          </a:extLst>
        </xdr:cNvPr>
        <xdr:cNvSpPr>
          <a:spLocks/>
        </xdr:cNvSpPr>
      </xdr:nvSpPr>
      <xdr:spPr bwMode="auto">
        <a:xfrm>
          <a:off x="5391150" y="1974850"/>
          <a:ext cx="495300" cy="1333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6</xdr:col>
      <xdr:colOff>298450</xdr:colOff>
      <xdr:row>7</xdr:row>
      <xdr:rowOff>57150</xdr:rowOff>
    </xdr:from>
    <xdr:to>
      <xdr:col>6</xdr:col>
      <xdr:colOff>298450</xdr:colOff>
      <xdr:row>10</xdr:row>
      <xdr:rowOff>63500</xdr:rowOff>
    </xdr:to>
    <xdr:sp macro="" textlink="">
      <xdr:nvSpPr>
        <xdr:cNvPr id="884515" name="Line 49">
          <a:extLst>
            <a:ext uri="{FF2B5EF4-FFF2-40B4-BE49-F238E27FC236}">
              <a16:creationId xmlns="" xmlns:a16="http://schemas.microsoft.com/office/drawing/2014/main" id="{00000000-0008-0000-2D00-0000237F0D00}"/>
            </a:ext>
          </a:extLst>
        </xdr:cNvPr>
        <xdr:cNvSpPr>
          <a:spLocks noChangeShapeType="1"/>
        </xdr:cNvSpPr>
      </xdr:nvSpPr>
      <xdr:spPr bwMode="auto">
        <a:xfrm>
          <a:off x="5327650" y="1435100"/>
          <a:ext cx="0" cy="596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476250</xdr:colOff>
      <xdr:row>5</xdr:row>
      <xdr:rowOff>95250</xdr:rowOff>
    </xdr:from>
    <xdr:to>
      <xdr:col>24</xdr:col>
      <xdr:colOff>374650</xdr:colOff>
      <xdr:row>7</xdr:row>
      <xdr:rowOff>19050</xdr:rowOff>
    </xdr:to>
    <xdr:sp macro="" textlink="">
      <xdr:nvSpPr>
        <xdr:cNvPr id="884516" name="Rectangle 53" descr="Recycled paper">
          <a:extLst>
            <a:ext uri="{FF2B5EF4-FFF2-40B4-BE49-F238E27FC236}">
              <a16:creationId xmlns="" xmlns:a16="http://schemas.microsoft.com/office/drawing/2014/main" id="{00000000-0008-0000-2D00-0000247F0D00}"/>
            </a:ext>
          </a:extLst>
        </xdr:cNvPr>
        <xdr:cNvSpPr>
          <a:spLocks noChangeArrowheads="1"/>
        </xdr:cNvSpPr>
      </xdr:nvSpPr>
      <xdr:spPr bwMode="auto">
        <a:xfrm>
          <a:off x="17240250" y="1079500"/>
          <a:ext cx="3251200" cy="317500"/>
        </a:xfrm>
        <a:prstGeom prst="rect">
          <a:avLst/>
        </a:prstGeom>
        <a:blipFill dpi="0" rotWithShape="0">
          <a:blip xmlns:r="http://schemas.openxmlformats.org/officeDocument/2006/relationships" r:embed="rId5"/>
          <a:srcRect/>
          <a:tile tx="0" ty="0" sx="100000" sy="100000" flip="none" algn="tl"/>
        </a:blipFill>
        <a:ln w="9525">
          <a:solidFill>
            <a:srgbClr val="000000"/>
          </a:solidFill>
          <a:miter lim="800000"/>
          <a:headEnd/>
          <a:tailEnd/>
        </a:ln>
      </xdr:spPr>
    </xdr:sp>
    <xdr:clientData/>
  </xdr:twoCellAnchor>
  <xdr:twoCellAnchor>
    <xdr:from>
      <xdr:col>20</xdr:col>
      <xdr:colOff>463550</xdr:colOff>
      <xdr:row>5</xdr:row>
      <xdr:rowOff>95250</xdr:rowOff>
    </xdr:from>
    <xdr:to>
      <xdr:col>21</xdr:col>
      <xdr:colOff>196850</xdr:colOff>
      <xdr:row>31</xdr:row>
      <xdr:rowOff>6350</xdr:rowOff>
    </xdr:to>
    <xdr:sp macro="" textlink="">
      <xdr:nvSpPr>
        <xdr:cNvPr id="884517" name="Rectangle 54" descr="Recycled paper">
          <a:extLst>
            <a:ext uri="{FF2B5EF4-FFF2-40B4-BE49-F238E27FC236}">
              <a16:creationId xmlns="" xmlns:a16="http://schemas.microsoft.com/office/drawing/2014/main" id="{00000000-0008-0000-2D00-0000257F0D00}"/>
            </a:ext>
          </a:extLst>
        </xdr:cNvPr>
        <xdr:cNvSpPr>
          <a:spLocks noChangeArrowheads="1"/>
        </xdr:cNvSpPr>
      </xdr:nvSpPr>
      <xdr:spPr bwMode="auto">
        <a:xfrm>
          <a:off x="17227550" y="1079500"/>
          <a:ext cx="571500" cy="5029200"/>
        </a:xfrm>
        <a:prstGeom prst="rect">
          <a:avLst/>
        </a:prstGeom>
        <a:blipFill dpi="0" rotWithShape="0">
          <a:blip xmlns:r="http://schemas.openxmlformats.org/officeDocument/2006/relationships" r:embed="rId5"/>
          <a:srcRect/>
          <a:tile tx="0" ty="0" sx="100000" sy="100000" flip="none" algn="tl"/>
        </a:blipFill>
        <a:ln w="9525">
          <a:solidFill>
            <a:srgbClr val="000000"/>
          </a:solidFill>
          <a:miter lim="800000"/>
          <a:headEnd/>
          <a:tailEnd/>
        </a:ln>
      </xdr:spPr>
    </xdr:sp>
    <xdr:clientData/>
  </xdr:twoCellAnchor>
  <xdr:twoCellAnchor>
    <xdr:from>
      <xdr:col>21</xdr:col>
      <xdr:colOff>196850</xdr:colOff>
      <xdr:row>23</xdr:row>
      <xdr:rowOff>101600</xdr:rowOff>
    </xdr:from>
    <xdr:to>
      <xdr:col>24</xdr:col>
      <xdr:colOff>171450</xdr:colOff>
      <xdr:row>25</xdr:row>
      <xdr:rowOff>19050</xdr:rowOff>
    </xdr:to>
    <xdr:sp macro="" textlink="">
      <xdr:nvSpPr>
        <xdr:cNvPr id="884518" name="Rectangle 55" descr="Recycled paper">
          <a:extLst>
            <a:ext uri="{FF2B5EF4-FFF2-40B4-BE49-F238E27FC236}">
              <a16:creationId xmlns="" xmlns:a16="http://schemas.microsoft.com/office/drawing/2014/main" id="{00000000-0008-0000-2D00-0000267F0D00}"/>
            </a:ext>
          </a:extLst>
        </xdr:cNvPr>
        <xdr:cNvSpPr>
          <a:spLocks noChangeArrowheads="1"/>
        </xdr:cNvSpPr>
      </xdr:nvSpPr>
      <xdr:spPr bwMode="auto">
        <a:xfrm>
          <a:off x="17799050" y="4629150"/>
          <a:ext cx="2489200" cy="311150"/>
        </a:xfrm>
        <a:prstGeom prst="rect">
          <a:avLst/>
        </a:prstGeom>
        <a:blipFill dpi="0" rotWithShape="0">
          <a:blip xmlns:r="http://schemas.openxmlformats.org/officeDocument/2006/relationships" r:embed="rId5"/>
          <a:srcRect/>
          <a:tile tx="0" ty="0" sx="100000" sy="100000" flip="none" algn="tl"/>
        </a:blipFill>
        <a:ln w="9525">
          <a:solidFill>
            <a:srgbClr val="000000"/>
          </a:solidFill>
          <a:miter lim="800000"/>
          <a:headEnd/>
          <a:tailEnd/>
        </a:ln>
      </xdr:spPr>
    </xdr:sp>
    <xdr:clientData/>
  </xdr:twoCellAnchor>
  <xdr:twoCellAnchor>
    <xdr:from>
      <xdr:col>21</xdr:col>
      <xdr:colOff>196850</xdr:colOff>
      <xdr:row>25</xdr:row>
      <xdr:rowOff>19050</xdr:rowOff>
    </xdr:from>
    <xdr:to>
      <xdr:col>24</xdr:col>
      <xdr:colOff>171450</xdr:colOff>
      <xdr:row>26</xdr:row>
      <xdr:rowOff>95250</xdr:rowOff>
    </xdr:to>
    <xdr:sp macro="" textlink="">
      <xdr:nvSpPr>
        <xdr:cNvPr id="884519" name="Rectangle 56" descr="Recycled paper">
          <a:extLst>
            <a:ext uri="{FF2B5EF4-FFF2-40B4-BE49-F238E27FC236}">
              <a16:creationId xmlns="" xmlns:a16="http://schemas.microsoft.com/office/drawing/2014/main" id="{00000000-0008-0000-2D00-0000277F0D00}"/>
            </a:ext>
          </a:extLst>
        </xdr:cNvPr>
        <xdr:cNvSpPr>
          <a:spLocks noChangeArrowheads="1"/>
        </xdr:cNvSpPr>
      </xdr:nvSpPr>
      <xdr:spPr bwMode="auto">
        <a:xfrm>
          <a:off x="17799050" y="4940300"/>
          <a:ext cx="2489200" cy="273050"/>
        </a:xfrm>
        <a:prstGeom prst="rect">
          <a:avLst/>
        </a:prstGeom>
        <a:blipFill dpi="0" rotWithShape="0">
          <a:blip xmlns:r="http://schemas.openxmlformats.org/officeDocument/2006/relationships" r:embed="rId5"/>
          <a:srcRect/>
          <a:tile tx="0" ty="0" sx="100000" sy="100000" flip="none" algn="tl"/>
        </a:blipFill>
        <a:ln w="9525">
          <a:solidFill>
            <a:srgbClr val="000000"/>
          </a:solidFill>
          <a:miter lim="800000"/>
          <a:headEnd/>
          <a:tailEnd/>
        </a:ln>
      </xdr:spPr>
    </xdr:sp>
    <xdr:clientData/>
  </xdr:twoCellAnchor>
  <xdr:twoCellAnchor>
    <xdr:from>
      <xdr:col>21</xdr:col>
      <xdr:colOff>196850</xdr:colOff>
      <xdr:row>26</xdr:row>
      <xdr:rowOff>95250</xdr:rowOff>
    </xdr:from>
    <xdr:to>
      <xdr:col>24</xdr:col>
      <xdr:colOff>171450</xdr:colOff>
      <xdr:row>28</xdr:row>
      <xdr:rowOff>19050</xdr:rowOff>
    </xdr:to>
    <xdr:sp macro="" textlink="">
      <xdr:nvSpPr>
        <xdr:cNvPr id="884520" name="Rectangle 57" descr="Recycled paper">
          <a:extLst>
            <a:ext uri="{FF2B5EF4-FFF2-40B4-BE49-F238E27FC236}">
              <a16:creationId xmlns="" xmlns:a16="http://schemas.microsoft.com/office/drawing/2014/main" id="{00000000-0008-0000-2D00-0000287F0D00}"/>
            </a:ext>
          </a:extLst>
        </xdr:cNvPr>
        <xdr:cNvSpPr>
          <a:spLocks noChangeArrowheads="1"/>
        </xdr:cNvSpPr>
      </xdr:nvSpPr>
      <xdr:spPr bwMode="auto">
        <a:xfrm>
          <a:off x="17799050" y="5213350"/>
          <a:ext cx="2489200" cy="317500"/>
        </a:xfrm>
        <a:prstGeom prst="rect">
          <a:avLst/>
        </a:prstGeom>
        <a:blipFill dpi="0" rotWithShape="0">
          <a:blip xmlns:r="http://schemas.openxmlformats.org/officeDocument/2006/relationships" r:embed="rId5"/>
          <a:srcRect/>
          <a:tile tx="0" ty="0" sx="100000" sy="100000" flip="none" algn="tl"/>
        </a:blipFill>
        <a:ln w="9525">
          <a:solidFill>
            <a:srgbClr val="000000"/>
          </a:solidFill>
          <a:miter lim="800000"/>
          <a:headEnd/>
          <a:tailEnd/>
        </a:ln>
      </xdr:spPr>
    </xdr:sp>
    <xdr:clientData/>
  </xdr:twoCellAnchor>
  <xdr:twoCellAnchor>
    <xdr:from>
      <xdr:col>21</xdr:col>
      <xdr:colOff>196850</xdr:colOff>
      <xdr:row>28</xdr:row>
      <xdr:rowOff>19050</xdr:rowOff>
    </xdr:from>
    <xdr:to>
      <xdr:col>24</xdr:col>
      <xdr:colOff>171450</xdr:colOff>
      <xdr:row>29</xdr:row>
      <xdr:rowOff>82550</xdr:rowOff>
    </xdr:to>
    <xdr:sp macro="" textlink="">
      <xdr:nvSpPr>
        <xdr:cNvPr id="884521" name="Rectangle 58" descr="Recycled paper">
          <a:extLst>
            <a:ext uri="{FF2B5EF4-FFF2-40B4-BE49-F238E27FC236}">
              <a16:creationId xmlns="" xmlns:a16="http://schemas.microsoft.com/office/drawing/2014/main" id="{00000000-0008-0000-2D00-0000297F0D00}"/>
            </a:ext>
          </a:extLst>
        </xdr:cNvPr>
        <xdr:cNvSpPr>
          <a:spLocks noChangeArrowheads="1"/>
        </xdr:cNvSpPr>
      </xdr:nvSpPr>
      <xdr:spPr bwMode="auto">
        <a:xfrm>
          <a:off x="17799050" y="5530850"/>
          <a:ext cx="2489200" cy="260350"/>
        </a:xfrm>
        <a:prstGeom prst="rect">
          <a:avLst/>
        </a:prstGeom>
        <a:blipFill dpi="0" rotWithShape="0">
          <a:blip xmlns:r="http://schemas.openxmlformats.org/officeDocument/2006/relationships" r:embed="rId5"/>
          <a:srcRect/>
          <a:tile tx="0" ty="0" sx="100000" sy="100000" flip="none" algn="tl"/>
        </a:blipFill>
        <a:ln w="9525">
          <a:solidFill>
            <a:srgbClr val="000000"/>
          </a:solidFill>
          <a:miter lim="800000"/>
          <a:headEnd/>
          <a:tailEnd/>
        </a:ln>
      </xdr:spPr>
    </xdr:sp>
    <xdr:clientData/>
  </xdr:twoCellAnchor>
  <xdr:twoCellAnchor>
    <xdr:from>
      <xdr:col>21</xdr:col>
      <xdr:colOff>196850</xdr:colOff>
      <xdr:row>29</xdr:row>
      <xdr:rowOff>82550</xdr:rowOff>
    </xdr:from>
    <xdr:to>
      <xdr:col>24</xdr:col>
      <xdr:colOff>171450</xdr:colOff>
      <xdr:row>31</xdr:row>
      <xdr:rowOff>6350</xdr:rowOff>
    </xdr:to>
    <xdr:sp macro="" textlink="">
      <xdr:nvSpPr>
        <xdr:cNvPr id="884522" name="Rectangle 59" descr="Recycled paper">
          <a:extLst>
            <a:ext uri="{FF2B5EF4-FFF2-40B4-BE49-F238E27FC236}">
              <a16:creationId xmlns="" xmlns:a16="http://schemas.microsoft.com/office/drawing/2014/main" id="{00000000-0008-0000-2D00-00002A7F0D00}"/>
            </a:ext>
          </a:extLst>
        </xdr:cNvPr>
        <xdr:cNvSpPr>
          <a:spLocks noChangeArrowheads="1"/>
        </xdr:cNvSpPr>
      </xdr:nvSpPr>
      <xdr:spPr bwMode="auto">
        <a:xfrm>
          <a:off x="17799050" y="5791200"/>
          <a:ext cx="2489200" cy="317500"/>
        </a:xfrm>
        <a:prstGeom prst="rect">
          <a:avLst/>
        </a:prstGeom>
        <a:blipFill dpi="0" rotWithShape="0">
          <a:blip xmlns:r="http://schemas.openxmlformats.org/officeDocument/2006/relationships" r:embed="rId5"/>
          <a:srcRect/>
          <a:tile tx="0" ty="0" sx="100000" sy="100000" flip="none" algn="tl"/>
        </a:blipFill>
        <a:ln w="9525">
          <a:solidFill>
            <a:srgbClr val="000000"/>
          </a:solidFill>
          <a:miter lim="800000"/>
          <a:headEnd/>
          <a:tailEnd/>
        </a:ln>
      </xdr:spPr>
    </xdr:sp>
    <xdr:clientData/>
  </xdr:twoCellAnchor>
  <xdr:twoCellAnchor>
    <xdr:from>
      <xdr:col>21</xdr:col>
      <xdr:colOff>196850</xdr:colOff>
      <xdr:row>22</xdr:row>
      <xdr:rowOff>25400</xdr:rowOff>
    </xdr:from>
    <xdr:to>
      <xdr:col>24</xdr:col>
      <xdr:colOff>171450</xdr:colOff>
      <xdr:row>23</xdr:row>
      <xdr:rowOff>101600</xdr:rowOff>
    </xdr:to>
    <xdr:sp macro="" textlink="">
      <xdr:nvSpPr>
        <xdr:cNvPr id="884523" name="Rectangle 60" descr="Recycled paper">
          <a:extLst>
            <a:ext uri="{FF2B5EF4-FFF2-40B4-BE49-F238E27FC236}">
              <a16:creationId xmlns="" xmlns:a16="http://schemas.microsoft.com/office/drawing/2014/main" id="{00000000-0008-0000-2D00-00002B7F0D00}"/>
            </a:ext>
          </a:extLst>
        </xdr:cNvPr>
        <xdr:cNvSpPr>
          <a:spLocks noChangeArrowheads="1"/>
        </xdr:cNvSpPr>
      </xdr:nvSpPr>
      <xdr:spPr bwMode="auto">
        <a:xfrm>
          <a:off x="17799050" y="4356100"/>
          <a:ext cx="2489200" cy="273050"/>
        </a:xfrm>
        <a:prstGeom prst="rect">
          <a:avLst/>
        </a:prstGeom>
        <a:blipFill dpi="0" rotWithShape="0">
          <a:blip xmlns:r="http://schemas.openxmlformats.org/officeDocument/2006/relationships" r:embed="rId5"/>
          <a:srcRect/>
          <a:tile tx="0" ty="0" sx="100000" sy="100000" flip="none" algn="tl"/>
        </a:blipFill>
        <a:ln w="9525">
          <a:solidFill>
            <a:srgbClr val="000000"/>
          </a:solidFill>
          <a:miter lim="800000"/>
          <a:headEnd/>
          <a:tailEnd/>
        </a:ln>
      </xdr:spPr>
    </xdr:sp>
    <xdr:clientData/>
  </xdr:twoCellAnchor>
  <xdr:twoCellAnchor>
    <xdr:from>
      <xdr:col>24</xdr:col>
      <xdr:colOff>171450</xdr:colOff>
      <xdr:row>22</xdr:row>
      <xdr:rowOff>25400</xdr:rowOff>
    </xdr:from>
    <xdr:to>
      <xdr:col>24</xdr:col>
      <xdr:colOff>387350</xdr:colOff>
      <xdr:row>31</xdr:row>
      <xdr:rowOff>6350</xdr:rowOff>
    </xdr:to>
    <xdr:sp macro="" textlink="">
      <xdr:nvSpPr>
        <xdr:cNvPr id="884524" name="Rectangle 61" descr="Recycled paper">
          <a:extLst>
            <a:ext uri="{FF2B5EF4-FFF2-40B4-BE49-F238E27FC236}">
              <a16:creationId xmlns="" xmlns:a16="http://schemas.microsoft.com/office/drawing/2014/main" id="{00000000-0008-0000-2D00-00002C7F0D00}"/>
            </a:ext>
          </a:extLst>
        </xdr:cNvPr>
        <xdr:cNvSpPr>
          <a:spLocks noChangeArrowheads="1"/>
        </xdr:cNvSpPr>
      </xdr:nvSpPr>
      <xdr:spPr bwMode="auto">
        <a:xfrm>
          <a:off x="20288250" y="4356100"/>
          <a:ext cx="215900" cy="1752600"/>
        </a:xfrm>
        <a:prstGeom prst="rect">
          <a:avLst/>
        </a:prstGeom>
        <a:blipFill dpi="0" rotWithShape="0">
          <a:blip xmlns:r="http://schemas.openxmlformats.org/officeDocument/2006/relationships" r:embed="rId5"/>
          <a:srcRect/>
          <a:tile tx="0" ty="0" sx="100000" sy="100000" flip="none" algn="tl"/>
        </a:blipFill>
        <a:ln w="9525">
          <a:solidFill>
            <a:srgbClr val="000000"/>
          </a:solidFill>
          <a:miter lim="800000"/>
          <a:headEnd/>
          <a:tailEnd/>
        </a:ln>
      </xdr:spPr>
    </xdr:sp>
    <xdr:clientData/>
  </xdr:twoCellAnchor>
  <xdr:twoCellAnchor>
    <xdr:from>
      <xdr:col>21</xdr:col>
      <xdr:colOff>190500</xdr:colOff>
      <xdr:row>4</xdr:row>
      <xdr:rowOff>63500</xdr:rowOff>
    </xdr:from>
    <xdr:to>
      <xdr:col>24</xdr:col>
      <xdr:colOff>374650</xdr:colOff>
      <xdr:row>4</xdr:row>
      <xdr:rowOff>63500</xdr:rowOff>
    </xdr:to>
    <xdr:sp macro="" textlink="">
      <xdr:nvSpPr>
        <xdr:cNvPr id="884525" name="Line 65">
          <a:extLst>
            <a:ext uri="{FF2B5EF4-FFF2-40B4-BE49-F238E27FC236}">
              <a16:creationId xmlns="" xmlns:a16="http://schemas.microsoft.com/office/drawing/2014/main" id="{00000000-0008-0000-2D00-00002D7F0D00}"/>
            </a:ext>
          </a:extLst>
        </xdr:cNvPr>
        <xdr:cNvSpPr>
          <a:spLocks noChangeShapeType="1"/>
        </xdr:cNvSpPr>
      </xdr:nvSpPr>
      <xdr:spPr bwMode="auto">
        <a:xfrm flipV="1">
          <a:off x="17792700" y="850900"/>
          <a:ext cx="2698750" cy="0"/>
        </a:xfrm>
        <a:prstGeom prst="line">
          <a:avLst/>
        </a:prstGeom>
        <a:noFill/>
        <a:ln w="9525">
          <a:solidFill>
            <a:srgbClr val="000000"/>
          </a:solidFill>
          <a:round/>
          <a:headEnd type="triangle" w="sm" len="med"/>
          <a:tailEnd type="triangle" w="sm" len="med"/>
        </a:ln>
        <a:extLst>
          <a:ext uri="{909E8E84-426E-40DD-AFC4-6F175D3DCCD1}">
            <a14:hiddenFill xmlns:a14="http://schemas.microsoft.com/office/drawing/2010/main">
              <a:noFill/>
            </a14:hiddenFill>
          </a:ext>
        </a:extLst>
      </xdr:spPr>
    </xdr:sp>
    <xdr:clientData/>
  </xdr:twoCellAnchor>
  <xdr:twoCellAnchor>
    <xdr:from>
      <xdr:col>22</xdr:col>
      <xdr:colOff>369570</xdr:colOff>
      <xdr:row>3</xdr:row>
      <xdr:rowOff>35560</xdr:rowOff>
    </xdr:from>
    <xdr:to>
      <xdr:col>23</xdr:col>
      <xdr:colOff>231516</xdr:colOff>
      <xdr:row>4</xdr:row>
      <xdr:rowOff>78865</xdr:rowOff>
    </xdr:to>
    <xdr:sp macro="" textlink="">
      <xdr:nvSpPr>
        <xdr:cNvPr id="54" name="Text Box 66">
          <a:extLst>
            <a:ext uri="{FF2B5EF4-FFF2-40B4-BE49-F238E27FC236}">
              <a16:creationId xmlns="" xmlns:a16="http://schemas.microsoft.com/office/drawing/2014/main" id="{00000000-0008-0000-2D00-000036000000}"/>
            </a:ext>
          </a:extLst>
        </xdr:cNvPr>
        <xdr:cNvSpPr txBox="1">
          <a:spLocks noChangeArrowheads="1"/>
        </xdr:cNvSpPr>
      </xdr:nvSpPr>
      <xdr:spPr bwMode="auto">
        <a:xfrm>
          <a:off x="18897600" y="666750"/>
          <a:ext cx="695325" cy="237621"/>
        </a:xfrm>
        <a:prstGeom prst="rect">
          <a:avLst/>
        </a:prstGeom>
        <a:noFill/>
        <a:ln w="9525">
          <a:noFill/>
          <a:miter lim="800000"/>
          <a:headEnd/>
          <a:tailEnd/>
        </a:ln>
      </xdr:spPr>
      <xdr:txBody>
        <a:bodyPr vertOverflow="clip" wrap="square" lIns="27432" tIns="22860" rIns="0" bIns="0" anchor="t" upright="1"/>
        <a:lstStyle/>
        <a:p>
          <a:pPr algn="l" rtl="0">
            <a:defRPr sz="1000"/>
          </a:pPr>
          <a:r>
            <a:rPr lang="en-GB" sz="900" b="0" i="0" u="none" strike="noStrike" baseline="0">
              <a:solidFill>
                <a:srgbClr val="000000"/>
              </a:solidFill>
              <a:latin typeface="Arial"/>
              <a:cs typeface="Arial"/>
            </a:rPr>
            <a:t>1.00 m</a:t>
          </a:r>
        </a:p>
      </xdr:txBody>
    </xdr:sp>
    <xdr:clientData/>
  </xdr:twoCellAnchor>
  <xdr:twoCellAnchor>
    <xdr:from>
      <xdr:col>20</xdr:col>
      <xdr:colOff>463550</xdr:colOff>
      <xdr:row>4</xdr:row>
      <xdr:rowOff>63500</xdr:rowOff>
    </xdr:from>
    <xdr:to>
      <xdr:col>21</xdr:col>
      <xdr:colOff>222250</xdr:colOff>
      <xdr:row>4</xdr:row>
      <xdr:rowOff>63500</xdr:rowOff>
    </xdr:to>
    <xdr:sp macro="" textlink="">
      <xdr:nvSpPr>
        <xdr:cNvPr id="884527" name="Line 67">
          <a:extLst>
            <a:ext uri="{FF2B5EF4-FFF2-40B4-BE49-F238E27FC236}">
              <a16:creationId xmlns="" xmlns:a16="http://schemas.microsoft.com/office/drawing/2014/main" id="{00000000-0008-0000-2D00-00002F7F0D00}"/>
            </a:ext>
          </a:extLst>
        </xdr:cNvPr>
        <xdr:cNvSpPr>
          <a:spLocks noChangeShapeType="1"/>
        </xdr:cNvSpPr>
      </xdr:nvSpPr>
      <xdr:spPr bwMode="auto">
        <a:xfrm flipV="1">
          <a:off x="17227550" y="850900"/>
          <a:ext cx="596900" cy="0"/>
        </a:xfrm>
        <a:prstGeom prst="line">
          <a:avLst/>
        </a:prstGeom>
        <a:noFill/>
        <a:ln w="9525">
          <a:solidFill>
            <a:srgbClr val="000000"/>
          </a:solidFill>
          <a:round/>
          <a:headEnd type="triangle" w="sm" len="med"/>
          <a:tailEnd type="triangle" w="sm" len="med"/>
        </a:ln>
        <a:extLst>
          <a:ext uri="{909E8E84-426E-40DD-AFC4-6F175D3DCCD1}">
            <a14:hiddenFill xmlns:a14="http://schemas.microsoft.com/office/drawing/2010/main">
              <a:noFill/>
            </a14:hiddenFill>
          </a:ext>
        </a:extLst>
      </xdr:spPr>
    </xdr:sp>
    <xdr:clientData/>
  </xdr:twoCellAnchor>
  <xdr:twoCellAnchor>
    <xdr:from>
      <xdr:col>16</xdr:col>
      <xdr:colOff>328295</xdr:colOff>
      <xdr:row>0</xdr:row>
      <xdr:rowOff>149225</xdr:rowOff>
    </xdr:from>
    <xdr:to>
      <xdr:col>19</xdr:col>
      <xdr:colOff>173296</xdr:colOff>
      <xdr:row>2</xdr:row>
      <xdr:rowOff>111867</xdr:rowOff>
    </xdr:to>
    <xdr:sp macro="" textlink="">
      <xdr:nvSpPr>
        <xdr:cNvPr id="56" name="Text Box 77">
          <a:extLst>
            <a:ext uri="{FF2B5EF4-FFF2-40B4-BE49-F238E27FC236}">
              <a16:creationId xmlns="" xmlns:a16="http://schemas.microsoft.com/office/drawing/2014/main" id="{00000000-0008-0000-2D00-000038000000}"/>
            </a:ext>
          </a:extLst>
        </xdr:cNvPr>
        <xdr:cNvSpPr txBox="1">
          <a:spLocks noChangeArrowheads="1"/>
        </xdr:cNvSpPr>
      </xdr:nvSpPr>
      <xdr:spPr bwMode="auto">
        <a:xfrm>
          <a:off x="13811250" y="180975"/>
          <a:ext cx="2333625" cy="352299"/>
        </a:xfrm>
        <a:prstGeom prst="rect">
          <a:avLst/>
        </a:prstGeom>
        <a:noFill/>
        <a:ln w="9525">
          <a:noFill/>
          <a:miter lim="800000"/>
          <a:headEnd/>
          <a:tailEnd/>
        </a:ln>
      </xdr:spPr>
      <xdr:txBody>
        <a:bodyPr vertOverflow="clip" wrap="square" lIns="27432" tIns="22860" rIns="0" bIns="0" anchor="t" upright="1"/>
        <a:lstStyle/>
        <a:p>
          <a:pPr algn="l" rtl="0">
            <a:defRPr sz="1000"/>
          </a:pPr>
          <a:r>
            <a:rPr lang="en-GB" sz="900" b="0" i="0" u="none" strike="noStrike" baseline="0">
              <a:solidFill>
                <a:srgbClr val="000000"/>
              </a:solidFill>
              <a:latin typeface="Arial"/>
              <a:cs typeface="Arial"/>
            </a:rPr>
            <a:t>Max Hight of the walls = 0.9 m</a:t>
          </a:r>
        </a:p>
      </xdr:txBody>
    </xdr:sp>
    <xdr:clientData/>
  </xdr:twoCellAnchor>
  <xdr:twoCellAnchor>
    <xdr:from>
      <xdr:col>20</xdr:col>
      <xdr:colOff>254000</xdr:colOff>
      <xdr:row>5</xdr:row>
      <xdr:rowOff>114300</xdr:rowOff>
    </xdr:from>
    <xdr:to>
      <xdr:col>20</xdr:col>
      <xdr:colOff>254000</xdr:colOff>
      <xdr:row>31</xdr:row>
      <xdr:rowOff>19050</xdr:rowOff>
    </xdr:to>
    <xdr:sp macro="" textlink="">
      <xdr:nvSpPr>
        <xdr:cNvPr id="884529" name="Line 78">
          <a:extLst>
            <a:ext uri="{FF2B5EF4-FFF2-40B4-BE49-F238E27FC236}">
              <a16:creationId xmlns="" xmlns:a16="http://schemas.microsoft.com/office/drawing/2014/main" id="{00000000-0008-0000-2D00-0000317F0D00}"/>
            </a:ext>
          </a:extLst>
        </xdr:cNvPr>
        <xdr:cNvSpPr>
          <a:spLocks noChangeShapeType="1"/>
        </xdr:cNvSpPr>
      </xdr:nvSpPr>
      <xdr:spPr bwMode="auto">
        <a:xfrm>
          <a:off x="17018000" y="1098550"/>
          <a:ext cx="0" cy="5022850"/>
        </a:xfrm>
        <a:prstGeom prst="line">
          <a:avLst/>
        </a:prstGeom>
        <a:noFill/>
        <a:ln w="9525">
          <a:solidFill>
            <a:srgbClr val="000000"/>
          </a:solidFill>
          <a:round/>
          <a:headEnd type="triangle" w="sm" len="med"/>
          <a:tailEnd type="triangle" w="sm" len="med"/>
        </a:ln>
        <a:extLst>
          <a:ext uri="{909E8E84-426E-40DD-AFC4-6F175D3DCCD1}">
            <a14:hiddenFill xmlns:a14="http://schemas.microsoft.com/office/drawing/2010/main">
              <a:noFill/>
            </a14:hiddenFill>
          </a:ext>
        </a:extLst>
      </xdr:spPr>
    </xdr:sp>
    <xdr:clientData/>
  </xdr:twoCellAnchor>
  <xdr:twoCellAnchor>
    <xdr:from>
      <xdr:col>21</xdr:col>
      <xdr:colOff>241300</xdr:colOff>
      <xdr:row>32</xdr:row>
      <xdr:rowOff>19050</xdr:rowOff>
    </xdr:from>
    <xdr:to>
      <xdr:col>24</xdr:col>
      <xdr:colOff>165100</xdr:colOff>
      <xdr:row>32</xdr:row>
      <xdr:rowOff>19050</xdr:rowOff>
    </xdr:to>
    <xdr:sp macro="" textlink="">
      <xdr:nvSpPr>
        <xdr:cNvPr id="884530" name="Line 80">
          <a:extLst>
            <a:ext uri="{FF2B5EF4-FFF2-40B4-BE49-F238E27FC236}">
              <a16:creationId xmlns="" xmlns:a16="http://schemas.microsoft.com/office/drawing/2014/main" id="{00000000-0008-0000-2D00-0000327F0D00}"/>
            </a:ext>
          </a:extLst>
        </xdr:cNvPr>
        <xdr:cNvSpPr>
          <a:spLocks noChangeShapeType="1"/>
        </xdr:cNvSpPr>
      </xdr:nvSpPr>
      <xdr:spPr bwMode="auto">
        <a:xfrm flipV="1">
          <a:off x="17843500" y="6318250"/>
          <a:ext cx="2438400" cy="0"/>
        </a:xfrm>
        <a:prstGeom prst="line">
          <a:avLst/>
        </a:prstGeom>
        <a:noFill/>
        <a:ln w="9525">
          <a:solidFill>
            <a:srgbClr val="000000"/>
          </a:solidFill>
          <a:round/>
          <a:headEnd type="triangle" w="sm" len="med"/>
          <a:tailEnd type="triangle" w="sm" len="med"/>
        </a:ln>
        <a:extLst>
          <a:ext uri="{909E8E84-426E-40DD-AFC4-6F175D3DCCD1}">
            <a14:hiddenFill xmlns:a14="http://schemas.microsoft.com/office/drawing/2010/main">
              <a:noFill/>
            </a14:hiddenFill>
          </a:ext>
        </a:extLst>
      </xdr:spPr>
    </xdr:sp>
    <xdr:clientData/>
  </xdr:twoCellAnchor>
  <xdr:twoCellAnchor>
    <xdr:from>
      <xdr:col>22</xdr:col>
      <xdr:colOff>296545</xdr:colOff>
      <xdr:row>32</xdr:row>
      <xdr:rowOff>75565</xdr:rowOff>
    </xdr:from>
    <xdr:to>
      <xdr:col>23</xdr:col>
      <xdr:colOff>171170</xdr:colOff>
      <xdr:row>33</xdr:row>
      <xdr:rowOff>79826</xdr:rowOff>
    </xdr:to>
    <xdr:sp macro="" textlink="">
      <xdr:nvSpPr>
        <xdr:cNvPr id="59" name="Text Box 81">
          <a:extLst>
            <a:ext uri="{FF2B5EF4-FFF2-40B4-BE49-F238E27FC236}">
              <a16:creationId xmlns="" xmlns:a16="http://schemas.microsoft.com/office/drawing/2014/main" id="{00000000-0008-0000-2D00-00003B000000}"/>
            </a:ext>
          </a:extLst>
        </xdr:cNvPr>
        <xdr:cNvSpPr txBox="1">
          <a:spLocks noChangeArrowheads="1"/>
        </xdr:cNvSpPr>
      </xdr:nvSpPr>
      <xdr:spPr bwMode="auto">
        <a:xfrm>
          <a:off x="18802350" y="6486525"/>
          <a:ext cx="695325" cy="247745"/>
        </a:xfrm>
        <a:prstGeom prst="rect">
          <a:avLst/>
        </a:prstGeom>
        <a:noFill/>
        <a:ln w="9525">
          <a:noFill/>
          <a:miter lim="800000"/>
          <a:headEnd/>
          <a:tailEnd/>
        </a:ln>
      </xdr:spPr>
      <xdr:txBody>
        <a:bodyPr vertOverflow="clip" wrap="square" lIns="27432" tIns="22860" rIns="0" bIns="0" anchor="t" upright="1"/>
        <a:lstStyle/>
        <a:p>
          <a:pPr algn="l" rtl="0">
            <a:defRPr sz="1000"/>
          </a:pPr>
          <a:r>
            <a:rPr lang="en-GB" sz="900" b="0" i="0" u="none" strike="noStrike" baseline="0">
              <a:solidFill>
                <a:srgbClr val="000000"/>
              </a:solidFill>
              <a:latin typeface="Arial"/>
              <a:cs typeface="Arial"/>
            </a:rPr>
            <a:t>0.8 m</a:t>
          </a:r>
        </a:p>
      </xdr:txBody>
    </xdr:sp>
    <xdr:clientData/>
  </xdr:twoCellAnchor>
  <xdr:twoCellAnchor>
    <xdr:from>
      <xdr:col>24</xdr:col>
      <xdr:colOff>165100</xdr:colOff>
      <xdr:row>32</xdr:row>
      <xdr:rowOff>19050</xdr:rowOff>
    </xdr:from>
    <xdr:to>
      <xdr:col>24</xdr:col>
      <xdr:colOff>412750</xdr:colOff>
      <xdr:row>32</xdr:row>
      <xdr:rowOff>19050</xdr:rowOff>
    </xdr:to>
    <xdr:sp macro="" textlink="">
      <xdr:nvSpPr>
        <xdr:cNvPr id="884532" name="Line 82">
          <a:extLst>
            <a:ext uri="{FF2B5EF4-FFF2-40B4-BE49-F238E27FC236}">
              <a16:creationId xmlns="" xmlns:a16="http://schemas.microsoft.com/office/drawing/2014/main" id="{00000000-0008-0000-2D00-0000347F0D00}"/>
            </a:ext>
          </a:extLst>
        </xdr:cNvPr>
        <xdr:cNvSpPr>
          <a:spLocks noChangeShapeType="1"/>
        </xdr:cNvSpPr>
      </xdr:nvSpPr>
      <xdr:spPr bwMode="auto">
        <a:xfrm flipV="1">
          <a:off x="20281900" y="6318250"/>
          <a:ext cx="247650" cy="0"/>
        </a:xfrm>
        <a:prstGeom prst="line">
          <a:avLst/>
        </a:prstGeom>
        <a:noFill/>
        <a:ln w="9525">
          <a:solidFill>
            <a:srgbClr val="000000"/>
          </a:solidFill>
          <a:round/>
          <a:headEnd type="triangle" w="sm" len="med"/>
          <a:tailEnd type="triangle" w="sm" len="med"/>
        </a:ln>
        <a:extLst>
          <a:ext uri="{909E8E84-426E-40DD-AFC4-6F175D3DCCD1}">
            <a14:hiddenFill xmlns:a14="http://schemas.microsoft.com/office/drawing/2010/main">
              <a:noFill/>
            </a14:hiddenFill>
          </a:ext>
        </a:extLst>
      </xdr:spPr>
    </xdr:sp>
    <xdr:clientData/>
  </xdr:twoCellAnchor>
  <xdr:twoCellAnchor>
    <xdr:from>
      <xdr:col>24</xdr:col>
      <xdr:colOff>140335</xdr:colOff>
      <xdr:row>32</xdr:row>
      <xdr:rowOff>75565</xdr:rowOff>
    </xdr:from>
    <xdr:to>
      <xdr:col>25</xdr:col>
      <xdr:colOff>2347</xdr:colOff>
      <xdr:row>33</xdr:row>
      <xdr:rowOff>79826</xdr:rowOff>
    </xdr:to>
    <xdr:sp macro="" textlink="">
      <xdr:nvSpPr>
        <xdr:cNvPr id="61" name="Text Box 83">
          <a:extLst>
            <a:ext uri="{FF2B5EF4-FFF2-40B4-BE49-F238E27FC236}">
              <a16:creationId xmlns="" xmlns:a16="http://schemas.microsoft.com/office/drawing/2014/main" id="{00000000-0008-0000-2D00-00003D000000}"/>
            </a:ext>
          </a:extLst>
        </xdr:cNvPr>
        <xdr:cNvSpPr txBox="1">
          <a:spLocks noChangeArrowheads="1"/>
        </xdr:cNvSpPr>
      </xdr:nvSpPr>
      <xdr:spPr bwMode="auto">
        <a:xfrm>
          <a:off x="20288250" y="6486525"/>
          <a:ext cx="695325" cy="247745"/>
        </a:xfrm>
        <a:prstGeom prst="rect">
          <a:avLst/>
        </a:prstGeom>
        <a:noFill/>
        <a:ln w="9525">
          <a:noFill/>
          <a:miter lim="800000"/>
          <a:headEnd/>
          <a:tailEnd/>
        </a:ln>
      </xdr:spPr>
      <xdr:txBody>
        <a:bodyPr vertOverflow="clip" wrap="square" lIns="27432" tIns="22860" rIns="0" bIns="0" anchor="t" upright="1"/>
        <a:lstStyle/>
        <a:p>
          <a:pPr algn="l" rtl="0">
            <a:defRPr sz="1000"/>
          </a:pPr>
          <a:r>
            <a:rPr lang="en-GB" sz="900" b="0" i="0" u="none" strike="noStrike" baseline="0">
              <a:solidFill>
                <a:srgbClr val="000000"/>
              </a:solidFill>
              <a:latin typeface="Arial"/>
              <a:cs typeface="Arial"/>
            </a:rPr>
            <a:t>0.2 m</a:t>
          </a:r>
        </a:p>
      </xdr:txBody>
    </xdr:sp>
    <xdr:clientData/>
  </xdr:twoCellAnchor>
  <xdr:twoCellAnchor>
    <xdr:from>
      <xdr:col>20</xdr:col>
      <xdr:colOff>476250</xdr:colOff>
      <xdr:row>32</xdr:row>
      <xdr:rowOff>19050</xdr:rowOff>
    </xdr:from>
    <xdr:to>
      <xdr:col>21</xdr:col>
      <xdr:colOff>241300</xdr:colOff>
      <xdr:row>32</xdr:row>
      <xdr:rowOff>19050</xdr:rowOff>
    </xdr:to>
    <xdr:sp macro="" textlink="">
      <xdr:nvSpPr>
        <xdr:cNvPr id="884534" name="Line 84">
          <a:extLst>
            <a:ext uri="{FF2B5EF4-FFF2-40B4-BE49-F238E27FC236}">
              <a16:creationId xmlns="" xmlns:a16="http://schemas.microsoft.com/office/drawing/2014/main" id="{00000000-0008-0000-2D00-0000367F0D00}"/>
            </a:ext>
          </a:extLst>
        </xdr:cNvPr>
        <xdr:cNvSpPr>
          <a:spLocks noChangeShapeType="1"/>
        </xdr:cNvSpPr>
      </xdr:nvSpPr>
      <xdr:spPr bwMode="auto">
        <a:xfrm flipV="1">
          <a:off x="17240250" y="6318250"/>
          <a:ext cx="603250" cy="0"/>
        </a:xfrm>
        <a:prstGeom prst="line">
          <a:avLst/>
        </a:prstGeom>
        <a:noFill/>
        <a:ln w="9525">
          <a:solidFill>
            <a:srgbClr val="000000"/>
          </a:solidFill>
          <a:round/>
          <a:headEnd type="triangle" w="sm" len="med"/>
          <a:tailEnd type="triangle" w="sm" len="med"/>
        </a:ln>
        <a:extLst>
          <a:ext uri="{909E8E84-426E-40DD-AFC4-6F175D3DCCD1}">
            <a14:hiddenFill xmlns:a14="http://schemas.microsoft.com/office/drawing/2010/main">
              <a:noFill/>
            </a14:hiddenFill>
          </a:ext>
        </a:extLst>
      </xdr:spPr>
    </xdr:sp>
    <xdr:clientData/>
  </xdr:twoCellAnchor>
  <xdr:twoCellAnchor>
    <xdr:from>
      <xdr:col>20</xdr:col>
      <xdr:colOff>448310</xdr:colOff>
      <xdr:row>32</xdr:row>
      <xdr:rowOff>94615</xdr:rowOff>
    </xdr:from>
    <xdr:to>
      <xdr:col>21</xdr:col>
      <xdr:colOff>304300</xdr:colOff>
      <xdr:row>33</xdr:row>
      <xdr:rowOff>114111</xdr:rowOff>
    </xdr:to>
    <xdr:sp macro="" textlink="">
      <xdr:nvSpPr>
        <xdr:cNvPr id="63" name="Text Box 85">
          <a:extLst>
            <a:ext uri="{FF2B5EF4-FFF2-40B4-BE49-F238E27FC236}">
              <a16:creationId xmlns="" xmlns:a16="http://schemas.microsoft.com/office/drawing/2014/main" id="{00000000-0008-0000-2D00-00003F000000}"/>
            </a:ext>
          </a:extLst>
        </xdr:cNvPr>
        <xdr:cNvSpPr txBox="1">
          <a:spLocks noChangeArrowheads="1"/>
        </xdr:cNvSpPr>
      </xdr:nvSpPr>
      <xdr:spPr bwMode="auto">
        <a:xfrm>
          <a:off x="17287875" y="6496050"/>
          <a:ext cx="695325" cy="247745"/>
        </a:xfrm>
        <a:prstGeom prst="rect">
          <a:avLst/>
        </a:prstGeom>
        <a:solidFill>
          <a:srgbClr val="FFFFFF"/>
        </a:solidFill>
        <a:ln w="9525">
          <a:noFill/>
          <a:miter lim="800000"/>
          <a:headEnd/>
          <a:tailEnd/>
        </a:ln>
        <a:effectLst/>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0.2 m</a:t>
          </a:r>
        </a:p>
      </xdr:txBody>
    </xdr:sp>
    <xdr:clientData/>
  </xdr:twoCellAnchor>
  <xdr:twoCellAnchor>
    <xdr:from>
      <xdr:col>3</xdr:col>
      <xdr:colOff>38100</xdr:colOff>
      <xdr:row>20</xdr:row>
      <xdr:rowOff>57150</xdr:rowOff>
    </xdr:from>
    <xdr:to>
      <xdr:col>7</xdr:col>
      <xdr:colOff>0</xdr:colOff>
      <xdr:row>24</xdr:row>
      <xdr:rowOff>82550</xdr:rowOff>
    </xdr:to>
    <xdr:grpSp>
      <xdr:nvGrpSpPr>
        <xdr:cNvPr id="884536" name="Group 102">
          <a:extLst>
            <a:ext uri="{FF2B5EF4-FFF2-40B4-BE49-F238E27FC236}">
              <a16:creationId xmlns="" xmlns:a16="http://schemas.microsoft.com/office/drawing/2014/main" id="{00000000-0008-0000-2D00-0000387F0D00}"/>
            </a:ext>
          </a:extLst>
        </xdr:cNvPr>
        <xdr:cNvGrpSpPr>
          <a:grpSpLocks/>
        </xdr:cNvGrpSpPr>
      </xdr:nvGrpSpPr>
      <xdr:grpSpPr bwMode="auto">
        <a:xfrm>
          <a:off x="2552700" y="3994150"/>
          <a:ext cx="3314700" cy="812800"/>
          <a:chOff x="197" y="347"/>
          <a:chExt cx="251" cy="71"/>
        </a:xfrm>
      </xdr:grpSpPr>
      <xdr:sp macro="" textlink="">
        <xdr:nvSpPr>
          <xdr:cNvPr id="884688" name="Freeform 5">
            <a:extLst>
              <a:ext uri="{FF2B5EF4-FFF2-40B4-BE49-F238E27FC236}">
                <a16:creationId xmlns="" xmlns:a16="http://schemas.microsoft.com/office/drawing/2014/main" id="{00000000-0008-0000-2D00-0000D07F0D00}"/>
              </a:ext>
            </a:extLst>
          </xdr:cNvPr>
          <xdr:cNvSpPr>
            <a:spLocks/>
          </xdr:cNvSpPr>
        </xdr:nvSpPr>
        <xdr:spPr bwMode="auto">
          <a:xfrm>
            <a:off x="429" y="347"/>
            <a:ext cx="19" cy="15"/>
          </a:xfrm>
          <a:custGeom>
            <a:avLst/>
            <a:gdLst>
              <a:gd name="T0" fmla="*/ 0 w 18"/>
              <a:gd name="T1" fmla="*/ 459669 h 12"/>
              <a:gd name="T2" fmla="*/ 6 w 18"/>
              <a:gd name="T3" fmla="*/ 2068570 h 12"/>
              <a:gd name="T4" fmla="*/ 297 w 18"/>
              <a:gd name="T5" fmla="*/ 1773645 h 12"/>
              <a:gd name="T6" fmla="*/ 266 w 18"/>
              <a:gd name="T7" fmla="*/ 1418916 h 12"/>
              <a:gd name="T8" fmla="*/ 4 w 18"/>
              <a:gd name="T9" fmla="*/ 459669 h 12"/>
              <a:gd name="T10" fmla="*/ 0 w 18"/>
              <a:gd name="T11" fmla="*/ 459669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4689" name="Freeform 6">
            <a:extLst>
              <a:ext uri="{FF2B5EF4-FFF2-40B4-BE49-F238E27FC236}">
                <a16:creationId xmlns="" xmlns:a16="http://schemas.microsoft.com/office/drawing/2014/main" id="{00000000-0008-0000-2D00-0000D17F0D00}"/>
              </a:ext>
            </a:extLst>
          </xdr:cNvPr>
          <xdr:cNvSpPr>
            <a:spLocks/>
          </xdr:cNvSpPr>
        </xdr:nvSpPr>
        <xdr:spPr bwMode="auto">
          <a:xfrm>
            <a:off x="338" y="347"/>
            <a:ext cx="19" cy="15"/>
          </a:xfrm>
          <a:custGeom>
            <a:avLst/>
            <a:gdLst>
              <a:gd name="T0" fmla="*/ 0 w 18"/>
              <a:gd name="T1" fmla="*/ 459669 h 12"/>
              <a:gd name="T2" fmla="*/ 6 w 18"/>
              <a:gd name="T3" fmla="*/ 2068570 h 12"/>
              <a:gd name="T4" fmla="*/ 297 w 18"/>
              <a:gd name="T5" fmla="*/ 1773645 h 12"/>
              <a:gd name="T6" fmla="*/ 266 w 18"/>
              <a:gd name="T7" fmla="*/ 1418916 h 12"/>
              <a:gd name="T8" fmla="*/ 4 w 18"/>
              <a:gd name="T9" fmla="*/ 459669 h 12"/>
              <a:gd name="T10" fmla="*/ 0 w 18"/>
              <a:gd name="T11" fmla="*/ 459669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4690" name="Freeform 7">
            <a:extLst>
              <a:ext uri="{FF2B5EF4-FFF2-40B4-BE49-F238E27FC236}">
                <a16:creationId xmlns="" xmlns:a16="http://schemas.microsoft.com/office/drawing/2014/main" id="{00000000-0008-0000-2D00-0000D27F0D00}"/>
              </a:ext>
            </a:extLst>
          </xdr:cNvPr>
          <xdr:cNvSpPr>
            <a:spLocks/>
          </xdr:cNvSpPr>
        </xdr:nvSpPr>
        <xdr:spPr bwMode="auto">
          <a:xfrm>
            <a:off x="354" y="347"/>
            <a:ext cx="19" cy="15"/>
          </a:xfrm>
          <a:custGeom>
            <a:avLst/>
            <a:gdLst>
              <a:gd name="T0" fmla="*/ 0 w 18"/>
              <a:gd name="T1" fmla="*/ 459669 h 12"/>
              <a:gd name="T2" fmla="*/ 6 w 18"/>
              <a:gd name="T3" fmla="*/ 2068570 h 12"/>
              <a:gd name="T4" fmla="*/ 297 w 18"/>
              <a:gd name="T5" fmla="*/ 1773645 h 12"/>
              <a:gd name="T6" fmla="*/ 266 w 18"/>
              <a:gd name="T7" fmla="*/ 1418916 h 12"/>
              <a:gd name="T8" fmla="*/ 4 w 18"/>
              <a:gd name="T9" fmla="*/ 459669 h 12"/>
              <a:gd name="T10" fmla="*/ 0 w 18"/>
              <a:gd name="T11" fmla="*/ 459669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4691" name="Freeform 8">
            <a:extLst>
              <a:ext uri="{FF2B5EF4-FFF2-40B4-BE49-F238E27FC236}">
                <a16:creationId xmlns="" xmlns:a16="http://schemas.microsoft.com/office/drawing/2014/main" id="{00000000-0008-0000-2D00-0000D37F0D00}"/>
              </a:ext>
            </a:extLst>
          </xdr:cNvPr>
          <xdr:cNvSpPr>
            <a:spLocks/>
          </xdr:cNvSpPr>
        </xdr:nvSpPr>
        <xdr:spPr bwMode="auto">
          <a:xfrm>
            <a:off x="370" y="347"/>
            <a:ext cx="19" cy="15"/>
          </a:xfrm>
          <a:custGeom>
            <a:avLst/>
            <a:gdLst>
              <a:gd name="T0" fmla="*/ 0 w 18"/>
              <a:gd name="T1" fmla="*/ 459669 h 12"/>
              <a:gd name="T2" fmla="*/ 6 w 18"/>
              <a:gd name="T3" fmla="*/ 2068570 h 12"/>
              <a:gd name="T4" fmla="*/ 297 w 18"/>
              <a:gd name="T5" fmla="*/ 1773645 h 12"/>
              <a:gd name="T6" fmla="*/ 266 w 18"/>
              <a:gd name="T7" fmla="*/ 1418916 h 12"/>
              <a:gd name="T8" fmla="*/ 4 w 18"/>
              <a:gd name="T9" fmla="*/ 459669 h 12"/>
              <a:gd name="T10" fmla="*/ 0 w 18"/>
              <a:gd name="T11" fmla="*/ 459669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4692" name="Freeform 9">
            <a:extLst>
              <a:ext uri="{FF2B5EF4-FFF2-40B4-BE49-F238E27FC236}">
                <a16:creationId xmlns="" xmlns:a16="http://schemas.microsoft.com/office/drawing/2014/main" id="{00000000-0008-0000-2D00-0000D47F0D00}"/>
              </a:ext>
            </a:extLst>
          </xdr:cNvPr>
          <xdr:cNvSpPr>
            <a:spLocks/>
          </xdr:cNvSpPr>
        </xdr:nvSpPr>
        <xdr:spPr bwMode="auto">
          <a:xfrm>
            <a:off x="385" y="347"/>
            <a:ext cx="19" cy="15"/>
          </a:xfrm>
          <a:custGeom>
            <a:avLst/>
            <a:gdLst>
              <a:gd name="T0" fmla="*/ 0 w 18"/>
              <a:gd name="T1" fmla="*/ 459669 h 12"/>
              <a:gd name="T2" fmla="*/ 6 w 18"/>
              <a:gd name="T3" fmla="*/ 2068570 h 12"/>
              <a:gd name="T4" fmla="*/ 297 w 18"/>
              <a:gd name="T5" fmla="*/ 1773645 h 12"/>
              <a:gd name="T6" fmla="*/ 266 w 18"/>
              <a:gd name="T7" fmla="*/ 1418916 h 12"/>
              <a:gd name="T8" fmla="*/ 4 w 18"/>
              <a:gd name="T9" fmla="*/ 459669 h 12"/>
              <a:gd name="T10" fmla="*/ 0 w 18"/>
              <a:gd name="T11" fmla="*/ 459669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4693" name="Freeform 10">
            <a:extLst>
              <a:ext uri="{FF2B5EF4-FFF2-40B4-BE49-F238E27FC236}">
                <a16:creationId xmlns="" xmlns:a16="http://schemas.microsoft.com/office/drawing/2014/main" id="{00000000-0008-0000-2D00-0000D57F0D00}"/>
              </a:ext>
            </a:extLst>
          </xdr:cNvPr>
          <xdr:cNvSpPr>
            <a:spLocks/>
          </xdr:cNvSpPr>
        </xdr:nvSpPr>
        <xdr:spPr bwMode="auto">
          <a:xfrm>
            <a:off x="400" y="348"/>
            <a:ext cx="19" cy="15"/>
          </a:xfrm>
          <a:custGeom>
            <a:avLst/>
            <a:gdLst>
              <a:gd name="T0" fmla="*/ 0 w 18"/>
              <a:gd name="T1" fmla="*/ 459669 h 12"/>
              <a:gd name="T2" fmla="*/ 6 w 18"/>
              <a:gd name="T3" fmla="*/ 2068570 h 12"/>
              <a:gd name="T4" fmla="*/ 297 w 18"/>
              <a:gd name="T5" fmla="*/ 1773645 h 12"/>
              <a:gd name="T6" fmla="*/ 266 w 18"/>
              <a:gd name="T7" fmla="*/ 1418916 h 12"/>
              <a:gd name="T8" fmla="*/ 4 w 18"/>
              <a:gd name="T9" fmla="*/ 459669 h 12"/>
              <a:gd name="T10" fmla="*/ 0 w 18"/>
              <a:gd name="T11" fmla="*/ 459669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4694" name="Freeform 12">
            <a:extLst>
              <a:ext uri="{FF2B5EF4-FFF2-40B4-BE49-F238E27FC236}">
                <a16:creationId xmlns="" xmlns:a16="http://schemas.microsoft.com/office/drawing/2014/main" id="{00000000-0008-0000-2D00-0000D67F0D00}"/>
              </a:ext>
            </a:extLst>
          </xdr:cNvPr>
          <xdr:cNvSpPr>
            <a:spLocks/>
          </xdr:cNvSpPr>
        </xdr:nvSpPr>
        <xdr:spPr bwMode="auto">
          <a:xfrm>
            <a:off x="233" y="348"/>
            <a:ext cx="19" cy="15"/>
          </a:xfrm>
          <a:custGeom>
            <a:avLst/>
            <a:gdLst>
              <a:gd name="T0" fmla="*/ 0 w 18"/>
              <a:gd name="T1" fmla="*/ 459669 h 12"/>
              <a:gd name="T2" fmla="*/ 6 w 18"/>
              <a:gd name="T3" fmla="*/ 2068570 h 12"/>
              <a:gd name="T4" fmla="*/ 297 w 18"/>
              <a:gd name="T5" fmla="*/ 1773645 h 12"/>
              <a:gd name="T6" fmla="*/ 266 w 18"/>
              <a:gd name="T7" fmla="*/ 1418916 h 12"/>
              <a:gd name="T8" fmla="*/ 4 w 18"/>
              <a:gd name="T9" fmla="*/ 459669 h 12"/>
              <a:gd name="T10" fmla="*/ 0 w 18"/>
              <a:gd name="T11" fmla="*/ 459669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4695" name="Freeform 13">
            <a:extLst>
              <a:ext uri="{FF2B5EF4-FFF2-40B4-BE49-F238E27FC236}">
                <a16:creationId xmlns="" xmlns:a16="http://schemas.microsoft.com/office/drawing/2014/main" id="{00000000-0008-0000-2D00-0000D77F0D00}"/>
              </a:ext>
            </a:extLst>
          </xdr:cNvPr>
          <xdr:cNvSpPr>
            <a:spLocks/>
          </xdr:cNvSpPr>
        </xdr:nvSpPr>
        <xdr:spPr bwMode="auto">
          <a:xfrm>
            <a:off x="247" y="347"/>
            <a:ext cx="19" cy="15"/>
          </a:xfrm>
          <a:custGeom>
            <a:avLst/>
            <a:gdLst>
              <a:gd name="T0" fmla="*/ 0 w 18"/>
              <a:gd name="T1" fmla="*/ 459669 h 12"/>
              <a:gd name="T2" fmla="*/ 6 w 18"/>
              <a:gd name="T3" fmla="*/ 2068570 h 12"/>
              <a:gd name="T4" fmla="*/ 297 w 18"/>
              <a:gd name="T5" fmla="*/ 1773645 h 12"/>
              <a:gd name="T6" fmla="*/ 266 w 18"/>
              <a:gd name="T7" fmla="*/ 1418916 h 12"/>
              <a:gd name="T8" fmla="*/ 4 w 18"/>
              <a:gd name="T9" fmla="*/ 459669 h 12"/>
              <a:gd name="T10" fmla="*/ 0 w 18"/>
              <a:gd name="T11" fmla="*/ 459669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4696" name="Freeform 15">
            <a:extLst>
              <a:ext uri="{FF2B5EF4-FFF2-40B4-BE49-F238E27FC236}">
                <a16:creationId xmlns="" xmlns:a16="http://schemas.microsoft.com/office/drawing/2014/main" id="{00000000-0008-0000-2D00-0000D87F0D00}"/>
              </a:ext>
            </a:extLst>
          </xdr:cNvPr>
          <xdr:cNvSpPr>
            <a:spLocks/>
          </xdr:cNvSpPr>
        </xdr:nvSpPr>
        <xdr:spPr bwMode="auto">
          <a:xfrm>
            <a:off x="277" y="348"/>
            <a:ext cx="19" cy="15"/>
          </a:xfrm>
          <a:custGeom>
            <a:avLst/>
            <a:gdLst>
              <a:gd name="T0" fmla="*/ 0 w 18"/>
              <a:gd name="T1" fmla="*/ 459669 h 12"/>
              <a:gd name="T2" fmla="*/ 6 w 18"/>
              <a:gd name="T3" fmla="*/ 2068570 h 12"/>
              <a:gd name="T4" fmla="*/ 297 w 18"/>
              <a:gd name="T5" fmla="*/ 1773645 h 12"/>
              <a:gd name="T6" fmla="*/ 266 w 18"/>
              <a:gd name="T7" fmla="*/ 1418916 h 12"/>
              <a:gd name="T8" fmla="*/ 4 w 18"/>
              <a:gd name="T9" fmla="*/ 459669 h 12"/>
              <a:gd name="T10" fmla="*/ 0 w 18"/>
              <a:gd name="T11" fmla="*/ 459669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4697" name="Freeform 17">
            <a:extLst>
              <a:ext uri="{FF2B5EF4-FFF2-40B4-BE49-F238E27FC236}">
                <a16:creationId xmlns="" xmlns:a16="http://schemas.microsoft.com/office/drawing/2014/main" id="{00000000-0008-0000-2D00-0000D97F0D00}"/>
              </a:ext>
            </a:extLst>
          </xdr:cNvPr>
          <xdr:cNvSpPr>
            <a:spLocks/>
          </xdr:cNvSpPr>
        </xdr:nvSpPr>
        <xdr:spPr bwMode="auto">
          <a:xfrm>
            <a:off x="307" y="348"/>
            <a:ext cx="19" cy="15"/>
          </a:xfrm>
          <a:custGeom>
            <a:avLst/>
            <a:gdLst>
              <a:gd name="T0" fmla="*/ 0 w 18"/>
              <a:gd name="T1" fmla="*/ 459669 h 12"/>
              <a:gd name="T2" fmla="*/ 6 w 18"/>
              <a:gd name="T3" fmla="*/ 2068570 h 12"/>
              <a:gd name="T4" fmla="*/ 297 w 18"/>
              <a:gd name="T5" fmla="*/ 1773645 h 12"/>
              <a:gd name="T6" fmla="*/ 266 w 18"/>
              <a:gd name="T7" fmla="*/ 1418916 h 12"/>
              <a:gd name="T8" fmla="*/ 4 w 18"/>
              <a:gd name="T9" fmla="*/ 459669 h 12"/>
              <a:gd name="T10" fmla="*/ 0 w 18"/>
              <a:gd name="T11" fmla="*/ 459669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4698" name="Freeform 18">
            <a:extLst>
              <a:ext uri="{FF2B5EF4-FFF2-40B4-BE49-F238E27FC236}">
                <a16:creationId xmlns="" xmlns:a16="http://schemas.microsoft.com/office/drawing/2014/main" id="{00000000-0008-0000-2D00-0000DA7F0D00}"/>
              </a:ext>
            </a:extLst>
          </xdr:cNvPr>
          <xdr:cNvSpPr>
            <a:spLocks/>
          </xdr:cNvSpPr>
        </xdr:nvSpPr>
        <xdr:spPr bwMode="auto">
          <a:xfrm>
            <a:off x="323" y="348"/>
            <a:ext cx="19" cy="15"/>
          </a:xfrm>
          <a:custGeom>
            <a:avLst/>
            <a:gdLst>
              <a:gd name="T0" fmla="*/ 0 w 18"/>
              <a:gd name="T1" fmla="*/ 459669 h 12"/>
              <a:gd name="T2" fmla="*/ 6 w 18"/>
              <a:gd name="T3" fmla="*/ 2068570 h 12"/>
              <a:gd name="T4" fmla="*/ 297 w 18"/>
              <a:gd name="T5" fmla="*/ 1773645 h 12"/>
              <a:gd name="T6" fmla="*/ 266 w 18"/>
              <a:gd name="T7" fmla="*/ 1418916 h 12"/>
              <a:gd name="T8" fmla="*/ 4 w 18"/>
              <a:gd name="T9" fmla="*/ 459669 h 12"/>
              <a:gd name="T10" fmla="*/ 0 w 18"/>
              <a:gd name="T11" fmla="*/ 459669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4699" name="Freeform 25">
            <a:extLst>
              <a:ext uri="{FF2B5EF4-FFF2-40B4-BE49-F238E27FC236}">
                <a16:creationId xmlns="" xmlns:a16="http://schemas.microsoft.com/office/drawing/2014/main" id="{00000000-0008-0000-2D00-0000DB7F0D00}"/>
              </a:ext>
            </a:extLst>
          </xdr:cNvPr>
          <xdr:cNvSpPr>
            <a:spLocks/>
          </xdr:cNvSpPr>
        </xdr:nvSpPr>
        <xdr:spPr bwMode="auto">
          <a:xfrm>
            <a:off x="216" y="347"/>
            <a:ext cx="19" cy="15"/>
          </a:xfrm>
          <a:custGeom>
            <a:avLst/>
            <a:gdLst>
              <a:gd name="T0" fmla="*/ 0 w 18"/>
              <a:gd name="T1" fmla="*/ 459669 h 12"/>
              <a:gd name="T2" fmla="*/ 6 w 18"/>
              <a:gd name="T3" fmla="*/ 2068570 h 12"/>
              <a:gd name="T4" fmla="*/ 297 w 18"/>
              <a:gd name="T5" fmla="*/ 1773645 h 12"/>
              <a:gd name="T6" fmla="*/ 266 w 18"/>
              <a:gd name="T7" fmla="*/ 1418916 h 12"/>
              <a:gd name="T8" fmla="*/ 4 w 18"/>
              <a:gd name="T9" fmla="*/ 459669 h 12"/>
              <a:gd name="T10" fmla="*/ 0 w 18"/>
              <a:gd name="T11" fmla="*/ 459669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4700" name="Line 51">
            <a:extLst>
              <a:ext uri="{FF2B5EF4-FFF2-40B4-BE49-F238E27FC236}">
                <a16:creationId xmlns="" xmlns:a16="http://schemas.microsoft.com/office/drawing/2014/main" id="{00000000-0008-0000-2D00-0000DC7F0D00}"/>
              </a:ext>
            </a:extLst>
          </xdr:cNvPr>
          <xdr:cNvSpPr>
            <a:spLocks noChangeShapeType="1"/>
          </xdr:cNvSpPr>
        </xdr:nvSpPr>
        <xdr:spPr bwMode="auto">
          <a:xfrm>
            <a:off x="424" y="361"/>
            <a:ext cx="0" cy="5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84701" name="Line 52">
            <a:extLst>
              <a:ext uri="{FF2B5EF4-FFF2-40B4-BE49-F238E27FC236}">
                <a16:creationId xmlns="" xmlns:a16="http://schemas.microsoft.com/office/drawing/2014/main" id="{00000000-0008-0000-2D00-0000DD7F0D00}"/>
              </a:ext>
            </a:extLst>
          </xdr:cNvPr>
          <xdr:cNvSpPr>
            <a:spLocks noChangeShapeType="1"/>
          </xdr:cNvSpPr>
        </xdr:nvSpPr>
        <xdr:spPr bwMode="auto">
          <a:xfrm>
            <a:off x="407" y="364"/>
            <a:ext cx="0" cy="3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9" name="Text Box 90">
            <a:extLst>
              <a:ext uri="{FF2B5EF4-FFF2-40B4-BE49-F238E27FC236}">
                <a16:creationId xmlns="" xmlns:a16="http://schemas.microsoft.com/office/drawing/2014/main" id="{00000000-0008-0000-2D00-00004F000000}"/>
              </a:ext>
            </a:extLst>
          </xdr:cNvPr>
          <xdr:cNvSpPr txBox="1">
            <a:spLocks noChangeArrowheads="1"/>
          </xdr:cNvSpPr>
        </xdr:nvSpPr>
        <xdr:spPr bwMode="auto">
          <a:xfrm>
            <a:off x="197" y="393"/>
            <a:ext cx="67" cy="2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moellons</a:t>
            </a:r>
          </a:p>
        </xdr:txBody>
      </xdr:sp>
      <xdr:sp macro="" textlink="">
        <xdr:nvSpPr>
          <xdr:cNvPr id="884703" name="Line 91">
            <a:extLst>
              <a:ext uri="{FF2B5EF4-FFF2-40B4-BE49-F238E27FC236}">
                <a16:creationId xmlns="" xmlns:a16="http://schemas.microsoft.com/office/drawing/2014/main" id="{00000000-0008-0000-2D00-0000DF7F0D00}"/>
              </a:ext>
            </a:extLst>
          </xdr:cNvPr>
          <xdr:cNvSpPr>
            <a:spLocks noChangeShapeType="1"/>
          </xdr:cNvSpPr>
        </xdr:nvSpPr>
        <xdr:spPr bwMode="auto">
          <a:xfrm flipV="1">
            <a:off x="251" y="357"/>
            <a:ext cx="19" cy="38"/>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grpSp>
    <xdr:clientData/>
  </xdr:twoCellAnchor>
  <xdr:twoCellAnchor>
    <xdr:from>
      <xdr:col>3</xdr:col>
      <xdr:colOff>102870</xdr:colOff>
      <xdr:row>6</xdr:row>
      <xdr:rowOff>18415</xdr:rowOff>
    </xdr:from>
    <xdr:to>
      <xdr:col>4</xdr:col>
      <xdr:colOff>420609</xdr:colOff>
      <xdr:row>7</xdr:row>
      <xdr:rowOff>95172</xdr:rowOff>
    </xdr:to>
    <xdr:sp macro="" textlink="">
      <xdr:nvSpPr>
        <xdr:cNvPr id="81" name="Text Box 94">
          <a:extLst>
            <a:ext uri="{FF2B5EF4-FFF2-40B4-BE49-F238E27FC236}">
              <a16:creationId xmlns="" xmlns:a16="http://schemas.microsoft.com/office/drawing/2014/main" id="{00000000-0008-0000-2D00-000051000000}"/>
            </a:ext>
          </a:extLst>
        </xdr:cNvPr>
        <xdr:cNvSpPr txBox="1">
          <a:spLocks noChangeArrowheads="1"/>
        </xdr:cNvSpPr>
      </xdr:nvSpPr>
      <xdr:spPr bwMode="auto">
        <a:xfrm>
          <a:off x="2628900" y="1209675"/>
          <a:ext cx="1238250" cy="29477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1100" b="0" i="0" u="none" strike="noStrike" baseline="0">
              <a:solidFill>
                <a:srgbClr val="000000"/>
              </a:solidFill>
              <a:latin typeface="Arial"/>
              <a:cs typeface="Arial"/>
            </a:rPr>
            <a:t>Terrain natural</a:t>
          </a:r>
        </a:p>
      </xdr:txBody>
    </xdr:sp>
    <xdr:clientData/>
  </xdr:twoCellAnchor>
  <xdr:twoCellAnchor>
    <xdr:from>
      <xdr:col>3</xdr:col>
      <xdr:colOff>456565</xdr:colOff>
      <xdr:row>11</xdr:row>
      <xdr:rowOff>56515</xdr:rowOff>
    </xdr:from>
    <xdr:to>
      <xdr:col>5</xdr:col>
      <xdr:colOff>457197</xdr:colOff>
      <xdr:row>14</xdr:row>
      <xdr:rowOff>57820</xdr:rowOff>
    </xdr:to>
    <xdr:sp macro="" textlink="">
      <xdr:nvSpPr>
        <xdr:cNvPr id="82" name="Text Box 95">
          <a:extLst>
            <a:ext uri="{FF2B5EF4-FFF2-40B4-BE49-F238E27FC236}">
              <a16:creationId xmlns="" xmlns:a16="http://schemas.microsoft.com/office/drawing/2014/main" id="{00000000-0008-0000-2D00-000052000000}"/>
            </a:ext>
          </a:extLst>
        </xdr:cNvPr>
        <xdr:cNvSpPr txBox="1">
          <a:spLocks noChangeArrowheads="1"/>
        </xdr:cNvSpPr>
      </xdr:nvSpPr>
      <xdr:spPr bwMode="auto">
        <a:xfrm>
          <a:off x="3076575" y="2286000"/>
          <a:ext cx="1685925" cy="590550"/>
        </a:xfrm>
        <a:prstGeom prst="rect">
          <a:avLst/>
        </a:prstGeom>
        <a:solidFill>
          <a:srgbClr val="FFFFFF"/>
        </a:solidFill>
        <a:ln w="9525">
          <a:noFill/>
          <a:miter lim="800000"/>
          <a:headEnd/>
          <a:tailEnd/>
        </a:ln>
        <a:effectLst/>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Massif filtrant de gravier (D=5-25mm) et moellons</a:t>
          </a:r>
        </a:p>
      </xdr:txBody>
    </xdr:sp>
    <xdr:clientData/>
  </xdr:twoCellAnchor>
  <xdr:twoCellAnchor>
    <xdr:from>
      <xdr:col>6</xdr:col>
      <xdr:colOff>361950</xdr:colOff>
      <xdr:row>24</xdr:row>
      <xdr:rowOff>57150</xdr:rowOff>
    </xdr:from>
    <xdr:to>
      <xdr:col>7</xdr:col>
      <xdr:colOff>120650</xdr:colOff>
      <xdr:row>27</xdr:row>
      <xdr:rowOff>0</xdr:rowOff>
    </xdr:to>
    <xdr:sp macro="" textlink="">
      <xdr:nvSpPr>
        <xdr:cNvPr id="884539" name="Line 96">
          <a:extLst>
            <a:ext uri="{FF2B5EF4-FFF2-40B4-BE49-F238E27FC236}">
              <a16:creationId xmlns="" xmlns:a16="http://schemas.microsoft.com/office/drawing/2014/main" id="{00000000-0008-0000-2D00-00003B7F0D00}"/>
            </a:ext>
          </a:extLst>
        </xdr:cNvPr>
        <xdr:cNvSpPr>
          <a:spLocks noChangeShapeType="1"/>
        </xdr:cNvSpPr>
      </xdr:nvSpPr>
      <xdr:spPr bwMode="auto">
        <a:xfrm flipV="1">
          <a:off x="5391150" y="4781550"/>
          <a:ext cx="596900" cy="53340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4</xdr:col>
      <xdr:colOff>370205</xdr:colOff>
      <xdr:row>27</xdr:row>
      <xdr:rowOff>36830</xdr:rowOff>
    </xdr:from>
    <xdr:to>
      <xdr:col>8</xdr:col>
      <xdr:colOff>231686</xdr:colOff>
      <xdr:row>30</xdr:row>
      <xdr:rowOff>58020</xdr:rowOff>
    </xdr:to>
    <xdr:sp macro="" textlink="">
      <xdr:nvSpPr>
        <xdr:cNvPr id="84" name="Text Box 97">
          <a:extLst>
            <a:ext uri="{FF2B5EF4-FFF2-40B4-BE49-F238E27FC236}">
              <a16:creationId xmlns="" xmlns:a16="http://schemas.microsoft.com/office/drawing/2014/main" id="{00000000-0008-0000-2D00-000054000000}"/>
            </a:ext>
          </a:extLst>
        </xdr:cNvPr>
        <xdr:cNvSpPr txBox="1">
          <a:spLocks noChangeArrowheads="1"/>
        </xdr:cNvSpPr>
      </xdr:nvSpPr>
      <xdr:spPr bwMode="auto">
        <a:xfrm>
          <a:off x="3819525" y="5457825"/>
          <a:ext cx="3200400" cy="60007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Mur de captage (en beton dose' a 300 kg/m3) - dimensions moyennes L=2.0m; l=0.2m max; H=0.8m ancre' dans le sol impermeable</a:t>
          </a:r>
        </a:p>
      </xdr:txBody>
    </xdr:sp>
    <xdr:clientData/>
  </xdr:twoCellAnchor>
  <xdr:twoCellAnchor>
    <xdr:from>
      <xdr:col>7</xdr:col>
      <xdr:colOff>317500</xdr:colOff>
      <xdr:row>5</xdr:row>
      <xdr:rowOff>139700</xdr:rowOff>
    </xdr:from>
    <xdr:to>
      <xdr:col>7</xdr:col>
      <xdr:colOff>317500</xdr:colOff>
      <xdr:row>25</xdr:row>
      <xdr:rowOff>19050</xdr:rowOff>
    </xdr:to>
    <xdr:sp macro="" textlink="">
      <xdr:nvSpPr>
        <xdr:cNvPr id="884541" name="Line 98">
          <a:extLst>
            <a:ext uri="{FF2B5EF4-FFF2-40B4-BE49-F238E27FC236}">
              <a16:creationId xmlns="" xmlns:a16="http://schemas.microsoft.com/office/drawing/2014/main" id="{00000000-0008-0000-2D00-00003D7F0D00}"/>
            </a:ext>
          </a:extLst>
        </xdr:cNvPr>
        <xdr:cNvSpPr>
          <a:spLocks noChangeShapeType="1"/>
        </xdr:cNvSpPr>
      </xdr:nvSpPr>
      <xdr:spPr bwMode="auto">
        <a:xfrm>
          <a:off x="6184900" y="1123950"/>
          <a:ext cx="0" cy="3816350"/>
        </a:xfrm>
        <a:prstGeom prst="line">
          <a:avLst/>
        </a:prstGeom>
        <a:noFill/>
        <a:ln w="9525">
          <a:solidFill>
            <a:srgbClr val="000000"/>
          </a:solidFill>
          <a:round/>
          <a:headEnd type="triangle" w="sm" len="med"/>
          <a:tailEnd type="triangle" w="sm" len="med"/>
        </a:ln>
        <a:extLst>
          <a:ext uri="{909E8E84-426E-40DD-AFC4-6F175D3DCCD1}">
            <a14:hiddenFill xmlns:a14="http://schemas.microsoft.com/office/drawing/2010/main">
              <a:noFill/>
            </a14:hiddenFill>
          </a:ext>
        </a:extLst>
      </xdr:spPr>
    </xdr:sp>
    <xdr:clientData/>
  </xdr:twoCellAnchor>
  <xdr:twoCellAnchor>
    <xdr:from>
      <xdr:col>7</xdr:col>
      <xdr:colOff>323850</xdr:colOff>
      <xdr:row>12</xdr:row>
      <xdr:rowOff>96520</xdr:rowOff>
    </xdr:from>
    <xdr:to>
      <xdr:col>8</xdr:col>
      <xdr:colOff>235442</xdr:colOff>
      <xdr:row>13</xdr:row>
      <xdr:rowOff>116303</xdr:rowOff>
    </xdr:to>
    <xdr:sp macro="" textlink="">
      <xdr:nvSpPr>
        <xdr:cNvPr id="86" name="Text Box 99">
          <a:extLst>
            <a:ext uri="{FF2B5EF4-FFF2-40B4-BE49-F238E27FC236}">
              <a16:creationId xmlns="" xmlns:a16="http://schemas.microsoft.com/office/drawing/2014/main" id="{00000000-0008-0000-2D00-000056000000}"/>
            </a:ext>
          </a:extLst>
        </xdr:cNvPr>
        <xdr:cNvSpPr txBox="1">
          <a:spLocks noChangeArrowheads="1"/>
        </xdr:cNvSpPr>
      </xdr:nvSpPr>
      <xdr:spPr bwMode="auto">
        <a:xfrm>
          <a:off x="6296025" y="2524125"/>
          <a:ext cx="695325" cy="24774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2.00 m</a:t>
          </a:r>
        </a:p>
      </xdr:txBody>
    </xdr:sp>
    <xdr:clientData/>
  </xdr:twoCellAnchor>
  <xdr:twoCellAnchor>
    <xdr:from>
      <xdr:col>6</xdr:col>
      <xdr:colOff>476250</xdr:colOff>
      <xdr:row>5</xdr:row>
      <xdr:rowOff>44450</xdr:rowOff>
    </xdr:from>
    <xdr:to>
      <xdr:col>7</xdr:col>
      <xdr:colOff>241300</xdr:colOff>
      <xdr:row>5</xdr:row>
      <xdr:rowOff>44450</xdr:rowOff>
    </xdr:to>
    <xdr:sp macro="" textlink="">
      <xdr:nvSpPr>
        <xdr:cNvPr id="884543" name="Line 100">
          <a:extLst>
            <a:ext uri="{FF2B5EF4-FFF2-40B4-BE49-F238E27FC236}">
              <a16:creationId xmlns="" xmlns:a16="http://schemas.microsoft.com/office/drawing/2014/main" id="{00000000-0008-0000-2D00-00003F7F0D00}"/>
            </a:ext>
          </a:extLst>
        </xdr:cNvPr>
        <xdr:cNvSpPr>
          <a:spLocks noChangeShapeType="1"/>
        </xdr:cNvSpPr>
      </xdr:nvSpPr>
      <xdr:spPr bwMode="auto">
        <a:xfrm flipV="1">
          <a:off x="5505450" y="1028700"/>
          <a:ext cx="603250" cy="0"/>
        </a:xfrm>
        <a:prstGeom prst="line">
          <a:avLst/>
        </a:prstGeom>
        <a:noFill/>
        <a:ln w="9525">
          <a:solidFill>
            <a:srgbClr val="000000"/>
          </a:solidFill>
          <a:round/>
          <a:headEnd type="triangle" w="sm" len="med"/>
          <a:tailEnd type="triangle" w="sm" len="med"/>
        </a:ln>
        <a:extLst>
          <a:ext uri="{909E8E84-426E-40DD-AFC4-6F175D3DCCD1}">
            <a14:hiddenFill xmlns:a14="http://schemas.microsoft.com/office/drawing/2010/main">
              <a:noFill/>
            </a14:hiddenFill>
          </a:ext>
        </a:extLst>
      </xdr:spPr>
    </xdr:sp>
    <xdr:clientData/>
  </xdr:twoCellAnchor>
  <xdr:twoCellAnchor>
    <xdr:from>
      <xdr:col>6</xdr:col>
      <xdr:colOff>448945</xdr:colOff>
      <xdr:row>3</xdr:row>
      <xdr:rowOff>114935</xdr:rowOff>
    </xdr:from>
    <xdr:to>
      <xdr:col>7</xdr:col>
      <xdr:colOff>326554</xdr:colOff>
      <xdr:row>5</xdr:row>
      <xdr:rowOff>20197</xdr:rowOff>
    </xdr:to>
    <xdr:sp macro="" textlink="">
      <xdr:nvSpPr>
        <xdr:cNvPr id="88" name="Text Box 101">
          <a:extLst>
            <a:ext uri="{FF2B5EF4-FFF2-40B4-BE49-F238E27FC236}">
              <a16:creationId xmlns="" xmlns:a16="http://schemas.microsoft.com/office/drawing/2014/main" id="{00000000-0008-0000-2D00-000058000000}"/>
            </a:ext>
          </a:extLst>
        </xdr:cNvPr>
        <xdr:cNvSpPr txBox="1">
          <a:spLocks noChangeArrowheads="1"/>
        </xdr:cNvSpPr>
      </xdr:nvSpPr>
      <xdr:spPr bwMode="auto">
        <a:xfrm>
          <a:off x="5572125" y="771525"/>
          <a:ext cx="695325" cy="247146"/>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0.2 m</a:t>
          </a:r>
        </a:p>
      </xdr:txBody>
    </xdr:sp>
    <xdr:clientData/>
  </xdr:twoCellAnchor>
  <xdr:twoCellAnchor>
    <xdr:from>
      <xdr:col>3</xdr:col>
      <xdr:colOff>177800</xdr:colOff>
      <xdr:row>18</xdr:row>
      <xdr:rowOff>139700</xdr:rowOff>
    </xdr:from>
    <xdr:to>
      <xdr:col>3</xdr:col>
      <xdr:colOff>323850</xdr:colOff>
      <xdr:row>19</xdr:row>
      <xdr:rowOff>114300</xdr:rowOff>
    </xdr:to>
    <xdr:sp macro="" textlink="">
      <xdr:nvSpPr>
        <xdr:cNvPr id="884545" name="Freeform 104">
          <a:extLst>
            <a:ext uri="{FF2B5EF4-FFF2-40B4-BE49-F238E27FC236}">
              <a16:creationId xmlns="" xmlns:a16="http://schemas.microsoft.com/office/drawing/2014/main" id="{00000000-0008-0000-2D00-0000417F0D00}"/>
            </a:ext>
          </a:extLst>
        </xdr:cNvPr>
        <xdr:cNvSpPr>
          <a:spLocks/>
        </xdr:cNvSpPr>
      </xdr:nvSpPr>
      <xdr:spPr bwMode="auto">
        <a:xfrm>
          <a:off x="2692400" y="3683000"/>
          <a:ext cx="146050" cy="171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190500</xdr:colOff>
      <xdr:row>19</xdr:row>
      <xdr:rowOff>95250</xdr:rowOff>
    </xdr:from>
    <xdr:to>
      <xdr:col>3</xdr:col>
      <xdr:colOff>330200</xdr:colOff>
      <xdr:row>20</xdr:row>
      <xdr:rowOff>82550</xdr:rowOff>
    </xdr:to>
    <xdr:sp macro="" textlink="">
      <xdr:nvSpPr>
        <xdr:cNvPr id="884546" name="Freeform 105">
          <a:extLst>
            <a:ext uri="{FF2B5EF4-FFF2-40B4-BE49-F238E27FC236}">
              <a16:creationId xmlns="" xmlns:a16="http://schemas.microsoft.com/office/drawing/2014/main" id="{00000000-0008-0000-2D00-0000427F0D00}"/>
            </a:ext>
          </a:extLst>
        </xdr:cNvPr>
        <xdr:cNvSpPr>
          <a:spLocks/>
        </xdr:cNvSpPr>
      </xdr:nvSpPr>
      <xdr:spPr bwMode="auto">
        <a:xfrm>
          <a:off x="2705100" y="3835400"/>
          <a:ext cx="139700" cy="1841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11</xdr:col>
      <xdr:colOff>190500</xdr:colOff>
      <xdr:row>16</xdr:row>
      <xdr:rowOff>76200</xdr:rowOff>
    </xdr:from>
    <xdr:to>
      <xdr:col>11</xdr:col>
      <xdr:colOff>361950</xdr:colOff>
      <xdr:row>21</xdr:row>
      <xdr:rowOff>120650</xdr:rowOff>
    </xdr:to>
    <xdr:sp macro="" textlink="">
      <xdr:nvSpPr>
        <xdr:cNvPr id="884547" name="Line 106">
          <a:extLst>
            <a:ext uri="{FF2B5EF4-FFF2-40B4-BE49-F238E27FC236}">
              <a16:creationId xmlns="" xmlns:a16="http://schemas.microsoft.com/office/drawing/2014/main" id="{00000000-0008-0000-2D00-0000437F0D00}"/>
            </a:ext>
          </a:extLst>
        </xdr:cNvPr>
        <xdr:cNvSpPr>
          <a:spLocks noChangeShapeType="1"/>
        </xdr:cNvSpPr>
      </xdr:nvSpPr>
      <xdr:spPr bwMode="auto">
        <a:xfrm flipV="1">
          <a:off x="9410700" y="3225800"/>
          <a:ext cx="171450" cy="102870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9</xdr:col>
      <xdr:colOff>475615</xdr:colOff>
      <xdr:row>21</xdr:row>
      <xdr:rowOff>114935</xdr:rowOff>
    </xdr:from>
    <xdr:to>
      <xdr:col>12</xdr:col>
      <xdr:colOff>354223</xdr:colOff>
      <xdr:row>24</xdr:row>
      <xdr:rowOff>134770</xdr:rowOff>
    </xdr:to>
    <xdr:sp macro="" textlink="">
      <xdr:nvSpPr>
        <xdr:cNvPr id="92" name="Text Box 107">
          <a:extLst>
            <a:ext uri="{FF2B5EF4-FFF2-40B4-BE49-F238E27FC236}">
              <a16:creationId xmlns="" xmlns:a16="http://schemas.microsoft.com/office/drawing/2014/main" id="{00000000-0008-0000-2D00-00005C000000}"/>
            </a:ext>
          </a:extLst>
        </xdr:cNvPr>
        <xdr:cNvSpPr txBox="1">
          <a:spLocks noChangeArrowheads="1"/>
        </xdr:cNvSpPr>
      </xdr:nvSpPr>
      <xdr:spPr bwMode="auto">
        <a:xfrm>
          <a:off x="8115300" y="4362450"/>
          <a:ext cx="2381250" cy="60007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Tuyau d'adduction PVC50 PN10 - minimum slope/pente 3% en direction du réservoir</a:t>
          </a:r>
        </a:p>
      </xdr:txBody>
    </xdr:sp>
    <xdr:clientData/>
  </xdr:twoCellAnchor>
  <xdr:twoCellAnchor>
    <xdr:from>
      <xdr:col>8</xdr:col>
      <xdr:colOff>88900</xdr:colOff>
      <xdr:row>16</xdr:row>
      <xdr:rowOff>120650</xdr:rowOff>
    </xdr:from>
    <xdr:to>
      <xdr:col>9</xdr:col>
      <xdr:colOff>88900</xdr:colOff>
      <xdr:row>16</xdr:row>
      <xdr:rowOff>120650</xdr:rowOff>
    </xdr:to>
    <xdr:sp macro="" textlink="">
      <xdr:nvSpPr>
        <xdr:cNvPr id="884549" name="Line 108">
          <a:extLst>
            <a:ext uri="{FF2B5EF4-FFF2-40B4-BE49-F238E27FC236}">
              <a16:creationId xmlns="" xmlns:a16="http://schemas.microsoft.com/office/drawing/2014/main" id="{00000000-0008-0000-2D00-0000457F0D00}"/>
            </a:ext>
          </a:extLst>
        </xdr:cNvPr>
        <xdr:cNvSpPr>
          <a:spLocks noChangeShapeType="1"/>
        </xdr:cNvSpPr>
      </xdr:nvSpPr>
      <xdr:spPr bwMode="auto">
        <a:xfrm flipV="1">
          <a:off x="6794500" y="3270250"/>
          <a:ext cx="838200" cy="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8</xdr:col>
      <xdr:colOff>103505</xdr:colOff>
      <xdr:row>17</xdr:row>
      <xdr:rowOff>0</xdr:rowOff>
    </xdr:from>
    <xdr:to>
      <xdr:col>9</xdr:col>
      <xdr:colOff>141733</xdr:colOff>
      <xdr:row>18</xdr:row>
      <xdr:rowOff>61067</xdr:rowOff>
    </xdr:to>
    <xdr:sp macro="" textlink="">
      <xdr:nvSpPr>
        <xdr:cNvPr id="94" name="Text Box 109">
          <a:extLst>
            <a:ext uri="{FF2B5EF4-FFF2-40B4-BE49-F238E27FC236}">
              <a16:creationId xmlns="" xmlns:a16="http://schemas.microsoft.com/office/drawing/2014/main" id="{00000000-0008-0000-2D00-00005E000000}"/>
            </a:ext>
          </a:extLst>
        </xdr:cNvPr>
        <xdr:cNvSpPr txBox="1">
          <a:spLocks noChangeArrowheads="1"/>
        </xdr:cNvSpPr>
      </xdr:nvSpPr>
      <xdr:spPr bwMode="auto">
        <a:xfrm>
          <a:off x="6838950" y="3400425"/>
          <a:ext cx="866775" cy="238224"/>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3% pente</a:t>
          </a:r>
        </a:p>
      </xdr:txBody>
    </xdr:sp>
    <xdr:clientData/>
  </xdr:twoCellAnchor>
  <xdr:twoCellAnchor>
    <xdr:from>
      <xdr:col>17</xdr:col>
      <xdr:colOff>268605</xdr:colOff>
      <xdr:row>8</xdr:row>
      <xdr:rowOff>61595</xdr:rowOff>
    </xdr:from>
    <xdr:to>
      <xdr:col>20</xdr:col>
      <xdr:colOff>174783</xdr:colOff>
      <xdr:row>10</xdr:row>
      <xdr:rowOff>3341</xdr:rowOff>
    </xdr:to>
    <xdr:sp macro="" textlink="">
      <xdr:nvSpPr>
        <xdr:cNvPr id="95" name="Text Box 110">
          <a:extLst>
            <a:ext uri="{FF2B5EF4-FFF2-40B4-BE49-F238E27FC236}">
              <a16:creationId xmlns="" xmlns:a16="http://schemas.microsoft.com/office/drawing/2014/main" id="{00000000-0008-0000-2D00-00005F000000}"/>
            </a:ext>
          </a:extLst>
        </xdr:cNvPr>
        <xdr:cNvSpPr txBox="1">
          <a:spLocks noChangeArrowheads="1"/>
        </xdr:cNvSpPr>
      </xdr:nvSpPr>
      <xdr:spPr bwMode="auto">
        <a:xfrm>
          <a:off x="14582775" y="1619250"/>
          <a:ext cx="2381250" cy="40005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Tuyau de trop-plein PVC50 PN10 </a:t>
          </a:r>
        </a:p>
      </xdr:txBody>
    </xdr:sp>
    <xdr:clientData/>
  </xdr:twoCellAnchor>
  <xdr:twoCellAnchor>
    <xdr:from>
      <xdr:col>18</xdr:col>
      <xdr:colOff>406400</xdr:colOff>
      <xdr:row>9</xdr:row>
      <xdr:rowOff>76200</xdr:rowOff>
    </xdr:from>
    <xdr:to>
      <xdr:col>18</xdr:col>
      <xdr:colOff>482600</xdr:colOff>
      <xdr:row>14</xdr:row>
      <xdr:rowOff>139700</xdr:rowOff>
    </xdr:to>
    <xdr:sp macro="" textlink="">
      <xdr:nvSpPr>
        <xdr:cNvPr id="884552" name="Line 111">
          <a:extLst>
            <a:ext uri="{FF2B5EF4-FFF2-40B4-BE49-F238E27FC236}">
              <a16:creationId xmlns="" xmlns:a16="http://schemas.microsoft.com/office/drawing/2014/main" id="{00000000-0008-0000-2D00-0000487F0D00}"/>
            </a:ext>
          </a:extLst>
        </xdr:cNvPr>
        <xdr:cNvSpPr>
          <a:spLocks noChangeShapeType="1"/>
        </xdr:cNvSpPr>
      </xdr:nvSpPr>
      <xdr:spPr bwMode="auto">
        <a:xfrm>
          <a:off x="15494000" y="1847850"/>
          <a:ext cx="76200" cy="10477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5</xdr:col>
      <xdr:colOff>209550</xdr:colOff>
      <xdr:row>16</xdr:row>
      <xdr:rowOff>57150</xdr:rowOff>
    </xdr:from>
    <xdr:to>
      <xdr:col>6</xdr:col>
      <xdr:colOff>171450</xdr:colOff>
      <xdr:row>18</xdr:row>
      <xdr:rowOff>63500</xdr:rowOff>
    </xdr:to>
    <xdr:sp macro="" textlink="">
      <xdr:nvSpPr>
        <xdr:cNvPr id="884553" name="Line 113">
          <a:extLst>
            <a:ext uri="{FF2B5EF4-FFF2-40B4-BE49-F238E27FC236}">
              <a16:creationId xmlns="" xmlns:a16="http://schemas.microsoft.com/office/drawing/2014/main" id="{00000000-0008-0000-2D00-0000497F0D00}"/>
            </a:ext>
          </a:extLst>
        </xdr:cNvPr>
        <xdr:cNvSpPr>
          <a:spLocks noChangeShapeType="1"/>
        </xdr:cNvSpPr>
      </xdr:nvSpPr>
      <xdr:spPr bwMode="auto">
        <a:xfrm flipV="1">
          <a:off x="4400550" y="3206750"/>
          <a:ext cx="800100" cy="4000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4</xdr:col>
      <xdr:colOff>190499</xdr:colOff>
      <xdr:row>18</xdr:row>
      <xdr:rowOff>56515</xdr:rowOff>
    </xdr:from>
    <xdr:to>
      <xdr:col>6</xdr:col>
      <xdr:colOff>136223</xdr:colOff>
      <xdr:row>19</xdr:row>
      <xdr:rowOff>75168</xdr:rowOff>
    </xdr:to>
    <xdr:sp macro="" textlink="">
      <xdr:nvSpPr>
        <xdr:cNvPr id="98" name="Text Box 114">
          <a:extLst>
            <a:ext uri="{FF2B5EF4-FFF2-40B4-BE49-F238E27FC236}">
              <a16:creationId xmlns="" xmlns:a16="http://schemas.microsoft.com/office/drawing/2014/main" id="{00000000-0008-0000-2D00-000062000000}"/>
            </a:ext>
          </a:extLst>
        </xdr:cNvPr>
        <xdr:cNvSpPr txBox="1">
          <a:spLocks noChangeArrowheads="1"/>
        </xdr:cNvSpPr>
      </xdr:nvSpPr>
      <xdr:spPr bwMode="auto">
        <a:xfrm>
          <a:off x="3600449" y="3667125"/>
          <a:ext cx="1571625" cy="257175"/>
        </a:xfrm>
        <a:prstGeom prst="rect">
          <a:avLst/>
        </a:prstGeom>
        <a:solidFill>
          <a:srgbClr val="FFFFFF"/>
        </a:solidFill>
        <a:ln w="9525">
          <a:noFill/>
          <a:miter lim="800000"/>
          <a:headEnd/>
          <a:tailEnd/>
        </a:ln>
        <a:effectLst/>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Tuyau d'alimentation</a:t>
          </a:r>
        </a:p>
      </xdr:txBody>
    </xdr:sp>
    <xdr:clientData/>
  </xdr:twoCellAnchor>
  <xdr:twoCellAnchor>
    <xdr:from>
      <xdr:col>7</xdr:col>
      <xdr:colOff>448945</xdr:colOff>
      <xdr:row>4</xdr:row>
      <xdr:rowOff>96520</xdr:rowOff>
    </xdr:from>
    <xdr:to>
      <xdr:col>9</xdr:col>
      <xdr:colOff>456635</xdr:colOff>
      <xdr:row>5</xdr:row>
      <xdr:rowOff>175851</xdr:rowOff>
    </xdr:to>
    <xdr:sp macro="" textlink="">
      <xdr:nvSpPr>
        <xdr:cNvPr id="99" name="Text Box 117">
          <a:extLst>
            <a:ext uri="{FF2B5EF4-FFF2-40B4-BE49-F238E27FC236}">
              <a16:creationId xmlns="" xmlns:a16="http://schemas.microsoft.com/office/drawing/2014/main" id="{00000000-0008-0000-2D00-000063000000}"/>
            </a:ext>
          </a:extLst>
        </xdr:cNvPr>
        <xdr:cNvSpPr txBox="1">
          <a:spLocks noChangeArrowheads="1"/>
        </xdr:cNvSpPr>
      </xdr:nvSpPr>
      <xdr:spPr bwMode="auto">
        <a:xfrm>
          <a:off x="6410325" y="904875"/>
          <a:ext cx="1695450" cy="28772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1100" b="0" i="0" u="none" strike="noStrike" baseline="0">
              <a:solidFill>
                <a:srgbClr val="000000"/>
              </a:solidFill>
              <a:latin typeface="Arial"/>
              <a:cs typeface="Arial"/>
            </a:rPr>
            <a:t>Terrain remblais</a:t>
          </a:r>
        </a:p>
      </xdr:txBody>
    </xdr:sp>
    <xdr:clientData/>
  </xdr:twoCellAnchor>
  <xdr:twoCellAnchor>
    <xdr:from>
      <xdr:col>20</xdr:col>
      <xdr:colOff>254000</xdr:colOff>
      <xdr:row>30</xdr:row>
      <xdr:rowOff>120650</xdr:rowOff>
    </xdr:from>
    <xdr:to>
      <xdr:col>21</xdr:col>
      <xdr:colOff>38100</xdr:colOff>
      <xdr:row>32</xdr:row>
      <xdr:rowOff>139700</xdr:rowOff>
    </xdr:to>
    <xdr:sp macro="" textlink="">
      <xdr:nvSpPr>
        <xdr:cNvPr id="884556" name="Line 118">
          <a:extLst>
            <a:ext uri="{FF2B5EF4-FFF2-40B4-BE49-F238E27FC236}">
              <a16:creationId xmlns="" xmlns:a16="http://schemas.microsoft.com/office/drawing/2014/main" id="{00000000-0008-0000-2D00-00004C7F0D00}"/>
            </a:ext>
          </a:extLst>
        </xdr:cNvPr>
        <xdr:cNvSpPr>
          <a:spLocks noChangeShapeType="1"/>
        </xdr:cNvSpPr>
      </xdr:nvSpPr>
      <xdr:spPr bwMode="auto">
        <a:xfrm flipV="1">
          <a:off x="17018000" y="6026150"/>
          <a:ext cx="622300" cy="4127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17</xdr:col>
      <xdr:colOff>57785</xdr:colOff>
      <xdr:row>32</xdr:row>
      <xdr:rowOff>96520</xdr:rowOff>
    </xdr:from>
    <xdr:to>
      <xdr:col>20</xdr:col>
      <xdr:colOff>447693</xdr:colOff>
      <xdr:row>34</xdr:row>
      <xdr:rowOff>137105</xdr:rowOff>
    </xdr:to>
    <xdr:sp macro="" textlink="">
      <xdr:nvSpPr>
        <xdr:cNvPr id="101" name="Text Box 119">
          <a:extLst>
            <a:ext uri="{FF2B5EF4-FFF2-40B4-BE49-F238E27FC236}">
              <a16:creationId xmlns="" xmlns:a16="http://schemas.microsoft.com/office/drawing/2014/main" id="{00000000-0008-0000-2D00-000065000000}"/>
            </a:ext>
          </a:extLst>
        </xdr:cNvPr>
        <xdr:cNvSpPr txBox="1">
          <a:spLocks noChangeArrowheads="1"/>
        </xdr:cNvSpPr>
      </xdr:nvSpPr>
      <xdr:spPr bwMode="auto">
        <a:xfrm>
          <a:off x="14325600" y="6505575"/>
          <a:ext cx="2971800" cy="438255"/>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Mur de l'aire de puisage maconne' en moeillons avec lissage au mortier hydrofuge'</a:t>
          </a:r>
        </a:p>
      </xdr:txBody>
    </xdr:sp>
    <xdr:clientData/>
  </xdr:twoCellAnchor>
  <xdr:twoCellAnchor>
    <xdr:from>
      <xdr:col>21</xdr:col>
      <xdr:colOff>450850</xdr:colOff>
      <xdr:row>30</xdr:row>
      <xdr:rowOff>76200</xdr:rowOff>
    </xdr:from>
    <xdr:to>
      <xdr:col>22</xdr:col>
      <xdr:colOff>317500</xdr:colOff>
      <xdr:row>35</xdr:row>
      <xdr:rowOff>101600</xdr:rowOff>
    </xdr:to>
    <xdr:sp macro="" textlink="">
      <xdr:nvSpPr>
        <xdr:cNvPr id="884558" name="Line 121">
          <a:extLst>
            <a:ext uri="{FF2B5EF4-FFF2-40B4-BE49-F238E27FC236}">
              <a16:creationId xmlns="" xmlns:a16="http://schemas.microsoft.com/office/drawing/2014/main" id="{00000000-0008-0000-2D00-00004E7F0D00}"/>
            </a:ext>
          </a:extLst>
        </xdr:cNvPr>
        <xdr:cNvSpPr>
          <a:spLocks noChangeShapeType="1"/>
        </xdr:cNvSpPr>
      </xdr:nvSpPr>
      <xdr:spPr bwMode="auto">
        <a:xfrm flipV="1">
          <a:off x="18053050" y="5981700"/>
          <a:ext cx="704850" cy="10096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21</xdr:col>
      <xdr:colOff>57785</xdr:colOff>
      <xdr:row>35</xdr:row>
      <xdr:rowOff>92710</xdr:rowOff>
    </xdr:from>
    <xdr:to>
      <xdr:col>23</xdr:col>
      <xdr:colOff>227373</xdr:colOff>
      <xdr:row>37</xdr:row>
      <xdr:rowOff>79050</xdr:rowOff>
    </xdr:to>
    <xdr:sp macro="" textlink="">
      <xdr:nvSpPr>
        <xdr:cNvPr id="103" name="Text Box 122">
          <a:extLst>
            <a:ext uri="{FF2B5EF4-FFF2-40B4-BE49-F238E27FC236}">
              <a16:creationId xmlns="" xmlns:a16="http://schemas.microsoft.com/office/drawing/2014/main" id="{00000000-0008-0000-2D00-000067000000}"/>
            </a:ext>
          </a:extLst>
        </xdr:cNvPr>
        <xdr:cNvSpPr txBox="1">
          <a:spLocks noChangeArrowheads="1"/>
        </xdr:cNvSpPr>
      </xdr:nvSpPr>
      <xdr:spPr bwMode="auto">
        <a:xfrm>
          <a:off x="17649825" y="7134225"/>
          <a:ext cx="1885950" cy="40005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Marche d'escalier (L=1.2m, l=0.3m, H=0.15m</a:t>
          </a:r>
        </a:p>
      </xdr:txBody>
    </xdr:sp>
    <xdr:clientData/>
  </xdr:twoCellAnchor>
  <xdr:twoCellAnchor>
    <xdr:from>
      <xdr:col>17</xdr:col>
      <xdr:colOff>285750</xdr:colOff>
      <xdr:row>16</xdr:row>
      <xdr:rowOff>63500</xdr:rowOff>
    </xdr:from>
    <xdr:to>
      <xdr:col>18</xdr:col>
      <xdr:colOff>133350</xdr:colOff>
      <xdr:row>21</xdr:row>
      <xdr:rowOff>120650</xdr:rowOff>
    </xdr:to>
    <xdr:sp macro="" textlink="">
      <xdr:nvSpPr>
        <xdr:cNvPr id="884560" name="Line 127">
          <a:extLst>
            <a:ext uri="{FF2B5EF4-FFF2-40B4-BE49-F238E27FC236}">
              <a16:creationId xmlns="" xmlns:a16="http://schemas.microsoft.com/office/drawing/2014/main" id="{00000000-0008-0000-2D00-0000507F0D00}"/>
            </a:ext>
          </a:extLst>
        </xdr:cNvPr>
        <xdr:cNvSpPr>
          <a:spLocks noChangeShapeType="1"/>
        </xdr:cNvSpPr>
      </xdr:nvSpPr>
      <xdr:spPr bwMode="auto">
        <a:xfrm flipV="1">
          <a:off x="14535150" y="3213100"/>
          <a:ext cx="685800" cy="104140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22</xdr:col>
      <xdr:colOff>304800</xdr:colOff>
      <xdr:row>11</xdr:row>
      <xdr:rowOff>6350</xdr:rowOff>
    </xdr:from>
    <xdr:to>
      <xdr:col>23</xdr:col>
      <xdr:colOff>38100</xdr:colOff>
      <xdr:row>13</xdr:row>
      <xdr:rowOff>114300</xdr:rowOff>
    </xdr:to>
    <xdr:sp macro="" textlink="">
      <xdr:nvSpPr>
        <xdr:cNvPr id="884561" name="Line 129">
          <a:extLst>
            <a:ext uri="{FF2B5EF4-FFF2-40B4-BE49-F238E27FC236}">
              <a16:creationId xmlns="" xmlns:a16="http://schemas.microsoft.com/office/drawing/2014/main" id="{00000000-0008-0000-2D00-0000517F0D00}"/>
            </a:ext>
          </a:extLst>
        </xdr:cNvPr>
        <xdr:cNvSpPr>
          <a:spLocks noChangeShapeType="1"/>
        </xdr:cNvSpPr>
      </xdr:nvSpPr>
      <xdr:spPr bwMode="auto">
        <a:xfrm flipH="1">
          <a:off x="18745200" y="2171700"/>
          <a:ext cx="571500" cy="5016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22</xdr:col>
      <xdr:colOff>41275</xdr:colOff>
      <xdr:row>9</xdr:row>
      <xdr:rowOff>40005</xdr:rowOff>
    </xdr:from>
    <xdr:to>
      <xdr:col>24</xdr:col>
      <xdr:colOff>227193</xdr:colOff>
      <xdr:row>11</xdr:row>
      <xdr:rowOff>56688</xdr:rowOff>
    </xdr:to>
    <xdr:sp macro="" textlink="">
      <xdr:nvSpPr>
        <xdr:cNvPr id="106" name="Text Box 130">
          <a:extLst>
            <a:ext uri="{FF2B5EF4-FFF2-40B4-BE49-F238E27FC236}">
              <a16:creationId xmlns="" xmlns:a16="http://schemas.microsoft.com/office/drawing/2014/main" id="{00000000-0008-0000-2D00-00006A000000}"/>
            </a:ext>
          </a:extLst>
        </xdr:cNvPr>
        <xdr:cNvSpPr txBox="1">
          <a:spLocks noChangeArrowheads="1"/>
        </xdr:cNvSpPr>
      </xdr:nvSpPr>
      <xdr:spPr bwMode="auto">
        <a:xfrm>
          <a:off x="18507075" y="1828800"/>
          <a:ext cx="1866900" cy="438037"/>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Pierre plate noyee dans le beton pour eviter erosion de la dalle</a:t>
          </a:r>
        </a:p>
      </xdr:txBody>
    </xdr:sp>
    <xdr:clientData/>
  </xdr:twoCellAnchor>
  <xdr:twoCellAnchor>
    <xdr:from>
      <xdr:col>22</xdr:col>
      <xdr:colOff>448310</xdr:colOff>
      <xdr:row>14</xdr:row>
      <xdr:rowOff>80010</xdr:rowOff>
    </xdr:from>
    <xdr:to>
      <xdr:col>24</xdr:col>
      <xdr:colOff>342906</xdr:colOff>
      <xdr:row>15</xdr:row>
      <xdr:rowOff>93278</xdr:rowOff>
    </xdr:to>
    <xdr:sp macro="" textlink="">
      <xdr:nvSpPr>
        <xdr:cNvPr id="107" name="Text Box 131">
          <a:extLst>
            <a:ext uri="{FF2B5EF4-FFF2-40B4-BE49-F238E27FC236}">
              <a16:creationId xmlns="" xmlns:a16="http://schemas.microsoft.com/office/drawing/2014/main" id="{00000000-0008-0000-2D00-00006B000000}"/>
            </a:ext>
          </a:extLst>
        </xdr:cNvPr>
        <xdr:cNvSpPr txBox="1">
          <a:spLocks noChangeArrowheads="1"/>
        </xdr:cNvSpPr>
      </xdr:nvSpPr>
      <xdr:spPr bwMode="auto">
        <a:xfrm>
          <a:off x="18973800" y="2905125"/>
          <a:ext cx="1543050" cy="20002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Aire de Puisage</a:t>
          </a:r>
        </a:p>
      </xdr:txBody>
    </xdr:sp>
    <xdr:clientData/>
  </xdr:twoCellAnchor>
  <xdr:twoCellAnchor>
    <xdr:from>
      <xdr:col>1</xdr:col>
      <xdr:colOff>19050</xdr:colOff>
      <xdr:row>55</xdr:row>
      <xdr:rowOff>0</xdr:rowOff>
    </xdr:from>
    <xdr:to>
      <xdr:col>2</xdr:col>
      <xdr:colOff>330200</xdr:colOff>
      <xdr:row>55</xdr:row>
      <xdr:rowOff>0</xdr:rowOff>
    </xdr:to>
    <xdr:sp macro="" textlink="">
      <xdr:nvSpPr>
        <xdr:cNvPr id="884564" name="Line 132">
          <a:extLst>
            <a:ext uri="{FF2B5EF4-FFF2-40B4-BE49-F238E27FC236}">
              <a16:creationId xmlns="" xmlns:a16="http://schemas.microsoft.com/office/drawing/2014/main" id="{00000000-0008-0000-2D00-0000547F0D00}"/>
            </a:ext>
          </a:extLst>
        </xdr:cNvPr>
        <xdr:cNvSpPr>
          <a:spLocks noChangeShapeType="1"/>
        </xdr:cNvSpPr>
      </xdr:nvSpPr>
      <xdr:spPr bwMode="auto">
        <a:xfrm>
          <a:off x="857250" y="10826750"/>
          <a:ext cx="1149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133350</xdr:colOff>
      <xdr:row>55</xdr:row>
      <xdr:rowOff>0</xdr:rowOff>
    </xdr:from>
    <xdr:to>
      <xdr:col>5</xdr:col>
      <xdr:colOff>400050</xdr:colOff>
      <xdr:row>55</xdr:row>
      <xdr:rowOff>0</xdr:rowOff>
    </xdr:to>
    <xdr:sp macro="" textlink="">
      <xdr:nvSpPr>
        <xdr:cNvPr id="884565" name="Line 134">
          <a:extLst>
            <a:ext uri="{FF2B5EF4-FFF2-40B4-BE49-F238E27FC236}">
              <a16:creationId xmlns="" xmlns:a16="http://schemas.microsoft.com/office/drawing/2014/main" id="{00000000-0008-0000-2D00-0000557F0D00}"/>
            </a:ext>
          </a:extLst>
        </xdr:cNvPr>
        <xdr:cNvSpPr>
          <a:spLocks noChangeShapeType="1"/>
        </xdr:cNvSpPr>
      </xdr:nvSpPr>
      <xdr:spPr bwMode="auto">
        <a:xfrm>
          <a:off x="2647950" y="10826750"/>
          <a:ext cx="1943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226060</xdr:colOff>
      <xdr:row>52</xdr:row>
      <xdr:rowOff>0</xdr:rowOff>
    </xdr:from>
    <xdr:to>
      <xdr:col>3</xdr:col>
      <xdr:colOff>231173</xdr:colOff>
      <xdr:row>54</xdr:row>
      <xdr:rowOff>60695</xdr:rowOff>
    </xdr:to>
    <xdr:sp macro="" textlink="">
      <xdr:nvSpPr>
        <xdr:cNvPr id="110" name="Text Box 135">
          <a:extLst>
            <a:ext uri="{FF2B5EF4-FFF2-40B4-BE49-F238E27FC236}">
              <a16:creationId xmlns="" xmlns:a16="http://schemas.microsoft.com/office/drawing/2014/main" id="{00000000-0008-0000-2D00-00006E000000}"/>
            </a:ext>
          </a:extLst>
        </xdr:cNvPr>
        <xdr:cNvSpPr txBox="1">
          <a:spLocks noChangeArrowheads="1"/>
        </xdr:cNvSpPr>
      </xdr:nvSpPr>
      <xdr:spPr bwMode="auto">
        <a:xfrm>
          <a:off x="1104900" y="10401300"/>
          <a:ext cx="1704975" cy="438037"/>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Fosse' de drainage des eaux de ruisellement</a:t>
          </a:r>
        </a:p>
      </xdr:txBody>
    </xdr:sp>
    <xdr:clientData/>
  </xdr:twoCellAnchor>
  <xdr:twoCellAnchor>
    <xdr:from>
      <xdr:col>2</xdr:col>
      <xdr:colOff>400050</xdr:colOff>
      <xdr:row>54</xdr:row>
      <xdr:rowOff>44450</xdr:rowOff>
    </xdr:from>
    <xdr:to>
      <xdr:col>3</xdr:col>
      <xdr:colOff>19050</xdr:colOff>
      <xdr:row>55</xdr:row>
      <xdr:rowOff>101600</xdr:rowOff>
    </xdr:to>
    <xdr:sp macro="" textlink="">
      <xdr:nvSpPr>
        <xdr:cNvPr id="884567" name="Line 136">
          <a:extLst>
            <a:ext uri="{FF2B5EF4-FFF2-40B4-BE49-F238E27FC236}">
              <a16:creationId xmlns="" xmlns:a16="http://schemas.microsoft.com/office/drawing/2014/main" id="{00000000-0008-0000-2D00-0000577F0D00}"/>
            </a:ext>
          </a:extLst>
        </xdr:cNvPr>
        <xdr:cNvSpPr>
          <a:spLocks noChangeShapeType="1"/>
        </xdr:cNvSpPr>
      </xdr:nvSpPr>
      <xdr:spPr bwMode="auto">
        <a:xfrm>
          <a:off x="2076450" y="10674350"/>
          <a:ext cx="457200" cy="25400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3</xdr:col>
      <xdr:colOff>361950</xdr:colOff>
      <xdr:row>39</xdr:row>
      <xdr:rowOff>57150</xdr:rowOff>
    </xdr:from>
    <xdr:to>
      <xdr:col>3</xdr:col>
      <xdr:colOff>438150</xdr:colOff>
      <xdr:row>56</xdr:row>
      <xdr:rowOff>44450</xdr:rowOff>
    </xdr:to>
    <xdr:sp macro="" textlink="">
      <xdr:nvSpPr>
        <xdr:cNvPr id="884568" name="Rectangle 137" descr="Woven mat">
          <a:extLst>
            <a:ext uri="{FF2B5EF4-FFF2-40B4-BE49-F238E27FC236}">
              <a16:creationId xmlns="" xmlns:a16="http://schemas.microsoft.com/office/drawing/2014/main" id="{00000000-0008-0000-2D00-0000587F0D00}"/>
            </a:ext>
          </a:extLst>
        </xdr:cNvPr>
        <xdr:cNvSpPr>
          <a:spLocks noChangeArrowheads="1"/>
        </xdr:cNvSpPr>
      </xdr:nvSpPr>
      <xdr:spPr bwMode="auto">
        <a:xfrm>
          <a:off x="2876550" y="7734300"/>
          <a:ext cx="76200" cy="333375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2</xdr:col>
      <xdr:colOff>227330</xdr:colOff>
      <xdr:row>39</xdr:row>
      <xdr:rowOff>137160</xdr:rowOff>
    </xdr:from>
    <xdr:to>
      <xdr:col>3</xdr:col>
      <xdr:colOff>227330</xdr:colOff>
      <xdr:row>42</xdr:row>
      <xdr:rowOff>2437</xdr:rowOff>
    </xdr:to>
    <xdr:sp macro="" textlink="">
      <xdr:nvSpPr>
        <xdr:cNvPr id="113" name="Text Box 138">
          <a:extLst>
            <a:ext uri="{FF2B5EF4-FFF2-40B4-BE49-F238E27FC236}">
              <a16:creationId xmlns="" xmlns:a16="http://schemas.microsoft.com/office/drawing/2014/main" id="{00000000-0008-0000-2D00-000071000000}"/>
            </a:ext>
          </a:extLst>
        </xdr:cNvPr>
        <xdr:cNvSpPr txBox="1">
          <a:spLocks noChangeArrowheads="1"/>
        </xdr:cNvSpPr>
      </xdr:nvSpPr>
      <xdr:spPr bwMode="auto">
        <a:xfrm>
          <a:off x="1933575" y="7981950"/>
          <a:ext cx="838200" cy="438324"/>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Cloture de protection</a:t>
          </a:r>
        </a:p>
      </xdr:txBody>
    </xdr:sp>
    <xdr:clientData/>
  </xdr:twoCellAnchor>
  <xdr:twoCellAnchor>
    <xdr:from>
      <xdr:col>3</xdr:col>
      <xdr:colOff>247650</xdr:colOff>
      <xdr:row>41</xdr:row>
      <xdr:rowOff>57150</xdr:rowOff>
    </xdr:from>
    <xdr:to>
      <xdr:col>3</xdr:col>
      <xdr:colOff>355600</xdr:colOff>
      <xdr:row>42</xdr:row>
      <xdr:rowOff>120650</xdr:rowOff>
    </xdr:to>
    <xdr:sp macro="" textlink="">
      <xdr:nvSpPr>
        <xdr:cNvPr id="884570" name="Line 139">
          <a:extLst>
            <a:ext uri="{FF2B5EF4-FFF2-40B4-BE49-F238E27FC236}">
              <a16:creationId xmlns="" xmlns:a16="http://schemas.microsoft.com/office/drawing/2014/main" id="{00000000-0008-0000-2D00-00005A7F0D00}"/>
            </a:ext>
          </a:extLst>
        </xdr:cNvPr>
        <xdr:cNvSpPr>
          <a:spLocks noChangeShapeType="1"/>
        </xdr:cNvSpPr>
      </xdr:nvSpPr>
      <xdr:spPr bwMode="auto">
        <a:xfrm>
          <a:off x="2762250" y="8128000"/>
          <a:ext cx="107950" cy="2603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6</xdr:col>
      <xdr:colOff>167640</xdr:colOff>
      <xdr:row>7</xdr:row>
      <xdr:rowOff>18415</xdr:rowOff>
    </xdr:from>
    <xdr:to>
      <xdr:col>6</xdr:col>
      <xdr:colOff>421938</xdr:colOff>
      <xdr:row>8</xdr:row>
      <xdr:rowOff>41763</xdr:rowOff>
    </xdr:to>
    <xdr:sp macro="" textlink="">
      <xdr:nvSpPr>
        <xdr:cNvPr id="115" name="Text Box 144">
          <a:extLst>
            <a:ext uri="{FF2B5EF4-FFF2-40B4-BE49-F238E27FC236}">
              <a16:creationId xmlns="" xmlns:a16="http://schemas.microsoft.com/office/drawing/2014/main" id="{00000000-0008-0000-2D00-000073000000}"/>
            </a:ext>
          </a:extLst>
        </xdr:cNvPr>
        <xdr:cNvSpPr txBox="1">
          <a:spLocks noChangeArrowheads="1"/>
        </xdr:cNvSpPr>
      </xdr:nvSpPr>
      <xdr:spPr bwMode="auto">
        <a:xfrm>
          <a:off x="5248275" y="1409700"/>
          <a:ext cx="295275" cy="257266"/>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A</a:t>
          </a:r>
        </a:p>
      </xdr:txBody>
    </xdr:sp>
    <xdr:clientData/>
  </xdr:twoCellAnchor>
  <xdr:twoCellAnchor>
    <xdr:from>
      <xdr:col>6</xdr:col>
      <xdr:colOff>190500</xdr:colOff>
      <xdr:row>23</xdr:row>
      <xdr:rowOff>55880</xdr:rowOff>
    </xdr:from>
    <xdr:to>
      <xdr:col>6</xdr:col>
      <xdr:colOff>446151</xdr:colOff>
      <xdr:row>24</xdr:row>
      <xdr:rowOff>79228</xdr:rowOff>
    </xdr:to>
    <xdr:sp macro="" textlink="">
      <xdr:nvSpPr>
        <xdr:cNvPr id="116" name="Text Box 145">
          <a:extLst>
            <a:ext uri="{FF2B5EF4-FFF2-40B4-BE49-F238E27FC236}">
              <a16:creationId xmlns="" xmlns:a16="http://schemas.microsoft.com/office/drawing/2014/main" id="{00000000-0008-0000-2D00-000074000000}"/>
            </a:ext>
          </a:extLst>
        </xdr:cNvPr>
        <xdr:cNvSpPr txBox="1">
          <a:spLocks noChangeArrowheads="1"/>
        </xdr:cNvSpPr>
      </xdr:nvSpPr>
      <xdr:spPr bwMode="auto">
        <a:xfrm>
          <a:off x="5276850" y="4648200"/>
          <a:ext cx="295275" cy="256896"/>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A</a:t>
          </a:r>
        </a:p>
      </xdr:txBody>
    </xdr:sp>
    <xdr:clientData/>
  </xdr:twoCellAnchor>
  <xdr:twoCellAnchor>
    <xdr:from>
      <xdr:col>3</xdr:col>
      <xdr:colOff>361950</xdr:colOff>
      <xdr:row>58</xdr:row>
      <xdr:rowOff>120650</xdr:rowOff>
    </xdr:from>
    <xdr:to>
      <xdr:col>7</xdr:col>
      <xdr:colOff>361950</xdr:colOff>
      <xdr:row>59</xdr:row>
      <xdr:rowOff>63500</xdr:rowOff>
    </xdr:to>
    <xdr:sp macro="" textlink="">
      <xdr:nvSpPr>
        <xdr:cNvPr id="884573" name="Line 149">
          <a:extLst>
            <a:ext uri="{FF2B5EF4-FFF2-40B4-BE49-F238E27FC236}">
              <a16:creationId xmlns="" xmlns:a16="http://schemas.microsoft.com/office/drawing/2014/main" id="{00000000-0008-0000-2D00-00005D7F0D00}"/>
            </a:ext>
          </a:extLst>
        </xdr:cNvPr>
        <xdr:cNvSpPr>
          <a:spLocks noChangeShapeType="1"/>
        </xdr:cNvSpPr>
      </xdr:nvSpPr>
      <xdr:spPr bwMode="auto">
        <a:xfrm>
          <a:off x="2876550" y="11537950"/>
          <a:ext cx="3352800" cy="13970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317500</xdr:colOff>
      <xdr:row>55</xdr:row>
      <xdr:rowOff>0</xdr:rowOff>
    </xdr:from>
    <xdr:to>
      <xdr:col>3</xdr:col>
      <xdr:colOff>133350</xdr:colOff>
      <xdr:row>57</xdr:row>
      <xdr:rowOff>63500</xdr:rowOff>
    </xdr:to>
    <xdr:sp macro="" textlink="">
      <xdr:nvSpPr>
        <xdr:cNvPr id="884574" name="Freeform 133">
          <a:extLst>
            <a:ext uri="{FF2B5EF4-FFF2-40B4-BE49-F238E27FC236}">
              <a16:creationId xmlns="" xmlns:a16="http://schemas.microsoft.com/office/drawing/2014/main" id="{00000000-0008-0000-2D00-00005E7F0D00}"/>
            </a:ext>
          </a:extLst>
        </xdr:cNvPr>
        <xdr:cNvSpPr>
          <a:spLocks/>
        </xdr:cNvSpPr>
      </xdr:nvSpPr>
      <xdr:spPr bwMode="auto">
        <a:xfrm>
          <a:off x="1993900" y="10826750"/>
          <a:ext cx="654050" cy="457200"/>
        </a:xfrm>
        <a:custGeom>
          <a:avLst/>
          <a:gdLst>
            <a:gd name="T0" fmla="*/ 2147483646 w 41"/>
            <a:gd name="T1" fmla="*/ 2147483646 h 42"/>
            <a:gd name="T2" fmla="*/ 2147483646 w 41"/>
            <a:gd name="T3" fmla="*/ 2147483646 h 42"/>
            <a:gd name="T4" fmla="*/ 2147483646 w 41"/>
            <a:gd name="T5" fmla="*/ 2147483646 h 42"/>
            <a:gd name="T6" fmla="*/ 2147483646 w 41"/>
            <a:gd name="T7" fmla="*/ 2147483646 h 42"/>
            <a:gd name="T8" fmla="*/ 2147483646 w 41"/>
            <a:gd name="T9" fmla="*/ 0 h 42"/>
            <a:gd name="T10" fmla="*/ 0 60000 65536"/>
            <a:gd name="T11" fmla="*/ 0 60000 65536"/>
            <a:gd name="T12" fmla="*/ 0 60000 65536"/>
            <a:gd name="T13" fmla="*/ 0 60000 65536"/>
            <a:gd name="T14" fmla="*/ 0 60000 65536"/>
            <a:gd name="T15" fmla="*/ 0 w 41"/>
            <a:gd name="T16" fmla="*/ 0 h 42"/>
            <a:gd name="T17" fmla="*/ 41 w 41"/>
            <a:gd name="T18" fmla="*/ 42 h 42"/>
          </a:gdLst>
          <a:ahLst/>
          <a:cxnLst>
            <a:cxn ang="T10">
              <a:pos x="T0" y="T1"/>
            </a:cxn>
            <a:cxn ang="T11">
              <a:pos x="T2" y="T3"/>
            </a:cxn>
            <a:cxn ang="T12">
              <a:pos x="T4" y="T5"/>
            </a:cxn>
            <a:cxn ang="T13">
              <a:pos x="T6" y="T7"/>
            </a:cxn>
            <a:cxn ang="T14">
              <a:pos x="T8" y="T9"/>
            </a:cxn>
          </a:cxnLst>
          <a:rect l="T15" t="T16" r="T17" b="T18"/>
          <a:pathLst>
            <a:path w="41" h="42">
              <a:moveTo>
                <a:pt x="2" y="2"/>
              </a:moveTo>
              <a:cubicBezTo>
                <a:pt x="1" y="15"/>
                <a:pt x="0" y="29"/>
                <a:pt x="5" y="35"/>
              </a:cubicBezTo>
              <a:cubicBezTo>
                <a:pt x="10" y="41"/>
                <a:pt x="26" y="42"/>
                <a:pt x="32" y="39"/>
              </a:cubicBezTo>
              <a:cubicBezTo>
                <a:pt x="38" y="36"/>
                <a:pt x="39" y="24"/>
                <a:pt x="40" y="18"/>
              </a:cubicBezTo>
              <a:cubicBezTo>
                <a:pt x="41" y="12"/>
                <a:pt x="41" y="6"/>
                <a:pt x="41"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177800</xdr:colOff>
      <xdr:row>55</xdr:row>
      <xdr:rowOff>19050</xdr:rowOff>
    </xdr:from>
    <xdr:to>
      <xdr:col>2</xdr:col>
      <xdr:colOff>317500</xdr:colOff>
      <xdr:row>58</xdr:row>
      <xdr:rowOff>38100</xdr:rowOff>
    </xdr:to>
    <xdr:sp macro="" textlink="">
      <xdr:nvSpPr>
        <xdr:cNvPr id="884575" name="Rectangle 150" descr="Zig zag">
          <a:extLst>
            <a:ext uri="{FF2B5EF4-FFF2-40B4-BE49-F238E27FC236}">
              <a16:creationId xmlns="" xmlns:a16="http://schemas.microsoft.com/office/drawing/2014/main" id="{00000000-0008-0000-2D00-00005F7F0D00}"/>
            </a:ext>
          </a:extLst>
        </xdr:cNvPr>
        <xdr:cNvSpPr>
          <a:spLocks noChangeArrowheads="1"/>
        </xdr:cNvSpPr>
      </xdr:nvSpPr>
      <xdr:spPr bwMode="auto">
        <a:xfrm flipV="1">
          <a:off x="177800" y="10845800"/>
          <a:ext cx="1816100" cy="609600"/>
        </a:xfrm>
        <a:prstGeom prst="rect">
          <a:avLst/>
        </a:prstGeom>
        <a:blipFill dpi="0" rotWithShape="0">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3175">
              <a:solidFill>
                <a:srgbClr val="000000"/>
              </a:solidFill>
              <a:miter lim="800000"/>
              <a:headEnd/>
              <a:tailEnd/>
            </a14:hiddenLine>
          </a:ext>
        </a:extLst>
      </xdr:spPr>
    </xdr:sp>
    <xdr:clientData/>
  </xdr:twoCellAnchor>
  <xdr:twoCellAnchor>
    <xdr:from>
      <xdr:col>1</xdr:col>
      <xdr:colOff>323850</xdr:colOff>
      <xdr:row>57</xdr:row>
      <xdr:rowOff>44450</xdr:rowOff>
    </xdr:from>
    <xdr:to>
      <xdr:col>3</xdr:col>
      <xdr:colOff>457200</xdr:colOff>
      <xdr:row>60</xdr:row>
      <xdr:rowOff>57150</xdr:rowOff>
    </xdr:to>
    <xdr:sp macro="" textlink="">
      <xdr:nvSpPr>
        <xdr:cNvPr id="884576" name="Rectangle 151" descr="Zig zag">
          <a:extLst>
            <a:ext uri="{FF2B5EF4-FFF2-40B4-BE49-F238E27FC236}">
              <a16:creationId xmlns="" xmlns:a16="http://schemas.microsoft.com/office/drawing/2014/main" id="{00000000-0008-0000-2D00-0000607F0D00}"/>
            </a:ext>
          </a:extLst>
        </xdr:cNvPr>
        <xdr:cNvSpPr>
          <a:spLocks noChangeArrowheads="1"/>
        </xdr:cNvSpPr>
      </xdr:nvSpPr>
      <xdr:spPr bwMode="auto">
        <a:xfrm flipV="1">
          <a:off x="1162050" y="11264900"/>
          <a:ext cx="1809750" cy="603250"/>
        </a:xfrm>
        <a:prstGeom prst="rect">
          <a:avLst/>
        </a:prstGeom>
        <a:blipFill dpi="0" rotWithShape="0">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3175">
              <a:solidFill>
                <a:srgbClr val="000000"/>
              </a:solidFill>
              <a:miter lim="800000"/>
              <a:headEnd/>
              <a:tailEnd/>
            </a14:hiddenLine>
          </a:ext>
        </a:extLst>
      </xdr:spPr>
    </xdr:sp>
    <xdr:clientData/>
  </xdr:twoCellAnchor>
  <xdr:twoCellAnchor>
    <xdr:from>
      <xdr:col>3</xdr:col>
      <xdr:colOff>298450</xdr:colOff>
      <xdr:row>64</xdr:row>
      <xdr:rowOff>139700</xdr:rowOff>
    </xdr:from>
    <xdr:to>
      <xdr:col>7</xdr:col>
      <xdr:colOff>361950</xdr:colOff>
      <xdr:row>68</xdr:row>
      <xdr:rowOff>0</xdr:rowOff>
    </xdr:to>
    <xdr:sp macro="" textlink="">
      <xdr:nvSpPr>
        <xdr:cNvPr id="884577" name="Rectangle 157" descr="Zig zag">
          <a:extLst>
            <a:ext uri="{FF2B5EF4-FFF2-40B4-BE49-F238E27FC236}">
              <a16:creationId xmlns="" xmlns:a16="http://schemas.microsoft.com/office/drawing/2014/main" id="{00000000-0008-0000-2D00-0000617F0D00}"/>
            </a:ext>
          </a:extLst>
        </xdr:cNvPr>
        <xdr:cNvSpPr>
          <a:spLocks noChangeArrowheads="1"/>
        </xdr:cNvSpPr>
      </xdr:nvSpPr>
      <xdr:spPr bwMode="auto">
        <a:xfrm flipV="1">
          <a:off x="2813050" y="12738100"/>
          <a:ext cx="3416300" cy="647700"/>
        </a:xfrm>
        <a:prstGeom prst="rect">
          <a:avLst/>
        </a:prstGeom>
        <a:blipFill dpi="0" rotWithShape="0">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3175">
              <a:solidFill>
                <a:srgbClr val="000000"/>
              </a:solidFill>
              <a:miter lim="800000"/>
              <a:headEnd/>
              <a:tailEnd/>
            </a14:hiddenLine>
          </a:ext>
        </a:extLst>
      </xdr:spPr>
    </xdr:sp>
    <xdr:clientData/>
  </xdr:twoCellAnchor>
  <xdr:twoCellAnchor>
    <xdr:from>
      <xdr:col>7</xdr:col>
      <xdr:colOff>165100</xdr:colOff>
      <xdr:row>59</xdr:row>
      <xdr:rowOff>82550</xdr:rowOff>
    </xdr:from>
    <xdr:to>
      <xdr:col>7</xdr:col>
      <xdr:colOff>361950</xdr:colOff>
      <xdr:row>66</xdr:row>
      <xdr:rowOff>120650</xdr:rowOff>
    </xdr:to>
    <xdr:sp macro="" textlink="">
      <xdr:nvSpPr>
        <xdr:cNvPr id="884578" name="Rectangle 154" descr="Recycled paper">
          <a:extLst>
            <a:ext uri="{FF2B5EF4-FFF2-40B4-BE49-F238E27FC236}">
              <a16:creationId xmlns="" xmlns:a16="http://schemas.microsoft.com/office/drawing/2014/main" id="{00000000-0008-0000-2D00-0000627F0D00}"/>
            </a:ext>
          </a:extLst>
        </xdr:cNvPr>
        <xdr:cNvSpPr>
          <a:spLocks noChangeArrowheads="1"/>
        </xdr:cNvSpPr>
      </xdr:nvSpPr>
      <xdr:spPr bwMode="auto">
        <a:xfrm>
          <a:off x="6032500" y="11696700"/>
          <a:ext cx="196850" cy="1416050"/>
        </a:xfrm>
        <a:prstGeom prst="rect">
          <a:avLst/>
        </a:prstGeom>
        <a:blipFill dpi="0" rotWithShape="0">
          <a:blip xmlns:r="http://schemas.openxmlformats.org/officeDocument/2006/relationships" r:embed="rId5"/>
          <a:srcRect/>
          <a:tile tx="0" ty="0" sx="100000" sy="100000" flip="none" algn="tl"/>
        </a:blipFill>
        <a:ln w="9525">
          <a:solidFill>
            <a:srgbClr val="000000"/>
          </a:solidFill>
          <a:miter lim="800000"/>
          <a:headEnd/>
          <a:tailEnd/>
        </a:ln>
      </xdr:spPr>
    </xdr:sp>
    <xdr:clientData/>
  </xdr:twoCellAnchor>
  <xdr:twoCellAnchor>
    <xdr:from>
      <xdr:col>3</xdr:col>
      <xdr:colOff>438150</xdr:colOff>
      <xdr:row>58</xdr:row>
      <xdr:rowOff>139700</xdr:rowOff>
    </xdr:from>
    <xdr:to>
      <xdr:col>7</xdr:col>
      <xdr:colOff>152400</xdr:colOff>
      <xdr:row>65</xdr:row>
      <xdr:rowOff>0</xdr:rowOff>
    </xdr:to>
    <xdr:sp macro="" textlink="">
      <xdr:nvSpPr>
        <xdr:cNvPr id="884579" name="Freeform 158">
          <a:extLst>
            <a:ext uri="{FF2B5EF4-FFF2-40B4-BE49-F238E27FC236}">
              <a16:creationId xmlns="" xmlns:a16="http://schemas.microsoft.com/office/drawing/2014/main" id="{00000000-0008-0000-2D00-0000637F0D00}"/>
            </a:ext>
          </a:extLst>
        </xdr:cNvPr>
        <xdr:cNvSpPr>
          <a:spLocks/>
        </xdr:cNvSpPr>
      </xdr:nvSpPr>
      <xdr:spPr bwMode="auto">
        <a:xfrm>
          <a:off x="2952750" y="11557000"/>
          <a:ext cx="3067050" cy="1238250"/>
        </a:xfrm>
        <a:custGeom>
          <a:avLst/>
          <a:gdLst>
            <a:gd name="T0" fmla="*/ 2147483646 w 219"/>
            <a:gd name="T1" fmla="*/ 0 h 103"/>
            <a:gd name="T2" fmla="*/ 2147483646 w 219"/>
            <a:gd name="T3" fmla="*/ 2147483646 h 103"/>
            <a:gd name="T4" fmla="*/ 2147483646 w 219"/>
            <a:gd name="T5" fmla="*/ 2147483646 h 103"/>
            <a:gd name="T6" fmla="*/ 2147483646 w 219"/>
            <a:gd name="T7" fmla="*/ 2147483646 h 103"/>
            <a:gd name="T8" fmla="*/ 2147483646 w 219"/>
            <a:gd name="T9" fmla="*/ 2147483646 h 103"/>
            <a:gd name="T10" fmla="*/ 2147483646 w 219"/>
            <a:gd name="T11" fmla="*/ 2147483646 h 103"/>
            <a:gd name="T12" fmla="*/ 2147483646 w 219"/>
            <a:gd name="T13" fmla="*/ 2147483646 h 103"/>
            <a:gd name="T14" fmla="*/ 0 60000 65536"/>
            <a:gd name="T15" fmla="*/ 0 60000 65536"/>
            <a:gd name="T16" fmla="*/ 0 60000 65536"/>
            <a:gd name="T17" fmla="*/ 0 60000 65536"/>
            <a:gd name="T18" fmla="*/ 0 60000 65536"/>
            <a:gd name="T19" fmla="*/ 0 60000 65536"/>
            <a:gd name="T20" fmla="*/ 0 60000 65536"/>
            <a:gd name="T21" fmla="*/ 0 w 219"/>
            <a:gd name="T22" fmla="*/ 0 h 103"/>
            <a:gd name="T23" fmla="*/ 219 w 219"/>
            <a:gd name="T24" fmla="*/ 103 h 103"/>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219" h="103">
              <a:moveTo>
                <a:pt x="3" y="0"/>
              </a:moveTo>
              <a:cubicBezTo>
                <a:pt x="2" y="15"/>
                <a:pt x="1" y="31"/>
                <a:pt x="1" y="39"/>
              </a:cubicBezTo>
              <a:cubicBezTo>
                <a:pt x="1" y="47"/>
                <a:pt x="0" y="41"/>
                <a:pt x="1" y="46"/>
              </a:cubicBezTo>
              <a:cubicBezTo>
                <a:pt x="2" y="51"/>
                <a:pt x="1" y="60"/>
                <a:pt x="7" y="68"/>
              </a:cubicBezTo>
              <a:cubicBezTo>
                <a:pt x="13" y="76"/>
                <a:pt x="25" y="86"/>
                <a:pt x="35" y="91"/>
              </a:cubicBezTo>
              <a:cubicBezTo>
                <a:pt x="45" y="96"/>
                <a:pt x="36" y="99"/>
                <a:pt x="67" y="101"/>
              </a:cubicBezTo>
              <a:cubicBezTo>
                <a:pt x="98" y="103"/>
                <a:pt x="158" y="102"/>
                <a:pt x="219" y="102"/>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355600</xdr:colOff>
      <xdr:row>63</xdr:row>
      <xdr:rowOff>120650</xdr:rowOff>
    </xdr:from>
    <xdr:to>
      <xdr:col>4</xdr:col>
      <xdr:colOff>95250</xdr:colOff>
      <xdr:row>65</xdr:row>
      <xdr:rowOff>19050</xdr:rowOff>
    </xdr:to>
    <xdr:sp macro="" textlink="">
      <xdr:nvSpPr>
        <xdr:cNvPr id="884580" name="Rectangle 160" descr="Zig zag">
          <a:extLst>
            <a:ext uri="{FF2B5EF4-FFF2-40B4-BE49-F238E27FC236}">
              <a16:creationId xmlns="" xmlns:a16="http://schemas.microsoft.com/office/drawing/2014/main" id="{00000000-0008-0000-2D00-0000647F0D00}"/>
            </a:ext>
          </a:extLst>
        </xdr:cNvPr>
        <xdr:cNvSpPr>
          <a:spLocks noChangeArrowheads="1"/>
        </xdr:cNvSpPr>
      </xdr:nvSpPr>
      <xdr:spPr bwMode="auto">
        <a:xfrm flipV="1">
          <a:off x="2870200" y="12522200"/>
          <a:ext cx="577850" cy="292100"/>
        </a:xfrm>
        <a:prstGeom prst="rect">
          <a:avLst/>
        </a:prstGeom>
        <a:blipFill dpi="0" rotWithShape="0">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3175">
              <a:solidFill>
                <a:srgbClr val="000000"/>
              </a:solidFill>
              <a:miter lim="800000"/>
              <a:headEnd/>
              <a:tailEnd/>
            </a14:hiddenLine>
          </a:ext>
        </a:extLst>
      </xdr:spPr>
    </xdr:sp>
    <xdr:clientData/>
  </xdr:twoCellAnchor>
  <xdr:twoCellAnchor>
    <xdr:from>
      <xdr:col>3</xdr:col>
      <xdr:colOff>438150</xdr:colOff>
      <xdr:row>64</xdr:row>
      <xdr:rowOff>38100</xdr:rowOff>
    </xdr:from>
    <xdr:to>
      <xdr:col>4</xdr:col>
      <xdr:colOff>177800</xdr:colOff>
      <xdr:row>65</xdr:row>
      <xdr:rowOff>82550</xdr:rowOff>
    </xdr:to>
    <xdr:sp macro="" textlink="">
      <xdr:nvSpPr>
        <xdr:cNvPr id="884581" name="Rectangle 161" descr="Zig zag">
          <a:extLst>
            <a:ext uri="{FF2B5EF4-FFF2-40B4-BE49-F238E27FC236}">
              <a16:creationId xmlns="" xmlns:a16="http://schemas.microsoft.com/office/drawing/2014/main" id="{00000000-0008-0000-2D00-0000657F0D00}"/>
            </a:ext>
          </a:extLst>
        </xdr:cNvPr>
        <xdr:cNvSpPr>
          <a:spLocks noChangeArrowheads="1"/>
        </xdr:cNvSpPr>
      </xdr:nvSpPr>
      <xdr:spPr bwMode="auto">
        <a:xfrm flipV="1">
          <a:off x="2952750" y="12636500"/>
          <a:ext cx="577850" cy="241300"/>
        </a:xfrm>
        <a:prstGeom prst="rect">
          <a:avLst/>
        </a:prstGeom>
        <a:blipFill dpi="0" rotWithShape="0">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3175">
              <a:solidFill>
                <a:srgbClr val="000000"/>
              </a:solidFill>
              <a:miter lim="800000"/>
              <a:headEnd/>
              <a:tailEnd/>
            </a14:hiddenLine>
          </a:ext>
        </a:extLst>
      </xdr:spPr>
    </xdr:sp>
    <xdr:clientData/>
  </xdr:twoCellAnchor>
  <xdr:twoCellAnchor>
    <xdr:from>
      <xdr:col>0</xdr:col>
      <xdr:colOff>140335</xdr:colOff>
      <xdr:row>61</xdr:row>
      <xdr:rowOff>133985</xdr:rowOff>
    </xdr:from>
    <xdr:to>
      <xdr:col>3</xdr:col>
      <xdr:colOff>415777</xdr:colOff>
      <xdr:row>64</xdr:row>
      <xdr:rowOff>150031</xdr:rowOff>
    </xdr:to>
    <xdr:sp macro="" textlink="">
      <xdr:nvSpPr>
        <xdr:cNvPr id="126" name="Text Box 146">
          <a:extLst>
            <a:ext uri="{FF2B5EF4-FFF2-40B4-BE49-F238E27FC236}">
              <a16:creationId xmlns="" xmlns:a16="http://schemas.microsoft.com/office/drawing/2014/main" id="{00000000-0008-0000-2D00-00007E000000}"/>
            </a:ext>
          </a:extLst>
        </xdr:cNvPr>
        <xdr:cNvSpPr txBox="1">
          <a:spLocks noChangeArrowheads="1"/>
        </xdr:cNvSpPr>
      </xdr:nvSpPr>
      <xdr:spPr bwMode="auto">
        <a:xfrm>
          <a:off x="171450" y="12353925"/>
          <a:ext cx="2819400" cy="619237"/>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Chappe en beton hydrofuge' d'epaisseur 0.05 a 0.1 m avec pente 3% + Mortier superior de protection 0.01m</a:t>
          </a:r>
        </a:p>
      </xdr:txBody>
    </xdr:sp>
    <xdr:clientData/>
  </xdr:twoCellAnchor>
  <xdr:twoCellAnchor>
    <xdr:from>
      <xdr:col>6</xdr:col>
      <xdr:colOff>476250</xdr:colOff>
      <xdr:row>61</xdr:row>
      <xdr:rowOff>57150</xdr:rowOff>
    </xdr:from>
    <xdr:to>
      <xdr:col>8</xdr:col>
      <xdr:colOff>57150</xdr:colOff>
      <xdr:row>61</xdr:row>
      <xdr:rowOff>139700</xdr:rowOff>
    </xdr:to>
    <xdr:sp macro="" textlink="">
      <xdr:nvSpPr>
        <xdr:cNvPr id="884583" name="Rectangle 163">
          <a:extLst>
            <a:ext uri="{FF2B5EF4-FFF2-40B4-BE49-F238E27FC236}">
              <a16:creationId xmlns="" xmlns:a16="http://schemas.microsoft.com/office/drawing/2014/main" id="{00000000-0008-0000-2D00-0000677F0D00}"/>
            </a:ext>
          </a:extLst>
        </xdr:cNvPr>
        <xdr:cNvSpPr>
          <a:spLocks noChangeArrowheads="1"/>
        </xdr:cNvSpPr>
      </xdr:nvSpPr>
      <xdr:spPr bwMode="auto">
        <a:xfrm>
          <a:off x="5505450" y="12065000"/>
          <a:ext cx="1257300" cy="82550"/>
        </a:xfrm>
        <a:prstGeom prst="rect">
          <a:avLst/>
        </a:prstGeom>
        <a:solidFill>
          <a:srgbClr val="33CCCC"/>
        </a:solidFill>
        <a:ln w="9525">
          <a:solidFill>
            <a:srgbClr val="000000"/>
          </a:solidFill>
          <a:miter lim="800000"/>
          <a:headEnd/>
          <a:tailEnd/>
        </a:ln>
      </xdr:spPr>
    </xdr:sp>
    <xdr:clientData/>
  </xdr:twoCellAnchor>
  <xdr:twoCellAnchor>
    <xdr:from>
      <xdr:col>6</xdr:col>
      <xdr:colOff>63500</xdr:colOff>
      <xdr:row>14</xdr:row>
      <xdr:rowOff>139700</xdr:rowOff>
    </xdr:from>
    <xdr:to>
      <xdr:col>15</xdr:col>
      <xdr:colOff>38100</xdr:colOff>
      <xdr:row>15</xdr:row>
      <xdr:rowOff>44450</xdr:rowOff>
    </xdr:to>
    <xdr:sp macro="" textlink="">
      <xdr:nvSpPr>
        <xdr:cNvPr id="884584" name="Rectangle 3">
          <a:extLst>
            <a:ext uri="{FF2B5EF4-FFF2-40B4-BE49-F238E27FC236}">
              <a16:creationId xmlns="" xmlns:a16="http://schemas.microsoft.com/office/drawing/2014/main" id="{00000000-0008-0000-2D00-0000687F0D00}"/>
            </a:ext>
          </a:extLst>
        </xdr:cNvPr>
        <xdr:cNvSpPr>
          <a:spLocks noChangeArrowheads="1"/>
        </xdr:cNvSpPr>
      </xdr:nvSpPr>
      <xdr:spPr bwMode="auto">
        <a:xfrm>
          <a:off x="5092700" y="2895600"/>
          <a:ext cx="7518400" cy="101600"/>
        </a:xfrm>
        <a:prstGeom prst="rect">
          <a:avLst/>
        </a:prstGeom>
        <a:solidFill>
          <a:srgbClr val="33CCCC"/>
        </a:solidFill>
        <a:ln w="9525">
          <a:solidFill>
            <a:srgbClr val="000000"/>
          </a:solidFill>
          <a:miter lim="800000"/>
          <a:headEnd/>
          <a:tailEnd/>
        </a:ln>
      </xdr:spPr>
    </xdr:sp>
    <xdr:clientData/>
  </xdr:twoCellAnchor>
  <xdr:twoCellAnchor>
    <xdr:from>
      <xdr:col>6</xdr:col>
      <xdr:colOff>57150</xdr:colOff>
      <xdr:row>15</xdr:row>
      <xdr:rowOff>120650</xdr:rowOff>
    </xdr:from>
    <xdr:to>
      <xdr:col>15</xdr:col>
      <xdr:colOff>57150</xdr:colOff>
      <xdr:row>16</xdr:row>
      <xdr:rowOff>57150</xdr:rowOff>
    </xdr:to>
    <xdr:sp macro="" textlink="">
      <xdr:nvSpPr>
        <xdr:cNvPr id="884585" name="Rectangle 4">
          <a:extLst>
            <a:ext uri="{FF2B5EF4-FFF2-40B4-BE49-F238E27FC236}">
              <a16:creationId xmlns="" xmlns:a16="http://schemas.microsoft.com/office/drawing/2014/main" id="{00000000-0008-0000-2D00-0000697F0D00}"/>
            </a:ext>
          </a:extLst>
        </xdr:cNvPr>
        <xdr:cNvSpPr>
          <a:spLocks noChangeArrowheads="1"/>
        </xdr:cNvSpPr>
      </xdr:nvSpPr>
      <xdr:spPr bwMode="auto">
        <a:xfrm>
          <a:off x="5086350" y="3073400"/>
          <a:ext cx="7543800" cy="133350"/>
        </a:xfrm>
        <a:prstGeom prst="rect">
          <a:avLst/>
        </a:prstGeom>
        <a:solidFill>
          <a:srgbClr val="33CCCC"/>
        </a:solidFill>
        <a:ln w="9525">
          <a:solidFill>
            <a:srgbClr val="000000"/>
          </a:solidFill>
          <a:miter lim="800000"/>
          <a:headEnd/>
          <a:tailEnd/>
        </a:ln>
      </xdr:spPr>
    </xdr:sp>
    <xdr:clientData/>
  </xdr:twoCellAnchor>
  <xdr:twoCellAnchor>
    <xdr:from>
      <xdr:col>10</xdr:col>
      <xdr:colOff>19050</xdr:colOff>
      <xdr:row>18</xdr:row>
      <xdr:rowOff>19050</xdr:rowOff>
    </xdr:from>
    <xdr:to>
      <xdr:col>10</xdr:col>
      <xdr:colOff>438150</xdr:colOff>
      <xdr:row>19</xdr:row>
      <xdr:rowOff>95250</xdr:rowOff>
    </xdr:to>
    <xdr:sp macro="" textlink="">
      <xdr:nvSpPr>
        <xdr:cNvPr id="884586" name="Rectangle 116">
          <a:extLst>
            <a:ext uri="{FF2B5EF4-FFF2-40B4-BE49-F238E27FC236}">
              <a16:creationId xmlns="" xmlns:a16="http://schemas.microsoft.com/office/drawing/2014/main" id="{00000000-0008-0000-2D00-00006A7F0D00}"/>
            </a:ext>
          </a:extLst>
        </xdr:cNvPr>
        <xdr:cNvSpPr>
          <a:spLocks noChangeArrowheads="1"/>
        </xdr:cNvSpPr>
      </xdr:nvSpPr>
      <xdr:spPr bwMode="auto">
        <a:xfrm>
          <a:off x="8401050" y="3562350"/>
          <a:ext cx="419100" cy="2730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10</xdr:col>
      <xdr:colOff>387350</xdr:colOff>
      <xdr:row>12</xdr:row>
      <xdr:rowOff>82550</xdr:rowOff>
    </xdr:from>
    <xdr:to>
      <xdr:col>11</xdr:col>
      <xdr:colOff>323850</xdr:colOff>
      <xdr:row>14</xdr:row>
      <xdr:rowOff>6350</xdr:rowOff>
    </xdr:to>
    <xdr:sp macro="" textlink="">
      <xdr:nvSpPr>
        <xdr:cNvPr id="884587" name="Rectangle 115">
          <a:extLst>
            <a:ext uri="{FF2B5EF4-FFF2-40B4-BE49-F238E27FC236}">
              <a16:creationId xmlns="" xmlns:a16="http://schemas.microsoft.com/office/drawing/2014/main" id="{00000000-0008-0000-2D00-00006B7F0D00}"/>
            </a:ext>
          </a:extLst>
        </xdr:cNvPr>
        <xdr:cNvSpPr>
          <a:spLocks noChangeArrowheads="1"/>
        </xdr:cNvSpPr>
      </xdr:nvSpPr>
      <xdr:spPr bwMode="auto">
        <a:xfrm>
          <a:off x="8769350" y="2444750"/>
          <a:ext cx="774700" cy="3175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0</xdr:colOff>
      <xdr:row>61</xdr:row>
      <xdr:rowOff>57150</xdr:rowOff>
    </xdr:from>
    <xdr:to>
      <xdr:col>8</xdr:col>
      <xdr:colOff>57150</xdr:colOff>
      <xdr:row>64</xdr:row>
      <xdr:rowOff>120650</xdr:rowOff>
    </xdr:to>
    <xdr:sp macro="" textlink="">
      <xdr:nvSpPr>
        <xdr:cNvPr id="884588" name="Rectangle 164">
          <a:extLst>
            <a:ext uri="{FF2B5EF4-FFF2-40B4-BE49-F238E27FC236}">
              <a16:creationId xmlns="" xmlns:a16="http://schemas.microsoft.com/office/drawing/2014/main" id="{00000000-0008-0000-2D00-00006C7F0D00}"/>
            </a:ext>
          </a:extLst>
        </xdr:cNvPr>
        <xdr:cNvSpPr>
          <a:spLocks noChangeArrowheads="1"/>
        </xdr:cNvSpPr>
      </xdr:nvSpPr>
      <xdr:spPr bwMode="auto">
        <a:xfrm>
          <a:off x="6705600" y="12065000"/>
          <a:ext cx="57150" cy="654050"/>
        </a:xfrm>
        <a:prstGeom prst="rect">
          <a:avLst/>
        </a:prstGeom>
        <a:solidFill>
          <a:srgbClr val="33CCCC"/>
        </a:solidFill>
        <a:ln w="9525">
          <a:solidFill>
            <a:srgbClr val="000000"/>
          </a:solidFill>
          <a:miter lim="800000"/>
          <a:headEnd/>
          <a:tailEnd/>
        </a:ln>
      </xdr:spPr>
    </xdr:sp>
    <xdr:clientData/>
  </xdr:twoCellAnchor>
  <xdr:twoCellAnchor>
    <xdr:from>
      <xdr:col>9</xdr:col>
      <xdr:colOff>448310</xdr:colOff>
      <xdr:row>66</xdr:row>
      <xdr:rowOff>136525</xdr:rowOff>
    </xdr:from>
    <xdr:to>
      <xdr:col>12</xdr:col>
      <xdr:colOff>328315</xdr:colOff>
      <xdr:row>68</xdr:row>
      <xdr:rowOff>132367</xdr:rowOff>
    </xdr:to>
    <xdr:sp macro="" textlink="">
      <xdr:nvSpPr>
        <xdr:cNvPr id="133" name="Text Box 166">
          <a:extLst>
            <a:ext uri="{FF2B5EF4-FFF2-40B4-BE49-F238E27FC236}">
              <a16:creationId xmlns="" xmlns:a16="http://schemas.microsoft.com/office/drawing/2014/main" id="{00000000-0008-0000-2D00-000085000000}"/>
            </a:ext>
          </a:extLst>
        </xdr:cNvPr>
        <xdr:cNvSpPr txBox="1">
          <a:spLocks noChangeArrowheads="1"/>
        </xdr:cNvSpPr>
      </xdr:nvSpPr>
      <xdr:spPr bwMode="auto">
        <a:xfrm>
          <a:off x="8067675" y="13344525"/>
          <a:ext cx="2381250" cy="40005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Tuyau de trop-plein PVC50 PN10 ou PVC40 PN10</a:t>
          </a:r>
        </a:p>
      </xdr:txBody>
    </xdr:sp>
    <xdr:clientData/>
  </xdr:twoCellAnchor>
  <xdr:twoCellAnchor>
    <xdr:from>
      <xdr:col>5</xdr:col>
      <xdr:colOff>61595</xdr:colOff>
      <xdr:row>69</xdr:row>
      <xdr:rowOff>76200</xdr:rowOff>
    </xdr:from>
    <xdr:to>
      <xdr:col>8</xdr:col>
      <xdr:colOff>416025</xdr:colOff>
      <xdr:row>72</xdr:row>
      <xdr:rowOff>75776</xdr:rowOff>
    </xdr:to>
    <xdr:sp macro="" textlink="">
      <xdr:nvSpPr>
        <xdr:cNvPr id="134" name="Text Box 167">
          <a:extLst>
            <a:ext uri="{FF2B5EF4-FFF2-40B4-BE49-F238E27FC236}">
              <a16:creationId xmlns="" xmlns:a16="http://schemas.microsoft.com/office/drawing/2014/main" id="{00000000-0008-0000-2D00-000086000000}"/>
            </a:ext>
          </a:extLst>
        </xdr:cNvPr>
        <xdr:cNvSpPr txBox="1">
          <a:spLocks noChangeArrowheads="1"/>
        </xdr:cNvSpPr>
      </xdr:nvSpPr>
      <xdr:spPr bwMode="auto">
        <a:xfrm>
          <a:off x="4210050" y="13887450"/>
          <a:ext cx="2971800" cy="60007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Mur de captage (en beton dose' a 300 kg/m3) - dimensions moyennes L=2.0m; l=0.2m max; H=0.8m ancre' dans le sol impermeable</a:t>
          </a:r>
        </a:p>
      </xdr:txBody>
    </xdr:sp>
    <xdr:clientData/>
  </xdr:twoCellAnchor>
  <xdr:twoCellAnchor>
    <xdr:from>
      <xdr:col>7</xdr:col>
      <xdr:colOff>31750</xdr:colOff>
      <xdr:row>66</xdr:row>
      <xdr:rowOff>82550</xdr:rowOff>
    </xdr:from>
    <xdr:to>
      <xdr:col>7</xdr:col>
      <xdr:colOff>285750</xdr:colOff>
      <xdr:row>69</xdr:row>
      <xdr:rowOff>19050</xdr:rowOff>
    </xdr:to>
    <xdr:sp macro="" textlink="">
      <xdr:nvSpPr>
        <xdr:cNvPr id="884591" name="Line 168">
          <a:extLst>
            <a:ext uri="{FF2B5EF4-FFF2-40B4-BE49-F238E27FC236}">
              <a16:creationId xmlns="" xmlns:a16="http://schemas.microsoft.com/office/drawing/2014/main" id="{00000000-0008-0000-2D00-00006F7F0D00}"/>
            </a:ext>
          </a:extLst>
        </xdr:cNvPr>
        <xdr:cNvSpPr>
          <a:spLocks noChangeShapeType="1"/>
        </xdr:cNvSpPr>
      </xdr:nvSpPr>
      <xdr:spPr bwMode="auto">
        <a:xfrm flipV="1">
          <a:off x="5899150" y="13074650"/>
          <a:ext cx="254000" cy="5270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10</xdr:col>
      <xdr:colOff>196850</xdr:colOff>
      <xdr:row>65</xdr:row>
      <xdr:rowOff>19050</xdr:rowOff>
    </xdr:from>
    <xdr:to>
      <xdr:col>10</xdr:col>
      <xdr:colOff>330200</xdr:colOff>
      <xdr:row>66</xdr:row>
      <xdr:rowOff>82550</xdr:rowOff>
    </xdr:to>
    <xdr:sp macro="" textlink="">
      <xdr:nvSpPr>
        <xdr:cNvPr id="884592" name="Line 169">
          <a:extLst>
            <a:ext uri="{FF2B5EF4-FFF2-40B4-BE49-F238E27FC236}">
              <a16:creationId xmlns="" xmlns:a16="http://schemas.microsoft.com/office/drawing/2014/main" id="{00000000-0008-0000-2D00-0000707F0D00}"/>
            </a:ext>
          </a:extLst>
        </xdr:cNvPr>
        <xdr:cNvSpPr>
          <a:spLocks noChangeShapeType="1"/>
        </xdr:cNvSpPr>
      </xdr:nvSpPr>
      <xdr:spPr bwMode="auto">
        <a:xfrm flipV="1">
          <a:off x="8578850" y="12814300"/>
          <a:ext cx="133350" cy="2603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8</xdr:col>
      <xdr:colOff>477520</xdr:colOff>
      <xdr:row>56</xdr:row>
      <xdr:rowOff>149860</xdr:rowOff>
    </xdr:from>
    <xdr:to>
      <xdr:col>11</xdr:col>
      <xdr:colOff>370421</xdr:colOff>
      <xdr:row>59</xdr:row>
      <xdr:rowOff>112965</xdr:rowOff>
    </xdr:to>
    <xdr:sp macro="" textlink="">
      <xdr:nvSpPr>
        <xdr:cNvPr id="137" name="Text Box 170">
          <a:extLst>
            <a:ext uri="{FF2B5EF4-FFF2-40B4-BE49-F238E27FC236}">
              <a16:creationId xmlns="" xmlns:a16="http://schemas.microsoft.com/office/drawing/2014/main" id="{00000000-0008-0000-2D00-000089000000}"/>
            </a:ext>
          </a:extLst>
        </xdr:cNvPr>
        <xdr:cNvSpPr txBox="1">
          <a:spLocks noChangeArrowheads="1"/>
        </xdr:cNvSpPr>
      </xdr:nvSpPr>
      <xdr:spPr bwMode="auto">
        <a:xfrm>
          <a:off x="7305675" y="11353800"/>
          <a:ext cx="2381250" cy="60007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Tuyau d'adduction PVC50 PN10 ou PVC40 PN10 - minimum slope/pente 3% en direction du reservoir</a:t>
          </a:r>
        </a:p>
      </xdr:txBody>
    </xdr:sp>
    <xdr:clientData/>
  </xdr:twoCellAnchor>
  <xdr:twoCellAnchor>
    <xdr:from>
      <xdr:col>9</xdr:col>
      <xdr:colOff>419100</xdr:colOff>
      <xdr:row>59</xdr:row>
      <xdr:rowOff>95250</xdr:rowOff>
    </xdr:from>
    <xdr:to>
      <xdr:col>10</xdr:col>
      <xdr:colOff>273050</xdr:colOff>
      <xdr:row>62</xdr:row>
      <xdr:rowOff>120650</xdr:rowOff>
    </xdr:to>
    <xdr:sp macro="" textlink="">
      <xdr:nvSpPr>
        <xdr:cNvPr id="884594" name="Line 171">
          <a:extLst>
            <a:ext uri="{FF2B5EF4-FFF2-40B4-BE49-F238E27FC236}">
              <a16:creationId xmlns="" xmlns:a16="http://schemas.microsoft.com/office/drawing/2014/main" id="{00000000-0008-0000-2D00-0000727F0D00}"/>
            </a:ext>
          </a:extLst>
        </xdr:cNvPr>
        <xdr:cNvSpPr>
          <a:spLocks noChangeShapeType="1"/>
        </xdr:cNvSpPr>
      </xdr:nvSpPr>
      <xdr:spPr bwMode="auto">
        <a:xfrm>
          <a:off x="7962900" y="11709400"/>
          <a:ext cx="692150" cy="6159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0</xdr:col>
      <xdr:colOff>328295</xdr:colOff>
      <xdr:row>55</xdr:row>
      <xdr:rowOff>92710</xdr:rowOff>
    </xdr:from>
    <xdr:to>
      <xdr:col>2</xdr:col>
      <xdr:colOff>61507</xdr:colOff>
      <xdr:row>56</xdr:row>
      <xdr:rowOff>173968</xdr:rowOff>
    </xdr:to>
    <xdr:sp macro="" textlink="">
      <xdr:nvSpPr>
        <xdr:cNvPr id="139" name="Text Box 142">
          <a:extLst>
            <a:ext uri="{FF2B5EF4-FFF2-40B4-BE49-F238E27FC236}">
              <a16:creationId xmlns="" xmlns:a16="http://schemas.microsoft.com/office/drawing/2014/main" id="{00000000-0008-0000-2D00-00008B000000}"/>
            </a:ext>
          </a:extLst>
        </xdr:cNvPr>
        <xdr:cNvSpPr txBox="1">
          <a:spLocks noChangeArrowheads="1"/>
        </xdr:cNvSpPr>
      </xdr:nvSpPr>
      <xdr:spPr bwMode="auto">
        <a:xfrm>
          <a:off x="390525" y="11125200"/>
          <a:ext cx="1295400" cy="276558"/>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Terrain natural</a:t>
          </a:r>
        </a:p>
      </xdr:txBody>
    </xdr:sp>
    <xdr:clientData/>
  </xdr:twoCellAnchor>
  <xdr:twoCellAnchor>
    <xdr:from>
      <xdr:col>3</xdr:col>
      <xdr:colOff>438150</xdr:colOff>
      <xdr:row>55</xdr:row>
      <xdr:rowOff>19050</xdr:rowOff>
    </xdr:from>
    <xdr:to>
      <xdr:col>7</xdr:col>
      <xdr:colOff>374650</xdr:colOff>
      <xdr:row>58</xdr:row>
      <xdr:rowOff>101600</xdr:rowOff>
    </xdr:to>
    <xdr:sp macro="" textlink="">
      <xdr:nvSpPr>
        <xdr:cNvPr id="884596" name="Rectangle 175" descr="Dark downward diagonal">
          <a:extLst>
            <a:ext uri="{FF2B5EF4-FFF2-40B4-BE49-F238E27FC236}">
              <a16:creationId xmlns="" xmlns:a16="http://schemas.microsoft.com/office/drawing/2014/main" id="{00000000-0008-0000-2D00-0000747F0D00}"/>
            </a:ext>
          </a:extLst>
        </xdr:cNvPr>
        <xdr:cNvSpPr>
          <a:spLocks noChangeArrowheads="1"/>
        </xdr:cNvSpPr>
      </xdr:nvSpPr>
      <xdr:spPr bwMode="auto">
        <a:xfrm>
          <a:off x="2952750" y="10845800"/>
          <a:ext cx="3289300" cy="673100"/>
        </a:xfrm>
        <a:prstGeom prst="rect">
          <a:avLst/>
        </a:prstGeom>
        <a:blipFill dpi="0" rotWithShape="0">
          <a:blip xmlns:r="http://schemas.openxmlformats.org/officeDocument/2006/relationships" r:embed="rId4"/>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400050</xdr:colOff>
      <xdr:row>55</xdr:row>
      <xdr:rowOff>0</xdr:rowOff>
    </xdr:from>
    <xdr:to>
      <xdr:col>13</xdr:col>
      <xdr:colOff>400050</xdr:colOff>
      <xdr:row>62</xdr:row>
      <xdr:rowOff>76200</xdr:rowOff>
    </xdr:to>
    <xdr:sp macro="" textlink="">
      <xdr:nvSpPr>
        <xdr:cNvPr id="884597" name="Freeform 140">
          <a:extLst>
            <a:ext uri="{FF2B5EF4-FFF2-40B4-BE49-F238E27FC236}">
              <a16:creationId xmlns="" xmlns:a16="http://schemas.microsoft.com/office/drawing/2014/main" id="{00000000-0008-0000-2D00-0000757F0D00}"/>
            </a:ext>
          </a:extLst>
        </xdr:cNvPr>
        <xdr:cNvSpPr>
          <a:spLocks/>
        </xdr:cNvSpPr>
      </xdr:nvSpPr>
      <xdr:spPr bwMode="auto">
        <a:xfrm>
          <a:off x="4591050" y="10826750"/>
          <a:ext cx="6705600" cy="1454150"/>
        </a:xfrm>
        <a:custGeom>
          <a:avLst/>
          <a:gdLst>
            <a:gd name="T0" fmla="*/ 0 w 663"/>
            <a:gd name="T1" fmla="*/ 0 h 96"/>
            <a:gd name="T2" fmla="*/ 2147483646 w 663"/>
            <a:gd name="T3" fmla="*/ 2147483646 h 96"/>
            <a:gd name="T4" fmla="*/ 2147483646 w 663"/>
            <a:gd name="T5" fmla="*/ 2147483646 h 96"/>
            <a:gd name="T6" fmla="*/ 2147483646 w 663"/>
            <a:gd name="T7" fmla="*/ 2147483646 h 96"/>
            <a:gd name="T8" fmla="*/ 2147483646 w 663"/>
            <a:gd name="T9" fmla="*/ 2147483646 h 96"/>
            <a:gd name="T10" fmla="*/ 2147483646 w 663"/>
            <a:gd name="T11" fmla="*/ 2147483646 h 96"/>
            <a:gd name="T12" fmla="*/ 2147483646 w 663"/>
            <a:gd name="T13" fmla="*/ 2147483646 h 96"/>
            <a:gd name="T14" fmla="*/ 2147483646 w 663"/>
            <a:gd name="T15" fmla="*/ 2147483646 h 96"/>
            <a:gd name="T16" fmla="*/ 2147483646 w 663"/>
            <a:gd name="T17" fmla="*/ 2147483646 h 96"/>
            <a:gd name="T18" fmla="*/ 2147483646 w 663"/>
            <a:gd name="T19" fmla="*/ 2147483646 h 96"/>
            <a:gd name="T20" fmla="*/ 2147483646 w 663"/>
            <a:gd name="T21" fmla="*/ 2147483646 h 96"/>
            <a:gd name="T22" fmla="*/ 2147483646 w 663"/>
            <a:gd name="T23" fmla="*/ 2147483646 h 9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663"/>
            <a:gd name="T37" fmla="*/ 0 h 96"/>
            <a:gd name="T38" fmla="*/ 663 w 663"/>
            <a:gd name="T39" fmla="*/ 96 h 96"/>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663" h="96">
              <a:moveTo>
                <a:pt x="0" y="0"/>
              </a:moveTo>
              <a:cubicBezTo>
                <a:pt x="39" y="5"/>
                <a:pt x="78" y="10"/>
                <a:pt x="96" y="12"/>
              </a:cubicBezTo>
              <a:cubicBezTo>
                <a:pt x="114" y="14"/>
                <a:pt x="95" y="9"/>
                <a:pt x="106" y="14"/>
              </a:cubicBezTo>
              <a:cubicBezTo>
                <a:pt x="117" y="19"/>
                <a:pt x="147" y="36"/>
                <a:pt x="162" y="40"/>
              </a:cubicBezTo>
              <a:cubicBezTo>
                <a:pt x="177" y="44"/>
                <a:pt x="180" y="30"/>
                <a:pt x="198" y="35"/>
              </a:cubicBezTo>
              <a:cubicBezTo>
                <a:pt x="216" y="40"/>
                <a:pt x="255" y="63"/>
                <a:pt x="271" y="68"/>
              </a:cubicBezTo>
              <a:cubicBezTo>
                <a:pt x="287" y="73"/>
                <a:pt x="278" y="65"/>
                <a:pt x="296" y="67"/>
              </a:cubicBezTo>
              <a:cubicBezTo>
                <a:pt x="314" y="69"/>
                <a:pt x="354" y="78"/>
                <a:pt x="380" y="80"/>
              </a:cubicBezTo>
              <a:cubicBezTo>
                <a:pt x="406" y="82"/>
                <a:pt x="429" y="77"/>
                <a:pt x="453" y="79"/>
              </a:cubicBezTo>
              <a:cubicBezTo>
                <a:pt x="477" y="81"/>
                <a:pt x="505" y="89"/>
                <a:pt x="524" y="91"/>
              </a:cubicBezTo>
              <a:cubicBezTo>
                <a:pt x="543" y="93"/>
                <a:pt x="547" y="90"/>
                <a:pt x="570" y="91"/>
              </a:cubicBezTo>
              <a:cubicBezTo>
                <a:pt x="593" y="92"/>
                <a:pt x="628" y="94"/>
                <a:pt x="663" y="96"/>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438150</xdr:colOff>
      <xdr:row>58</xdr:row>
      <xdr:rowOff>6350</xdr:rowOff>
    </xdr:from>
    <xdr:to>
      <xdr:col>7</xdr:col>
      <xdr:colOff>361950</xdr:colOff>
      <xdr:row>59</xdr:row>
      <xdr:rowOff>6350</xdr:rowOff>
    </xdr:to>
    <xdr:sp macro="" textlink="">
      <xdr:nvSpPr>
        <xdr:cNvPr id="884598" name="Rectangle 143" descr="Granite">
          <a:extLst>
            <a:ext uri="{FF2B5EF4-FFF2-40B4-BE49-F238E27FC236}">
              <a16:creationId xmlns="" xmlns:a16="http://schemas.microsoft.com/office/drawing/2014/main" id="{00000000-0008-0000-2D00-0000767F0D00}"/>
            </a:ext>
          </a:extLst>
        </xdr:cNvPr>
        <xdr:cNvSpPr>
          <a:spLocks noChangeArrowheads="1"/>
        </xdr:cNvSpPr>
      </xdr:nvSpPr>
      <xdr:spPr bwMode="auto">
        <a:xfrm rot="180000" flipV="1">
          <a:off x="2952750" y="11423650"/>
          <a:ext cx="3276600" cy="196850"/>
        </a:xfrm>
        <a:prstGeom prst="rect">
          <a:avLst/>
        </a:prstGeom>
        <a:blipFill dpi="0" rotWithShape="0">
          <a:blip xmlns:r="http://schemas.openxmlformats.org/officeDocument/2006/relationships" r:embed="rId7"/>
          <a:srcRect/>
          <a:tile tx="0" ty="0" sx="100000" sy="100000" flip="none" algn="tl"/>
        </a:blipFill>
        <a:ln>
          <a:noFill/>
        </a:ln>
        <a:extLst>
          <a:ext uri="{91240B29-F687-4F45-9708-019B960494DF}">
            <a14:hiddenLine xmlns:a14="http://schemas.microsoft.com/office/drawing/2010/main" w="3175">
              <a:solidFill>
                <a:srgbClr val="000000"/>
              </a:solidFill>
              <a:miter lim="800000"/>
              <a:headEnd/>
              <a:tailEnd/>
            </a14:hiddenLine>
          </a:ext>
        </a:extLst>
      </xdr:spPr>
    </xdr:sp>
    <xdr:clientData/>
  </xdr:twoCellAnchor>
  <xdr:twoCellAnchor>
    <xdr:from>
      <xdr:col>6</xdr:col>
      <xdr:colOff>57785</xdr:colOff>
      <xdr:row>56</xdr:row>
      <xdr:rowOff>41275</xdr:rowOff>
    </xdr:from>
    <xdr:to>
      <xdr:col>6</xdr:col>
      <xdr:colOff>285609</xdr:colOff>
      <xdr:row>57</xdr:row>
      <xdr:rowOff>76695</xdr:rowOff>
    </xdr:to>
    <xdr:sp macro="" textlink="">
      <xdr:nvSpPr>
        <xdr:cNvPr id="143" name="Text Box 156">
          <a:extLst>
            <a:ext uri="{FF2B5EF4-FFF2-40B4-BE49-F238E27FC236}">
              <a16:creationId xmlns="" xmlns:a16="http://schemas.microsoft.com/office/drawing/2014/main" id="{00000000-0008-0000-2D00-00008F000000}"/>
            </a:ext>
          </a:extLst>
        </xdr:cNvPr>
        <xdr:cNvSpPr txBox="1">
          <a:spLocks noChangeArrowheads="1"/>
        </xdr:cNvSpPr>
      </xdr:nvSpPr>
      <xdr:spPr bwMode="auto">
        <a:xfrm>
          <a:off x="5105400" y="11268075"/>
          <a:ext cx="276225" cy="21907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3%</a:t>
          </a:r>
        </a:p>
      </xdr:txBody>
    </xdr:sp>
    <xdr:clientData/>
  </xdr:twoCellAnchor>
  <xdr:twoCellAnchor>
    <xdr:from>
      <xdr:col>6</xdr:col>
      <xdr:colOff>31750</xdr:colOff>
      <xdr:row>57</xdr:row>
      <xdr:rowOff>114300</xdr:rowOff>
    </xdr:from>
    <xdr:to>
      <xdr:col>6</xdr:col>
      <xdr:colOff>317500</xdr:colOff>
      <xdr:row>57</xdr:row>
      <xdr:rowOff>139700</xdr:rowOff>
    </xdr:to>
    <xdr:sp macro="" textlink="">
      <xdr:nvSpPr>
        <xdr:cNvPr id="884600" name="Line 155">
          <a:extLst>
            <a:ext uri="{FF2B5EF4-FFF2-40B4-BE49-F238E27FC236}">
              <a16:creationId xmlns="" xmlns:a16="http://schemas.microsoft.com/office/drawing/2014/main" id="{00000000-0008-0000-2D00-0000787F0D00}"/>
            </a:ext>
          </a:extLst>
        </xdr:cNvPr>
        <xdr:cNvSpPr>
          <a:spLocks noChangeShapeType="1"/>
        </xdr:cNvSpPr>
      </xdr:nvSpPr>
      <xdr:spPr bwMode="auto">
        <a:xfrm>
          <a:off x="5060950" y="11334750"/>
          <a:ext cx="285750" cy="25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477520</xdr:colOff>
      <xdr:row>55</xdr:row>
      <xdr:rowOff>36830</xdr:rowOff>
    </xdr:from>
    <xdr:to>
      <xdr:col>5</xdr:col>
      <xdr:colOff>173391</xdr:colOff>
      <xdr:row>56</xdr:row>
      <xdr:rowOff>112678</xdr:rowOff>
    </xdr:to>
    <xdr:sp macro="" textlink="">
      <xdr:nvSpPr>
        <xdr:cNvPr id="145" name="Text Box 176">
          <a:extLst>
            <a:ext uri="{FF2B5EF4-FFF2-40B4-BE49-F238E27FC236}">
              <a16:creationId xmlns="" xmlns:a16="http://schemas.microsoft.com/office/drawing/2014/main" id="{00000000-0008-0000-2D00-000091000000}"/>
            </a:ext>
          </a:extLst>
        </xdr:cNvPr>
        <xdr:cNvSpPr txBox="1">
          <a:spLocks noChangeArrowheads="1"/>
        </xdr:cNvSpPr>
      </xdr:nvSpPr>
      <xdr:spPr bwMode="auto">
        <a:xfrm>
          <a:off x="3114675" y="11058525"/>
          <a:ext cx="1295400" cy="266787"/>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Terrain remblais</a:t>
          </a:r>
        </a:p>
      </xdr:txBody>
    </xdr:sp>
    <xdr:clientData/>
  </xdr:twoCellAnchor>
  <xdr:twoCellAnchor>
    <xdr:from>
      <xdr:col>3</xdr:col>
      <xdr:colOff>57150</xdr:colOff>
      <xdr:row>57</xdr:row>
      <xdr:rowOff>139700</xdr:rowOff>
    </xdr:from>
    <xdr:to>
      <xdr:col>4</xdr:col>
      <xdr:colOff>57150</xdr:colOff>
      <xdr:row>61</xdr:row>
      <xdr:rowOff>82550</xdr:rowOff>
    </xdr:to>
    <xdr:sp macro="" textlink="">
      <xdr:nvSpPr>
        <xdr:cNvPr id="884602" name="Line 147">
          <a:extLst>
            <a:ext uri="{FF2B5EF4-FFF2-40B4-BE49-F238E27FC236}">
              <a16:creationId xmlns="" xmlns:a16="http://schemas.microsoft.com/office/drawing/2014/main" id="{00000000-0008-0000-2D00-00007A7F0D00}"/>
            </a:ext>
          </a:extLst>
        </xdr:cNvPr>
        <xdr:cNvSpPr>
          <a:spLocks noChangeShapeType="1"/>
        </xdr:cNvSpPr>
      </xdr:nvSpPr>
      <xdr:spPr bwMode="auto">
        <a:xfrm flipV="1">
          <a:off x="2571750" y="11360150"/>
          <a:ext cx="838200" cy="7302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4</xdr:col>
      <xdr:colOff>0</xdr:colOff>
      <xdr:row>59</xdr:row>
      <xdr:rowOff>35560</xdr:rowOff>
    </xdr:from>
    <xdr:to>
      <xdr:col>6</xdr:col>
      <xdr:colOff>135595</xdr:colOff>
      <xdr:row>61</xdr:row>
      <xdr:rowOff>20953</xdr:rowOff>
    </xdr:to>
    <xdr:sp macro="" textlink="">
      <xdr:nvSpPr>
        <xdr:cNvPr id="147" name="Text Box 177">
          <a:extLst>
            <a:ext uri="{FF2B5EF4-FFF2-40B4-BE49-F238E27FC236}">
              <a16:creationId xmlns="" xmlns:a16="http://schemas.microsoft.com/office/drawing/2014/main" id="{00000000-0008-0000-2D00-000093000000}"/>
            </a:ext>
          </a:extLst>
        </xdr:cNvPr>
        <xdr:cNvSpPr txBox="1">
          <a:spLocks noChangeArrowheads="1"/>
        </xdr:cNvSpPr>
      </xdr:nvSpPr>
      <xdr:spPr bwMode="auto">
        <a:xfrm>
          <a:off x="3352800" y="11868150"/>
          <a:ext cx="1819275" cy="371475"/>
        </a:xfrm>
        <a:prstGeom prst="rect">
          <a:avLst/>
        </a:prstGeom>
        <a:solidFill>
          <a:srgbClr val="FFFFFF"/>
        </a:solidFill>
        <a:ln w="9525">
          <a:noFill/>
          <a:miter lim="800000"/>
          <a:headEnd/>
          <a:tailEnd/>
        </a:ln>
        <a:effectLst/>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Massif filtrant de gravier (D=5-25mm) et moeillons</a:t>
          </a:r>
        </a:p>
      </xdr:txBody>
    </xdr:sp>
    <xdr:clientData/>
  </xdr:twoCellAnchor>
  <xdr:twoCellAnchor>
    <xdr:from>
      <xdr:col>21</xdr:col>
      <xdr:colOff>57150</xdr:colOff>
      <xdr:row>61</xdr:row>
      <xdr:rowOff>139700</xdr:rowOff>
    </xdr:from>
    <xdr:to>
      <xdr:col>21</xdr:col>
      <xdr:colOff>266700</xdr:colOff>
      <xdr:row>71</xdr:row>
      <xdr:rowOff>95250</xdr:rowOff>
    </xdr:to>
    <xdr:sp macro="" textlink="">
      <xdr:nvSpPr>
        <xdr:cNvPr id="884604" name="Rectangle 178" descr="Recycled paper">
          <a:extLst>
            <a:ext uri="{FF2B5EF4-FFF2-40B4-BE49-F238E27FC236}">
              <a16:creationId xmlns="" xmlns:a16="http://schemas.microsoft.com/office/drawing/2014/main" id="{00000000-0008-0000-2D00-00007C7F0D00}"/>
            </a:ext>
          </a:extLst>
        </xdr:cNvPr>
        <xdr:cNvSpPr>
          <a:spLocks noChangeArrowheads="1"/>
        </xdr:cNvSpPr>
      </xdr:nvSpPr>
      <xdr:spPr bwMode="auto">
        <a:xfrm>
          <a:off x="17659350" y="12147550"/>
          <a:ext cx="209550" cy="1924050"/>
        </a:xfrm>
        <a:prstGeom prst="rect">
          <a:avLst/>
        </a:prstGeom>
        <a:blipFill dpi="0" rotWithShape="0">
          <a:blip xmlns:r="http://schemas.openxmlformats.org/officeDocument/2006/relationships" r:embed="rId5"/>
          <a:srcRect/>
          <a:tile tx="0" ty="0" sx="100000" sy="100000" flip="none" algn="tl"/>
        </a:blipFill>
        <a:ln w="9525">
          <a:solidFill>
            <a:srgbClr val="000000"/>
          </a:solidFill>
          <a:miter lim="800000"/>
          <a:headEnd/>
          <a:tailEnd/>
        </a:ln>
      </xdr:spPr>
    </xdr:sp>
    <xdr:clientData/>
  </xdr:twoCellAnchor>
  <xdr:twoCellAnchor>
    <xdr:from>
      <xdr:col>17</xdr:col>
      <xdr:colOff>296545</xdr:colOff>
      <xdr:row>72</xdr:row>
      <xdr:rowOff>94615</xdr:rowOff>
    </xdr:from>
    <xdr:to>
      <xdr:col>21</xdr:col>
      <xdr:colOff>173215</xdr:colOff>
      <xdr:row>74</xdr:row>
      <xdr:rowOff>111331</xdr:rowOff>
    </xdr:to>
    <xdr:sp macro="" textlink="">
      <xdr:nvSpPr>
        <xdr:cNvPr id="149" name="Text Box 179">
          <a:extLst>
            <a:ext uri="{FF2B5EF4-FFF2-40B4-BE49-F238E27FC236}">
              <a16:creationId xmlns="" xmlns:a16="http://schemas.microsoft.com/office/drawing/2014/main" id="{00000000-0008-0000-2D00-000095000000}"/>
            </a:ext>
          </a:extLst>
        </xdr:cNvPr>
        <xdr:cNvSpPr txBox="1">
          <a:spLocks noChangeArrowheads="1"/>
        </xdr:cNvSpPr>
      </xdr:nvSpPr>
      <xdr:spPr bwMode="auto">
        <a:xfrm>
          <a:off x="14611350" y="14497050"/>
          <a:ext cx="3200400" cy="438037"/>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Mur de l'aire de puisage maconne' en moeillons avec lissage au mortier hydrofuge'</a:t>
          </a:r>
        </a:p>
      </xdr:txBody>
    </xdr:sp>
    <xdr:clientData/>
  </xdr:twoCellAnchor>
  <xdr:twoCellAnchor>
    <xdr:from>
      <xdr:col>20</xdr:col>
      <xdr:colOff>171450</xdr:colOff>
      <xdr:row>70</xdr:row>
      <xdr:rowOff>139700</xdr:rowOff>
    </xdr:from>
    <xdr:to>
      <xdr:col>21</xdr:col>
      <xdr:colOff>12700</xdr:colOff>
      <xdr:row>72</xdr:row>
      <xdr:rowOff>95250</xdr:rowOff>
    </xdr:to>
    <xdr:sp macro="" textlink="">
      <xdr:nvSpPr>
        <xdr:cNvPr id="884606" name="Line 180">
          <a:extLst>
            <a:ext uri="{FF2B5EF4-FFF2-40B4-BE49-F238E27FC236}">
              <a16:creationId xmlns="" xmlns:a16="http://schemas.microsoft.com/office/drawing/2014/main" id="{00000000-0008-0000-2D00-00007E7F0D00}"/>
            </a:ext>
          </a:extLst>
        </xdr:cNvPr>
        <xdr:cNvSpPr>
          <a:spLocks noChangeShapeType="1"/>
        </xdr:cNvSpPr>
      </xdr:nvSpPr>
      <xdr:spPr bwMode="auto">
        <a:xfrm flipV="1">
          <a:off x="16935450" y="13919200"/>
          <a:ext cx="679450" cy="3492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21</xdr:col>
      <xdr:colOff>448945</xdr:colOff>
      <xdr:row>60</xdr:row>
      <xdr:rowOff>61595</xdr:rowOff>
    </xdr:from>
    <xdr:to>
      <xdr:col>24</xdr:col>
      <xdr:colOff>341573</xdr:colOff>
      <xdr:row>63</xdr:row>
      <xdr:rowOff>18640</xdr:rowOff>
    </xdr:to>
    <xdr:sp macro="" textlink="">
      <xdr:nvSpPr>
        <xdr:cNvPr id="151" name="Text Box 182">
          <a:extLst>
            <a:ext uri="{FF2B5EF4-FFF2-40B4-BE49-F238E27FC236}">
              <a16:creationId xmlns="" xmlns:a16="http://schemas.microsoft.com/office/drawing/2014/main" id="{00000000-0008-0000-2D00-000097000000}"/>
            </a:ext>
          </a:extLst>
        </xdr:cNvPr>
        <xdr:cNvSpPr txBox="1">
          <a:spLocks noChangeArrowheads="1"/>
        </xdr:cNvSpPr>
      </xdr:nvSpPr>
      <xdr:spPr bwMode="auto">
        <a:xfrm>
          <a:off x="18145125" y="12020550"/>
          <a:ext cx="2381250" cy="60007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Gaine de protection en tuyau galvanise' 2" (longeur=0.6m pour traverser le mur)</a:t>
          </a:r>
        </a:p>
      </xdr:txBody>
    </xdr:sp>
    <xdr:clientData/>
  </xdr:twoCellAnchor>
  <xdr:twoCellAnchor>
    <xdr:from>
      <xdr:col>16</xdr:col>
      <xdr:colOff>63500</xdr:colOff>
      <xdr:row>57</xdr:row>
      <xdr:rowOff>139700</xdr:rowOff>
    </xdr:from>
    <xdr:to>
      <xdr:col>16</xdr:col>
      <xdr:colOff>247650</xdr:colOff>
      <xdr:row>60</xdr:row>
      <xdr:rowOff>25400</xdr:rowOff>
    </xdr:to>
    <xdr:sp macro="" textlink="">
      <xdr:nvSpPr>
        <xdr:cNvPr id="884608" name="Line 183">
          <a:extLst>
            <a:ext uri="{FF2B5EF4-FFF2-40B4-BE49-F238E27FC236}">
              <a16:creationId xmlns="" xmlns:a16="http://schemas.microsoft.com/office/drawing/2014/main" id="{00000000-0008-0000-2D00-0000807F0D00}"/>
            </a:ext>
          </a:extLst>
        </xdr:cNvPr>
        <xdr:cNvSpPr>
          <a:spLocks noChangeShapeType="1"/>
        </xdr:cNvSpPr>
      </xdr:nvSpPr>
      <xdr:spPr bwMode="auto">
        <a:xfrm flipH="1">
          <a:off x="13474700" y="11360150"/>
          <a:ext cx="184150" cy="4762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19</xdr:col>
      <xdr:colOff>317500</xdr:colOff>
      <xdr:row>63</xdr:row>
      <xdr:rowOff>57150</xdr:rowOff>
    </xdr:from>
    <xdr:to>
      <xdr:col>21</xdr:col>
      <xdr:colOff>57150</xdr:colOff>
      <xdr:row>67</xdr:row>
      <xdr:rowOff>19050</xdr:rowOff>
    </xdr:to>
    <xdr:sp macro="" textlink="">
      <xdr:nvSpPr>
        <xdr:cNvPr id="884609" name="Rectangle 184" descr="Dark downward diagonal">
          <a:extLst>
            <a:ext uri="{FF2B5EF4-FFF2-40B4-BE49-F238E27FC236}">
              <a16:creationId xmlns="" xmlns:a16="http://schemas.microsoft.com/office/drawing/2014/main" id="{00000000-0008-0000-2D00-0000817F0D00}"/>
            </a:ext>
          </a:extLst>
        </xdr:cNvPr>
        <xdr:cNvSpPr>
          <a:spLocks noChangeArrowheads="1"/>
        </xdr:cNvSpPr>
      </xdr:nvSpPr>
      <xdr:spPr bwMode="auto">
        <a:xfrm>
          <a:off x="16243300" y="12458700"/>
          <a:ext cx="1416050" cy="749300"/>
        </a:xfrm>
        <a:prstGeom prst="rect">
          <a:avLst/>
        </a:prstGeom>
        <a:blipFill dpi="0" rotWithShape="0">
          <a:blip xmlns:r="http://schemas.openxmlformats.org/officeDocument/2006/relationships" r:embed="rId4"/>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133350</xdr:colOff>
      <xdr:row>64</xdr:row>
      <xdr:rowOff>114300</xdr:rowOff>
    </xdr:from>
    <xdr:to>
      <xdr:col>14</xdr:col>
      <xdr:colOff>228600</xdr:colOff>
      <xdr:row>65</xdr:row>
      <xdr:rowOff>44450</xdr:rowOff>
    </xdr:to>
    <xdr:sp macro="" textlink="">
      <xdr:nvSpPr>
        <xdr:cNvPr id="884610" name="Rectangle 165">
          <a:extLst>
            <a:ext uri="{FF2B5EF4-FFF2-40B4-BE49-F238E27FC236}">
              <a16:creationId xmlns="" xmlns:a16="http://schemas.microsoft.com/office/drawing/2014/main" id="{00000000-0008-0000-2D00-0000827F0D00}"/>
            </a:ext>
          </a:extLst>
        </xdr:cNvPr>
        <xdr:cNvSpPr>
          <a:spLocks noChangeArrowheads="1"/>
        </xdr:cNvSpPr>
      </xdr:nvSpPr>
      <xdr:spPr bwMode="auto">
        <a:xfrm flipV="1">
          <a:off x="6000750" y="12712700"/>
          <a:ext cx="5962650" cy="127000"/>
        </a:xfrm>
        <a:prstGeom prst="rect">
          <a:avLst/>
        </a:prstGeom>
        <a:solidFill>
          <a:srgbClr val="33CCCC"/>
        </a:solidFill>
        <a:ln w="9525">
          <a:solidFill>
            <a:srgbClr val="000000"/>
          </a:solidFill>
          <a:miter lim="800000"/>
          <a:headEnd/>
          <a:tailEnd/>
        </a:ln>
      </xdr:spPr>
    </xdr:sp>
    <xdr:clientData/>
  </xdr:twoCellAnchor>
  <xdr:twoCellAnchor>
    <xdr:from>
      <xdr:col>6</xdr:col>
      <xdr:colOff>355600</xdr:colOff>
      <xdr:row>62</xdr:row>
      <xdr:rowOff>120650</xdr:rowOff>
    </xdr:from>
    <xdr:to>
      <xdr:col>13</xdr:col>
      <xdr:colOff>400050</xdr:colOff>
      <xdr:row>63</xdr:row>
      <xdr:rowOff>25400</xdr:rowOff>
    </xdr:to>
    <xdr:sp macro="" textlink="">
      <xdr:nvSpPr>
        <xdr:cNvPr id="884611" name="Rectangle 153">
          <a:extLst>
            <a:ext uri="{FF2B5EF4-FFF2-40B4-BE49-F238E27FC236}">
              <a16:creationId xmlns="" xmlns:a16="http://schemas.microsoft.com/office/drawing/2014/main" id="{00000000-0008-0000-2D00-0000837F0D00}"/>
            </a:ext>
          </a:extLst>
        </xdr:cNvPr>
        <xdr:cNvSpPr>
          <a:spLocks noChangeArrowheads="1"/>
        </xdr:cNvSpPr>
      </xdr:nvSpPr>
      <xdr:spPr bwMode="auto">
        <a:xfrm>
          <a:off x="5384800" y="12325350"/>
          <a:ext cx="5911850" cy="101600"/>
        </a:xfrm>
        <a:prstGeom prst="rect">
          <a:avLst/>
        </a:prstGeom>
        <a:solidFill>
          <a:srgbClr val="33CCCC"/>
        </a:solidFill>
        <a:ln w="9525">
          <a:solidFill>
            <a:srgbClr val="000000"/>
          </a:solidFill>
          <a:miter lim="800000"/>
          <a:headEnd/>
          <a:tailEnd/>
        </a:ln>
      </xdr:spPr>
    </xdr:sp>
    <xdr:clientData/>
  </xdr:twoCellAnchor>
  <xdr:twoCellAnchor>
    <xdr:from>
      <xdr:col>20</xdr:col>
      <xdr:colOff>387350</xdr:colOff>
      <xdr:row>65</xdr:row>
      <xdr:rowOff>25400</xdr:rowOff>
    </xdr:from>
    <xdr:to>
      <xdr:col>21</xdr:col>
      <xdr:colOff>457200</xdr:colOff>
      <xdr:row>65</xdr:row>
      <xdr:rowOff>82550</xdr:rowOff>
    </xdr:to>
    <xdr:sp macro="" textlink="">
      <xdr:nvSpPr>
        <xdr:cNvPr id="884612" name="Rectangle 181">
          <a:extLst>
            <a:ext uri="{FF2B5EF4-FFF2-40B4-BE49-F238E27FC236}">
              <a16:creationId xmlns="" xmlns:a16="http://schemas.microsoft.com/office/drawing/2014/main" id="{00000000-0008-0000-2D00-0000847F0D00}"/>
            </a:ext>
          </a:extLst>
        </xdr:cNvPr>
        <xdr:cNvSpPr>
          <a:spLocks noChangeArrowheads="1"/>
        </xdr:cNvSpPr>
      </xdr:nvSpPr>
      <xdr:spPr bwMode="auto">
        <a:xfrm>
          <a:off x="17151350" y="12820650"/>
          <a:ext cx="908050" cy="57150"/>
        </a:xfrm>
        <a:prstGeom prst="rect">
          <a:avLst/>
        </a:prstGeom>
        <a:solidFill>
          <a:srgbClr val="00B0F0"/>
        </a:solidFill>
        <a:ln w="9525">
          <a:solidFill>
            <a:srgbClr val="000000"/>
          </a:solidFill>
          <a:miter lim="800000"/>
          <a:headEnd/>
          <a:tailEnd/>
        </a:ln>
      </xdr:spPr>
    </xdr:sp>
    <xdr:clientData/>
  </xdr:twoCellAnchor>
  <xdr:twoCellAnchor>
    <xdr:from>
      <xdr:col>19</xdr:col>
      <xdr:colOff>231140</xdr:colOff>
      <xdr:row>44</xdr:row>
      <xdr:rowOff>20320</xdr:rowOff>
    </xdr:from>
    <xdr:to>
      <xdr:col>20</xdr:col>
      <xdr:colOff>231140</xdr:colOff>
      <xdr:row>46</xdr:row>
      <xdr:rowOff>56832</xdr:rowOff>
    </xdr:to>
    <xdr:sp macro="" textlink="">
      <xdr:nvSpPr>
        <xdr:cNvPr id="157" name="Text Box 186">
          <a:extLst>
            <a:ext uri="{FF2B5EF4-FFF2-40B4-BE49-F238E27FC236}">
              <a16:creationId xmlns="" xmlns:a16="http://schemas.microsoft.com/office/drawing/2014/main" id="{00000000-0008-0000-2D00-00009D000000}"/>
            </a:ext>
          </a:extLst>
        </xdr:cNvPr>
        <xdr:cNvSpPr txBox="1">
          <a:spLocks noChangeArrowheads="1"/>
        </xdr:cNvSpPr>
      </xdr:nvSpPr>
      <xdr:spPr bwMode="auto">
        <a:xfrm>
          <a:off x="16221075" y="8829675"/>
          <a:ext cx="838200" cy="43825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Cloture de protection</a:t>
          </a:r>
        </a:p>
      </xdr:txBody>
    </xdr:sp>
    <xdr:clientData/>
  </xdr:twoCellAnchor>
  <xdr:twoCellAnchor>
    <xdr:from>
      <xdr:col>20</xdr:col>
      <xdr:colOff>120650</xdr:colOff>
      <xdr:row>45</xdr:row>
      <xdr:rowOff>120650</xdr:rowOff>
    </xdr:from>
    <xdr:to>
      <xdr:col>20</xdr:col>
      <xdr:colOff>228600</xdr:colOff>
      <xdr:row>47</xdr:row>
      <xdr:rowOff>38100</xdr:rowOff>
    </xdr:to>
    <xdr:sp macro="" textlink="">
      <xdr:nvSpPr>
        <xdr:cNvPr id="884614" name="Line 187">
          <a:extLst>
            <a:ext uri="{FF2B5EF4-FFF2-40B4-BE49-F238E27FC236}">
              <a16:creationId xmlns="" xmlns:a16="http://schemas.microsoft.com/office/drawing/2014/main" id="{00000000-0008-0000-2D00-0000867F0D00}"/>
            </a:ext>
          </a:extLst>
        </xdr:cNvPr>
        <xdr:cNvSpPr>
          <a:spLocks noChangeShapeType="1"/>
        </xdr:cNvSpPr>
      </xdr:nvSpPr>
      <xdr:spPr bwMode="auto">
        <a:xfrm>
          <a:off x="16884650" y="8978900"/>
          <a:ext cx="107950" cy="3111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9</xdr:col>
      <xdr:colOff>44450</xdr:colOff>
      <xdr:row>65</xdr:row>
      <xdr:rowOff>139700</xdr:rowOff>
    </xdr:from>
    <xdr:to>
      <xdr:col>9</xdr:col>
      <xdr:colOff>419100</xdr:colOff>
      <xdr:row>65</xdr:row>
      <xdr:rowOff>158750</xdr:rowOff>
    </xdr:to>
    <xdr:sp macro="" textlink="">
      <xdr:nvSpPr>
        <xdr:cNvPr id="884615" name="Line 191">
          <a:extLst>
            <a:ext uri="{FF2B5EF4-FFF2-40B4-BE49-F238E27FC236}">
              <a16:creationId xmlns="" xmlns:a16="http://schemas.microsoft.com/office/drawing/2014/main" id="{00000000-0008-0000-2D00-0000877F0D00}"/>
            </a:ext>
          </a:extLst>
        </xdr:cNvPr>
        <xdr:cNvSpPr>
          <a:spLocks noChangeShapeType="1"/>
        </xdr:cNvSpPr>
      </xdr:nvSpPr>
      <xdr:spPr bwMode="auto">
        <a:xfrm>
          <a:off x="7588250" y="12934950"/>
          <a:ext cx="374650" cy="190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94615</xdr:colOff>
      <xdr:row>65</xdr:row>
      <xdr:rowOff>39370</xdr:rowOff>
    </xdr:from>
    <xdr:to>
      <xdr:col>9</xdr:col>
      <xdr:colOff>324563</xdr:colOff>
      <xdr:row>66</xdr:row>
      <xdr:rowOff>23798</xdr:rowOff>
    </xdr:to>
    <xdr:sp macro="" textlink="">
      <xdr:nvSpPr>
        <xdr:cNvPr id="160" name="Text Box 192">
          <a:extLst>
            <a:ext uri="{FF2B5EF4-FFF2-40B4-BE49-F238E27FC236}">
              <a16:creationId xmlns="" xmlns:a16="http://schemas.microsoft.com/office/drawing/2014/main" id="{00000000-0008-0000-2D00-0000A0000000}"/>
            </a:ext>
          </a:extLst>
        </xdr:cNvPr>
        <xdr:cNvSpPr txBox="1">
          <a:spLocks noChangeArrowheads="1"/>
        </xdr:cNvSpPr>
      </xdr:nvSpPr>
      <xdr:spPr bwMode="auto">
        <a:xfrm>
          <a:off x="7648575" y="13049250"/>
          <a:ext cx="276225" cy="180974"/>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2%</a:t>
          </a:r>
        </a:p>
      </xdr:txBody>
    </xdr:sp>
    <xdr:clientData/>
  </xdr:twoCellAnchor>
  <xdr:twoCellAnchor>
    <xdr:from>
      <xdr:col>21</xdr:col>
      <xdr:colOff>19050</xdr:colOff>
      <xdr:row>71</xdr:row>
      <xdr:rowOff>76200</xdr:rowOff>
    </xdr:from>
    <xdr:to>
      <xdr:col>21</xdr:col>
      <xdr:colOff>209550</xdr:colOff>
      <xdr:row>72</xdr:row>
      <xdr:rowOff>120650</xdr:rowOff>
    </xdr:to>
    <xdr:sp macro="" textlink="">
      <xdr:nvSpPr>
        <xdr:cNvPr id="884617" name="Freeform 196">
          <a:extLst>
            <a:ext uri="{FF2B5EF4-FFF2-40B4-BE49-F238E27FC236}">
              <a16:creationId xmlns="" xmlns:a16="http://schemas.microsoft.com/office/drawing/2014/main" id="{00000000-0008-0000-2D00-0000897F0D00}"/>
            </a:ext>
          </a:extLst>
        </xdr:cNvPr>
        <xdr:cNvSpPr>
          <a:spLocks/>
        </xdr:cNvSpPr>
      </xdr:nvSpPr>
      <xdr:spPr bwMode="auto">
        <a:xfrm>
          <a:off x="17621250" y="14052550"/>
          <a:ext cx="190500" cy="2413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14</xdr:col>
      <xdr:colOff>88900</xdr:colOff>
      <xdr:row>66</xdr:row>
      <xdr:rowOff>82550</xdr:rowOff>
    </xdr:from>
    <xdr:to>
      <xdr:col>14</xdr:col>
      <xdr:colOff>266700</xdr:colOff>
      <xdr:row>67</xdr:row>
      <xdr:rowOff>139700</xdr:rowOff>
    </xdr:to>
    <xdr:sp macro="" textlink="">
      <xdr:nvSpPr>
        <xdr:cNvPr id="884618" name="Freeform 197">
          <a:extLst>
            <a:ext uri="{FF2B5EF4-FFF2-40B4-BE49-F238E27FC236}">
              <a16:creationId xmlns="" xmlns:a16="http://schemas.microsoft.com/office/drawing/2014/main" id="{00000000-0008-0000-2D00-00008A7F0D00}"/>
            </a:ext>
          </a:extLst>
        </xdr:cNvPr>
        <xdr:cNvSpPr>
          <a:spLocks/>
        </xdr:cNvSpPr>
      </xdr:nvSpPr>
      <xdr:spPr bwMode="auto">
        <a:xfrm>
          <a:off x="11823700" y="13074650"/>
          <a:ext cx="177800" cy="2540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21</xdr:col>
      <xdr:colOff>285750</xdr:colOff>
      <xdr:row>71</xdr:row>
      <xdr:rowOff>82550</xdr:rowOff>
    </xdr:from>
    <xdr:to>
      <xdr:col>21</xdr:col>
      <xdr:colOff>476250</xdr:colOff>
      <xdr:row>72</xdr:row>
      <xdr:rowOff>139700</xdr:rowOff>
    </xdr:to>
    <xdr:sp macro="" textlink="">
      <xdr:nvSpPr>
        <xdr:cNvPr id="884619" name="Freeform 198">
          <a:extLst>
            <a:ext uri="{FF2B5EF4-FFF2-40B4-BE49-F238E27FC236}">
              <a16:creationId xmlns="" xmlns:a16="http://schemas.microsoft.com/office/drawing/2014/main" id="{00000000-0008-0000-2D00-00008B7F0D00}"/>
            </a:ext>
          </a:extLst>
        </xdr:cNvPr>
        <xdr:cNvSpPr>
          <a:spLocks/>
        </xdr:cNvSpPr>
      </xdr:nvSpPr>
      <xdr:spPr bwMode="auto">
        <a:xfrm>
          <a:off x="17887950" y="14058900"/>
          <a:ext cx="190500" cy="2540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14</xdr:col>
      <xdr:colOff>209550</xdr:colOff>
      <xdr:row>66</xdr:row>
      <xdr:rowOff>82550</xdr:rowOff>
    </xdr:from>
    <xdr:to>
      <xdr:col>14</xdr:col>
      <xdr:colOff>400050</xdr:colOff>
      <xdr:row>67</xdr:row>
      <xdr:rowOff>139700</xdr:rowOff>
    </xdr:to>
    <xdr:sp macro="" textlink="">
      <xdr:nvSpPr>
        <xdr:cNvPr id="884620" name="Freeform 199">
          <a:extLst>
            <a:ext uri="{FF2B5EF4-FFF2-40B4-BE49-F238E27FC236}">
              <a16:creationId xmlns="" xmlns:a16="http://schemas.microsoft.com/office/drawing/2014/main" id="{00000000-0008-0000-2D00-00008C7F0D00}"/>
            </a:ext>
          </a:extLst>
        </xdr:cNvPr>
        <xdr:cNvSpPr>
          <a:spLocks/>
        </xdr:cNvSpPr>
      </xdr:nvSpPr>
      <xdr:spPr bwMode="auto">
        <a:xfrm>
          <a:off x="11944350" y="13074650"/>
          <a:ext cx="190500" cy="2540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22</xdr:col>
      <xdr:colOff>57150</xdr:colOff>
      <xdr:row>71</xdr:row>
      <xdr:rowOff>82550</xdr:rowOff>
    </xdr:from>
    <xdr:to>
      <xdr:col>22</xdr:col>
      <xdr:colOff>247650</xdr:colOff>
      <xdr:row>72</xdr:row>
      <xdr:rowOff>139700</xdr:rowOff>
    </xdr:to>
    <xdr:sp macro="" textlink="">
      <xdr:nvSpPr>
        <xdr:cNvPr id="884621" name="Freeform 200">
          <a:extLst>
            <a:ext uri="{FF2B5EF4-FFF2-40B4-BE49-F238E27FC236}">
              <a16:creationId xmlns="" xmlns:a16="http://schemas.microsoft.com/office/drawing/2014/main" id="{00000000-0008-0000-2D00-00008D7F0D00}"/>
            </a:ext>
          </a:extLst>
        </xdr:cNvPr>
        <xdr:cNvSpPr>
          <a:spLocks/>
        </xdr:cNvSpPr>
      </xdr:nvSpPr>
      <xdr:spPr bwMode="auto">
        <a:xfrm>
          <a:off x="18497550" y="14058900"/>
          <a:ext cx="190500" cy="2540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14</xdr:col>
      <xdr:colOff>355600</xdr:colOff>
      <xdr:row>66</xdr:row>
      <xdr:rowOff>82550</xdr:rowOff>
    </xdr:from>
    <xdr:to>
      <xdr:col>15</xdr:col>
      <xdr:colOff>44450</xdr:colOff>
      <xdr:row>67</xdr:row>
      <xdr:rowOff>139700</xdr:rowOff>
    </xdr:to>
    <xdr:sp macro="" textlink="">
      <xdr:nvSpPr>
        <xdr:cNvPr id="884622" name="Freeform 201">
          <a:extLst>
            <a:ext uri="{FF2B5EF4-FFF2-40B4-BE49-F238E27FC236}">
              <a16:creationId xmlns="" xmlns:a16="http://schemas.microsoft.com/office/drawing/2014/main" id="{00000000-0008-0000-2D00-00008E7F0D00}"/>
            </a:ext>
          </a:extLst>
        </xdr:cNvPr>
        <xdr:cNvSpPr>
          <a:spLocks/>
        </xdr:cNvSpPr>
      </xdr:nvSpPr>
      <xdr:spPr bwMode="auto">
        <a:xfrm>
          <a:off x="12090400" y="13074650"/>
          <a:ext cx="527050" cy="2540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22</xdr:col>
      <xdr:colOff>330200</xdr:colOff>
      <xdr:row>71</xdr:row>
      <xdr:rowOff>101600</xdr:rowOff>
    </xdr:from>
    <xdr:to>
      <xdr:col>23</xdr:col>
      <xdr:colOff>31750</xdr:colOff>
      <xdr:row>73</xdr:row>
      <xdr:rowOff>6350</xdr:rowOff>
    </xdr:to>
    <xdr:sp macro="" textlink="">
      <xdr:nvSpPr>
        <xdr:cNvPr id="884623" name="Freeform 202">
          <a:extLst>
            <a:ext uri="{FF2B5EF4-FFF2-40B4-BE49-F238E27FC236}">
              <a16:creationId xmlns="" xmlns:a16="http://schemas.microsoft.com/office/drawing/2014/main" id="{00000000-0008-0000-2D00-00008F7F0D00}"/>
            </a:ext>
          </a:extLst>
        </xdr:cNvPr>
        <xdr:cNvSpPr>
          <a:spLocks/>
        </xdr:cNvSpPr>
      </xdr:nvSpPr>
      <xdr:spPr bwMode="auto">
        <a:xfrm>
          <a:off x="18770600" y="14077950"/>
          <a:ext cx="539750" cy="298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22</xdr:col>
      <xdr:colOff>476250</xdr:colOff>
      <xdr:row>71</xdr:row>
      <xdr:rowOff>114300</xdr:rowOff>
    </xdr:from>
    <xdr:to>
      <xdr:col>23</xdr:col>
      <xdr:colOff>171450</xdr:colOff>
      <xdr:row>73</xdr:row>
      <xdr:rowOff>19050</xdr:rowOff>
    </xdr:to>
    <xdr:sp macro="" textlink="">
      <xdr:nvSpPr>
        <xdr:cNvPr id="884624" name="Freeform 203">
          <a:extLst>
            <a:ext uri="{FF2B5EF4-FFF2-40B4-BE49-F238E27FC236}">
              <a16:creationId xmlns="" xmlns:a16="http://schemas.microsoft.com/office/drawing/2014/main" id="{00000000-0008-0000-2D00-0000907F0D00}"/>
            </a:ext>
          </a:extLst>
        </xdr:cNvPr>
        <xdr:cNvSpPr>
          <a:spLocks/>
        </xdr:cNvSpPr>
      </xdr:nvSpPr>
      <xdr:spPr bwMode="auto">
        <a:xfrm>
          <a:off x="18916650" y="14090650"/>
          <a:ext cx="533400" cy="298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14</xdr:col>
      <xdr:colOff>476250</xdr:colOff>
      <xdr:row>66</xdr:row>
      <xdr:rowOff>76200</xdr:rowOff>
    </xdr:from>
    <xdr:to>
      <xdr:col>15</xdr:col>
      <xdr:colOff>171450</xdr:colOff>
      <xdr:row>67</xdr:row>
      <xdr:rowOff>120650</xdr:rowOff>
    </xdr:to>
    <xdr:sp macro="" textlink="">
      <xdr:nvSpPr>
        <xdr:cNvPr id="884625" name="Freeform 204">
          <a:extLst>
            <a:ext uri="{FF2B5EF4-FFF2-40B4-BE49-F238E27FC236}">
              <a16:creationId xmlns="" xmlns:a16="http://schemas.microsoft.com/office/drawing/2014/main" id="{00000000-0008-0000-2D00-0000917F0D00}"/>
            </a:ext>
          </a:extLst>
        </xdr:cNvPr>
        <xdr:cNvSpPr>
          <a:spLocks/>
        </xdr:cNvSpPr>
      </xdr:nvSpPr>
      <xdr:spPr bwMode="auto">
        <a:xfrm>
          <a:off x="12211050" y="13068300"/>
          <a:ext cx="533400" cy="2413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23</xdr:col>
      <xdr:colOff>266700</xdr:colOff>
      <xdr:row>71</xdr:row>
      <xdr:rowOff>114300</xdr:rowOff>
    </xdr:from>
    <xdr:to>
      <xdr:col>23</xdr:col>
      <xdr:colOff>450850</xdr:colOff>
      <xdr:row>73</xdr:row>
      <xdr:rowOff>19050</xdr:rowOff>
    </xdr:to>
    <xdr:sp macro="" textlink="">
      <xdr:nvSpPr>
        <xdr:cNvPr id="884626" name="Freeform 205">
          <a:extLst>
            <a:ext uri="{FF2B5EF4-FFF2-40B4-BE49-F238E27FC236}">
              <a16:creationId xmlns="" xmlns:a16="http://schemas.microsoft.com/office/drawing/2014/main" id="{00000000-0008-0000-2D00-0000927F0D00}"/>
            </a:ext>
          </a:extLst>
        </xdr:cNvPr>
        <xdr:cNvSpPr>
          <a:spLocks/>
        </xdr:cNvSpPr>
      </xdr:nvSpPr>
      <xdr:spPr bwMode="auto">
        <a:xfrm>
          <a:off x="19545300" y="14090650"/>
          <a:ext cx="184150" cy="298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15</xdr:col>
      <xdr:colOff>146050</xdr:colOff>
      <xdr:row>66</xdr:row>
      <xdr:rowOff>76200</xdr:rowOff>
    </xdr:from>
    <xdr:to>
      <xdr:col>15</xdr:col>
      <xdr:colOff>323850</xdr:colOff>
      <xdr:row>67</xdr:row>
      <xdr:rowOff>120650</xdr:rowOff>
    </xdr:to>
    <xdr:sp macro="" textlink="">
      <xdr:nvSpPr>
        <xdr:cNvPr id="884627" name="Freeform 206">
          <a:extLst>
            <a:ext uri="{FF2B5EF4-FFF2-40B4-BE49-F238E27FC236}">
              <a16:creationId xmlns="" xmlns:a16="http://schemas.microsoft.com/office/drawing/2014/main" id="{00000000-0008-0000-2D00-0000937F0D00}"/>
            </a:ext>
          </a:extLst>
        </xdr:cNvPr>
        <xdr:cNvSpPr>
          <a:spLocks/>
        </xdr:cNvSpPr>
      </xdr:nvSpPr>
      <xdr:spPr bwMode="auto">
        <a:xfrm>
          <a:off x="12719050" y="13068300"/>
          <a:ext cx="177800" cy="2413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24</xdr:col>
      <xdr:colOff>44450</xdr:colOff>
      <xdr:row>71</xdr:row>
      <xdr:rowOff>120650</xdr:rowOff>
    </xdr:from>
    <xdr:to>
      <xdr:col>24</xdr:col>
      <xdr:colOff>228600</xdr:colOff>
      <xdr:row>73</xdr:row>
      <xdr:rowOff>38100</xdr:rowOff>
    </xdr:to>
    <xdr:sp macro="" textlink="">
      <xdr:nvSpPr>
        <xdr:cNvPr id="884628" name="Freeform 207">
          <a:extLst>
            <a:ext uri="{FF2B5EF4-FFF2-40B4-BE49-F238E27FC236}">
              <a16:creationId xmlns="" xmlns:a16="http://schemas.microsoft.com/office/drawing/2014/main" id="{00000000-0008-0000-2D00-0000947F0D00}"/>
            </a:ext>
          </a:extLst>
        </xdr:cNvPr>
        <xdr:cNvSpPr>
          <a:spLocks/>
        </xdr:cNvSpPr>
      </xdr:nvSpPr>
      <xdr:spPr bwMode="auto">
        <a:xfrm>
          <a:off x="20161250" y="14097000"/>
          <a:ext cx="184150" cy="3111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15</xdr:col>
      <xdr:colOff>285750</xdr:colOff>
      <xdr:row>66</xdr:row>
      <xdr:rowOff>95250</xdr:rowOff>
    </xdr:from>
    <xdr:to>
      <xdr:col>15</xdr:col>
      <xdr:colOff>463550</xdr:colOff>
      <xdr:row>68</xdr:row>
      <xdr:rowOff>0</xdr:rowOff>
    </xdr:to>
    <xdr:sp macro="" textlink="">
      <xdr:nvSpPr>
        <xdr:cNvPr id="884629" name="Freeform 208">
          <a:extLst>
            <a:ext uri="{FF2B5EF4-FFF2-40B4-BE49-F238E27FC236}">
              <a16:creationId xmlns="" xmlns:a16="http://schemas.microsoft.com/office/drawing/2014/main" id="{00000000-0008-0000-2D00-0000957F0D00}"/>
            </a:ext>
          </a:extLst>
        </xdr:cNvPr>
        <xdr:cNvSpPr>
          <a:spLocks/>
        </xdr:cNvSpPr>
      </xdr:nvSpPr>
      <xdr:spPr bwMode="auto">
        <a:xfrm>
          <a:off x="12858750" y="13087350"/>
          <a:ext cx="177800" cy="298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24</xdr:col>
      <xdr:colOff>317500</xdr:colOff>
      <xdr:row>72</xdr:row>
      <xdr:rowOff>0</xdr:rowOff>
    </xdr:from>
    <xdr:to>
      <xdr:col>25</xdr:col>
      <xdr:colOff>12700</xdr:colOff>
      <xdr:row>73</xdr:row>
      <xdr:rowOff>57150</xdr:rowOff>
    </xdr:to>
    <xdr:sp macro="" textlink="">
      <xdr:nvSpPr>
        <xdr:cNvPr id="884630" name="Freeform 209">
          <a:extLst>
            <a:ext uri="{FF2B5EF4-FFF2-40B4-BE49-F238E27FC236}">
              <a16:creationId xmlns="" xmlns:a16="http://schemas.microsoft.com/office/drawing/2014/main" id="{00000000-0008-0000-2D00-0000967F0D00}"/>
            </a:ext>
          </a:extLst>
        </xdr:cNvPr>
        <xdr:cNvSpPr>
          <a:spLocks/>
        </xdr:cNvSpPr>
      </xdr:nvSpPr>
      <xdr:spPr bwMode="auto">
        <a:xfrm>
          <a:off x="20434300" y="14173200"/>
          <a:ext cx="533400" cy="2540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15</xdr:col>
      <xdr:colOff>400050</xdr:colOff>
      <xdr:row>66</xdr:row>
      <xdr:rowOff>95250</xdr:rowOff>
    </xdr:from>
    <xdr:to>
      <xdr:col>16</xdr:col>
      <xdr:colOff>95250</xdr:colOff>
      <xdr:row>68</xdr:row>
      <xdr:rowOff>0</xdr:rowOff>
    </xdr:to>
    <xdr:sp macro="" textlink="">
      <xdr:nvSpPr>
        <xdr:cNvPr id="884631" name="Freeform 210">
          <a:extLst>
            <a:ext uri="{FF2B5EF4-FFF2-40B4-BE49-F238E27FC236}">
              <a16:creationId xmlns="" xmlns:a16="http://schemas.microsoft.com/office/drawing/2014/main" id="{00000000-0008-0000-2D00-0000977F0D00}"/>
            </a:ext>
          </a:extLst>
        </xdr:cNvPr>
        <xdr:cNvSpPr>
          <a:spLocks/>
        </xdr:cNvSpPr>
      </xdr:nvSpPr>
      <xdr:spPr bwMode="auto">
        <a:xfrm>
          <a:off x="12973050" y="13087350"/>
          <a:ext cx="533400" cy="298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16</xdr:col>
      <xdr:colOff>63500</xdr:colOff>
      <xdr:row>66</xdr:row>
      <xdr:rowOff>82550</xdr:rowOff>
    </xdr:from>
    <xdr:to>
      <xdr:col>16</xdr:col>
      <xdr:colOff>247650</xdr:colOff>
      <xdr:row>67</xdr:row>
      <xdr:rowOff>139700</xdr:rowOff>
    </xdr:to>
    <xdr:sp macro="" textlink="">
      <xdr:nvSpPr>
        <xdr:cNvPr id="884632" name="Freeform 212">
          <a:extLst>
            <a:ext uri="{FF2B5EF4-FFF2-40B4-BE49-F238E27FC236}">
              <a16:creationId xmlns="" xmlns:a16="http://schemas.microsoft.com/office/drawing/2014/main" id="{00000000-0008-0000-2D00-0000987F0D00}"/>
            </a:ext>
          </a:extLst>
        </xdr:cNvPr>
        <xdr:cNvSpPr>
          <a:spLocks/>
        </xdr:cNvSpPr>
      </xdr:nvSpPr>
      <xdr:spPr bwMode="auto">
        <a:xfrm>
          <a:off x="13474700" y="13074650"/>
          <a:ext cx="184150" cy="2540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11</xdr:col>
      <xdr:colOff>463550</xdr:colOff>
      <xdr:row>61</xdr:row>
      <xdr:rowOff>82550</xdr:rowOff>
    </xdr:from>
    <xdr:to>
      <xdr:col>12</xdr:col>
      <xdr:colOff>88900</xdr:colOff>
      <xdr:row>67</xdr:row>
      <xdr:rowOff>38100</xdr:rowOff>
    </xdr:to>
    <xdr:sp macro="" textlink="">
      <xdr:nvSpPr>
        <xdr:cNvPr id="884633" name="Rectangle 172">
          <a:extLst>
            <a:ext uri="{FF2B5EF4-FFF2-40B4-BE49-F238E27FC236}">
              <a16:creationId xmlns="" xmlns:a16="http://schemas.microsoft.com/office/drawing/2014/main" id="{00000000-0008-0000-2D00-0000997F0D00}"/>
            </a:ext>
          </a:extLst>
        </xdr:cNvPr>
        <xdr:cNvSpPr>
          <a:spLocks noChangeArrowheads="1"/>
        </xdr:cNvSpPr>
      </xdr:nvSpPr>
      <xdr:spPr bwMode="auto">
        <a:xfrm rot="2100000">
          <a:off x="9683750" y="12090400"/>
          <a:ext cx="463550" cy="1136650"/>
        </a:xfrm>
        <a:prstGeom prst="rect">
          <a:avLst/>
        </a:prstGeom>
        <a:solidFill>
          <a:srgbClr val="FFFFFF"/>
        </a:solidFill>
        <a:ln w="9525">
          <a:solidFill>
            <a:srgbClr val="000000"/>
          </a:solidFill>
          <a:miter lim="800000"/>
          <a:headEnd/>
          <a:tailEnd/>
        </a:ln>
      </xdr:spPr>
    </xdr:sp>
    <xdr:clientData/>
  </xdr:twoCellAnchor>
  <xdr:twoCellAnchor>
    <xdr:from>
      <xdr:col>21</xdr:col>
      <xdr:colOff>247650</xdr:colOff>
      <xdr:row>62</xdr:row>
      <xdr:rowOff>139700</xdr:rowOff>
    </xdr:from>
    <xdr:to>
      <xdr:col>24</xdr:col>
      <xdr:colOff>400050</xdr:colOff>
      <xdr:row>62</xdr:row>
      <xdr:rowOff>139700</xdr:rowOff>
    </xdr:to>
    <xdr:sp macro="" textlink="">
      <xdr:nvSpPr>
        <xdr:cNvPr id="884634" name="Line 219">
          <a:extLst>
            <a:ext uri="{FF2B5EF4-FFF2-40B4-BE49-F238E27FC236}">
              <a16:creationId xmlns="" xmlns:a16="http://schemas.microsoft.com/office/drawing/2014/main" id="{00000000-0008-0000-2D00-00009A7F0D00}"/>
            </a:ext>
          </a:extLst>
        </xdr:cNvPr>
        <xdr:cNvSpPr>
          <a:spLocks noChangeShapeType="1"/>
        </xdr:cNvSpPr>
      </xdr:nvSpPr>
      <xdr:spPr bwMode="auto">
        <a:xfrm>
          <a:off x="17849850" y="12344400"/>
          <a:ext cx="26670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24</xdr:col>
      <xdr:colOff>400050</xdr:colOff>
      <xdr:row>62</xdr:row>
      <xdr:rowOff>139700</xdr:rowOff>
    </xdr:from>
    <xdr:to>
      <xdr:col>24</xdr:col>
      <xdr:colOff>400050</xdr:colOff>
      <xdr:row>72</xdr:row>
      <xdr:rowOff>6350</xdr:rowOff>
    </xdr:to>
    <xdr:sp macro="" textlink="">
      <xdr:nvSpPr>
        <xdr:cNvPr id="884635" name="Line 220">
          <a:extLst>
            <a:ext uri="{FF2B5EF4-FFF2-40B4-BE49-F238E27FC236}">
              <a16:creationId xmlns="" xmlns:a16="http://schemas.microsoft.com/office/drawing/2014/main" id="{00000000-0008-0000-2D00-00009B7F0D00}"/>
            </a:ext>
          </a:extLst>
        </xdr:cNvPr>
        <xdr:cNvSpPr>
          <a:spLocks noChangeShapeType="1"/>
        </xdr:cNvSpPr>
      </xdr:nvSpPr>
      <xdr:spPr bwMode="auto">
        <a:xfrm>
          <a:off x="20516850" y="12344400"/>
          <a:ext cx="0" cy="18351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21</xdr:col>
      <xdr:colOff>57150</xdr:colOff>
      <xdr:row>67</xdr:row>
      <xdr:rowOff>82550</xdr:rowOff>
    </xdr:from>
    <xdr:to>
      <xdr:col>21</xdr:col>
      <xdr:colOff>63500</xdr:colOff>
      <xdr:row>68</xdr:row>
      <xdr:rowOff>44450</xdr:rowOff>
    </xdr:to>
    <xdr:sp macro="" textlink="">
      <xdr:nvSpPr>
        <xdr:cNvPr id="884636" name="Line 222">
          <a:extLst>
            <a:ext uri="{FF2B5EF4-FFF2-40B4-BE49-F238E27FC236}">
              <a16:creationId xmlns="" xmlns:a16="http://schemas.microsoft.com/office/drawing/2014/main" id="{00000000-0008-0000-2D00-00009C7F0D00}"/>
            </a:ext>
          </a:extLst>
        </xdr:cNvPr>
        <xdr:cNvSpPr>
          <a:spLocks noChangeShapeType="1"/>
        </xdr:cNvSpPr>
      </xdr:nvSpPr>
      <xdr:spPr bwMode="auto">
        <a:xfrm>
          <a:off x="17659350" y="13271500"/>
          <a:ext cx="6350" cy="1587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21</xdr:col>
      <xdr:colOff>234315</xdr:colOff>
      <xdr:row>0</xdr:row>
      <xdr:rowOff>1</xdr:rowOff>
    </xdr:from>
    <xdr:to>
      <xdr:col>24</xdr:col>
      <xdr:colOff>420886</xdr:colOff>
      <xdr:row>2</xdr:row>
      <xdr:rowOff>112983</xdr:rowOff>
    </xdr:to>
    <xdr:sp macro="" textlink="">
      <xdr:nvSpPr>
        <xdr:cNvPr id="181" name="Text Box 224">
          <a:extLst>
            <a:ext uri="{FF2B5EF4-FFF2-40B4-BE49-F238E27FC236}">
              <a16:creationId xmlns="" xmlns:a16="http://schemas.microsoft.com/office/drawing/2014/main" id="{00000000-0008-0000-2D00-0000B5000000}"/>
            </a:ext>
          </a:extLst>
        </xdr:cNvPr>
        <xdr:cNvSpPr txBox="1">
          <a:spLocks noChangeArrowheads="1"/>
        </xdr:cNvSpPr>
      </xdr:nvSpPr>
      <xdr:spPr bwMode="auto">
        <a:xfrm>
          <a:off x="17887950" y="1"/>
          <a:ext cx="2724150" cy="581024"/>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GB" sz="2000" b="1" i="0" u="none" strike="noStrike" baseline="0">
              <a:solidFill>
                <a:srgbClr val="000000"/>
              </a:solidFill>
              <a:latin typeface="Arial"/>
              <a:cs typeface="Arial"/>
            </a:rPr>
            <a:t>CARITAS DEV. GOMA ASBL</a:t>
          </a:r>
        </a:p>
        <a:p>
          <a:pPr algn="l" rtl="0">
            <a:defRPr sz="1000"/>
          </a:pPr>
          <a:endParaRPr lang="en-GB" sz="2000" b="1" i="0" u="none" strike="noStrike" baseline="0">
            <a:solidFill>
              <a:srgbClr val="000000"/>
            </a:solidFill>
            <a:latin typeface="Arial"/>
            <a:cs typeface="Arial"/>
          </a:endParaRPr>
        </a:p>
      </xdr:txBody>
    </xdr:sp>
    <xdr:clientData/>
  </xdr:twoCellAnchor>
  <xdr:twoCellAnchor>
    <xdr:from>
      <xdr:col>15</xdr:col>
      <xdr:colOff>57785</xdr:colOff>
      <xdr:row>13</xdr:row>
      <xdr:rowOff>94615</xdr:rowOff>
    </xdr:from>
    <xdr:to>
      <xdr:col>16</xdr:col>
      <xdr:colOff>323404</xdr:colOff>
      <xdr:row>18</xdr:row>
      <xdr:rowOff>20195</xdr:rowOff>
    </xdr:to>
    <xdr:sp macro="" textlink="">
      <xdr:nvSpPr>
        <xdr:cNvPr id="182" name="Rectangle 181">
          <a:extLst>
            <a:ext uri="{FF2B5EF4-FFF2-40B4-BE49-F238E27FC236}">
              <a16:creationId xmlns="" xmlns:a16="http://schemas.microsoft.com/office/drawing/2014/main" id="{00000000-0008-0000-2D00-0000B6000000}"/>
            </a:ext>
          </a:extLst>
        </xdr:cNvPr>
        <xdr:cNvSpPr/>
      </xdr:nvSpPr>
      <xdr:spPr>
        <a:xfrm>
          <a:off x="12630150" y="2705100"/>
          <a:ext cx="1200150" cy="923925"/>
        </a:xfrm>
        <a:prstGeom prst="rect">
          <a:avLst/>
        </a:prstGeom>
        <a:solidFill>
          <a:schemeClr val="bg2">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16</xdr:col>
      <xdr:colOff>330200</xdr:colOff>
      <xdr:row>15</xdr:row>
      <xdr:rowOff>139700</xdr:rowOff>
    </xdr:from>
    <xdr:to>
      <xdr:col>20</xdr:col>
      <xdr:colOff>107950</xdr:colOff>
      <xdr:row>16</xdr:row>
      <xdr:rowOff>57150</xdr:rowOff>
    </xdr:to>
    <xdr:sp macro="" textlink="">
      <xdr:nvSpPr>
        <xdr:cNvPr id="884639" name="Rectangle 4">
          <a:extLst>
            <a:ext uri="{FF2B5EF4-FFF2-40B4-BE49-F238E27FC236}">
              <a16:creationId xmlns="" xmlns:a16="http://schemas.microsoft.com/office/drawing/2014/main" id="{00000000-0008-0000-2D00-00009F7F0D00}"/>
            </a:ext>
          </a:extLst>
        </xdr:cNvPr>
        <xdr:cNvSpPr>
          <a:spLocks noChangeArrowheads="1"/>
        </xdr:cNvSpPr>
      </xdr:nvSpPr>
      <xdr:spPr bwMode="auto">
        <a:xfrm>
          <a:off x="13741400" y="3092450"/>
          <a:ext cx="3130550" cy="114300"/>
        </a:xfrm>
        <a:prstGeom prst="rect">
          <a:avLst/>
        </a:prstGeom>
        <a:solidFill>
          <a:srgbClr val="33CCCC"/>
        </a:solidFill>
        <a:ln w="9525">
          <a:solidFill>
            <a:srgbClr val="000000"/>
          </a:solidFill>
          <a:miter lim="800000"/>
          <a:headEnd/>
          <a:tailEnd/>
        </a:ln>
      </xdr:spPr>
    </xdr:sp>
    <xdr:clientData/>
  </xdr:twoCellAnchor>
  <xdr:twoCellAnchor>
    <xdr:from>
      <xdr:col>20</xdr:col>
      <xdr:colOff>107950</xdr:colOff>
      <xdr:row>16</xdr:row>
      <xdr:rowOff>0</xdr:rowOff>
    </xdr:from>
    <xdr:to>
      <xdr:col>21</xdr:col>
      <xdr:colOff>438150</xdr:colOff>
      <xdr:row>16</xdr:row>
      <xdr:rowOff>44450</xdr:rowOff>
    </xdr:to>
    <xdr:sp macro="" textlink="">
      <xdr:nvSpPr>
        <xdr:cNvPr id="884640" name="Rectangle 4">
          <a:extLst>
            <a:ext uri="{FF2B5EF4-FFF2-40B4-BE49-F238E27FC236}">
              <a16:creationId xmlns="" xmlns:a16="http://schemas.microsoft.com/office/drawing/2014/main" id="{00000000-0008-0000-2D00-0000A07F0D00}"/>
            </a:ext>
          </a:extLst>
        </xdr:cNvPr>
        <xdr:cNvSpPr>
          <a:spLocks noChangeArrowheads="1"/>
        </xdr:cNvSpPr>
      </xdr:nvSpPr>
      <xdr:spPr bwMode="auto">
        <a:xfrm>
          <a:off x="16871950" y="3149600"/>
          <a:ext cx="1168400" cy="44450"/>
        </a:xfrm>
        <a:prstGeom prst="rect">
          <a:avLst/>
        </a:prstGeom>
        <a:solidFill>
          <a:srgbClr val="33CCCC"/>
        </a:solidFill>
        <a:ln w="9525">
          <a:solidFill>
            <a:srgbClr val="000000"/>
          </a:solidFill>
          <a:miter lim="800000"/>
          <a:headEnd/>
          <a:tailEnd/>
        </a:ln>
      </xdr:spPr>
    </xdr:sp>
    <xdr:clientData/>
  </xdr:twoCellAnchor>
  <xdr:twoCellAnchor>
    <xdr:from>
      <xdr:col>16</xdr:col>
      <xdr:colOff>342900</xdr:colOff>
      <xdr:row>14</xdr:row>
      <xdr:rowOff>120650</xdr:rowOff>
    </xdr:from>
    <xdr:to>
      <xdr:col>21</xdr:col>
      <xdr:colOff>298450</xdr:colOff>
      <xdr:row>15</xdr:row>
      <xdr:rowOff>25400</xdr:rowOff>
    </xdr:to>
    <xdr:sp macro="" textlink="">
      <xdr:nvSpPr>
        <xdr:cNvPr id="884641" name="Rectangle 3">
          <a:extLst>
            <a:ext uri="{FF2B5EF4-FFF2-40B4-BE49-F238E27FC236}">
              <a16:creationId xmlns="" xmlns:a16="http://schemas.microsoft.com/office/drawing/2014/main" id="{00000000-0008-0000-2D00-0000A17F0D00}"/>
            </a:ext>
          </a:extLst>
        </xdr:cNvPr>
        <xdr:cNvSpPr>
          <a:spLocks noChangeArrowheads="1"/>
        </xdr:cNvSpPr>
      </xdr:nvSpPr>
      <xdr:spPr bwMode="auto">
        <a:xfrm>
          <a:off x="13754100" y="2876550"/>
          <a:ext cx="4146550" cy="101600"/>
        </a:xfrm>
        <a:prstGeom prst="rect">
          <a:avLst/>
        </a:prstGeom>
        <a:solidFill>
          <a:srgbClr val="33CCCC"/>
        </a:solidFill>
        <a:ln w="9525">
          <a:solidFill>
            <a:srgbClr val="000000"/>
          </a:solidFill>
          <a:miter lim="800000"/>
          <a:headEnd/>
          <a:tailEnd/>
        </a:ln>
      </xdr:spPr>
    </xdr:sp>
    <xdr:clientData/>
  </xdr:twoCellAnchor>
  <xdr:twoCellAnchor>
    <xdr:from>
      <xdr:col>17</xdr:col>
      <xdr:colOff>361950</xdr:colOff>
      <xdr:row>12</xdr:row>
      <xdr:rowOff>114300</xdr:rowOff>
    </xdr:from>
    <xdr:to>
      <xdr:col>17</xdr:col>
      <xdr:colOff>463550</xdr:colOff>
      <xdr:row>18</xdr:row>
      <xdr:rowOff>63500</xdr:rowOff>
    </xdr:to>
    <xdr:sp macro="" textlink="">
      <xdr:nvSpPr>
        <xdr:cNvPr id="884642" name="Rectangle 46">
          <a:extLst>
            <a:ext uri="{FF2B5EF4-FFF2-40B4-BE49-F238E27FC236}">
              <a16:creationId xmlns="" xmlns:a16="http://schemas.microsoft.com/office/drawing/2014/main" id="{00000000-0008-0000-2D00-0000A27F0D00}"/>
            </a:ext>
          </a:extLst>
        </xdr:cNvPr>
        <xdr:cNvSpPr>
          <a:spLocks noChangeArrowheads="1"/>
        </xdr:cNvSpPr>
      </xdr:nvSpPr>
      <xdr:spPr bwMode="auto">
        <a:xfrm rot="2100000">
          <a:off x="14611350" y="2476500"/>
          <a:ext cx="101600" cy="1130300"/>
        </a:xfrm>
        <a:prstGeom prst="rect">
          <a:avLst/>
        </a:prstGeom>
        <a:solidFill>
          <a:srgbClr val="FFFFFF"/>
        </a:solidFill>
        <a:ln w="9525">
          <a:solidFill>
            <a:srgbClr val="000000"/>
          </a:solidFill>
          <a:miter lim="800000"/>
          <a:headEnd/>
          <a:tailEnd/>
        </a:ln>
      </xdr:spPr>
    </xdr:sp>
    <xdr:clientData/>
  </xdr:twoCellAnchor>
  <xdr:twoCellAnchor>
    <xdr:from>
      <xdr:col>16</xdr:col>
      <xdr:colOff>41275</xdr:colOff>
      <xdr:row>21</xdr:row>
      <xdr:rowOff>79375</xdr:rowOff>
    </xdr:from>
    <xdr:to>
      <xdr:col>18</xdr:col>
      <xdr:colOff>448316</xdr:colOff>
      <xdr:row>23</xdr:row>
      <xdr:rowOff>80796</xdr:rowOff>
    </xdr:to>
    <xdr:sp macro="" textlink="">
      <xdr:nvSpPr>
        <xdr:cNvPr id="187" name="Text Box 110">
          <a:extLst>
            <a:ext uri="{FF2B5EF4-FFF2-40B4-BE49-F238E27FC236}">
              <a16:creationId xmlns="" xmlns:a16="http://schemas.microsoft.com/office/drawing/2014/main" id="{00000000-0008-0000-2D00-0000BB000000}"/>
            </a:ext>
          </a:extLst>
        </xdr:cNvPr>
        <xdr:cNvSpPr txBox="1">
          <a:spLocks noChangeArrowheads="1"/>
        </xdr:cNvSpPr>
      </xdr:nvSpPr>
      <xdr:spPr bwMode="auto">
        <a:xfrm>
          <a:off x="13477875" y="4314825"/>
          <a:ext cx="2152650" cy="40005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Tuyau d'Adduction PVC50PN10</a:t>
          </a:r>
        </a:p>
      </xdr:txBody>
    </xdr:sp>
    <xdr:clientData/>
  </xdr:twoCellAnchor>
  <xdr:twoCellAnchor>
    <xdr:from>
      <xdr:col>19</xdr:col>
      <xdr:colOff>141605</xdr:colOff>
      <xdr:row>21</xdr:row>
      <xdr:rowOff>20563</xdr:rowOff>
    </xdr:from>
    <xdr:to>
      <xdr:col>20</xdr:col>
      <xdr:colOff>225192</xdr:colOff>
      <xdr:row>24</xdr:row>
      <xdr:rowOff>58171</xdr:rowOff>
    </xdr:to>
    <xdr:sp macro="" textlink="">
      <xdr:nvSpPr>
        <xdr:cNvPr id="188" name="Text Box 110">
          <a:extLst>
            <a:ext uri="{FF2B5EF4-FFF2-40B4-BE49-F238E27FC236}">
              <a16:creationId xmlns="" xmlns:a16="http://schemas.microsoft.com/office/drawing/2014/main" id="{00000000-0008-0000-2D00-0000BC000000}"/>
            </a:ext>
          </a:extLst>
        </xdr:cNvPr>
        <xdr:cNvSpPr txBox="1">
          <a:spLocks noChangeArrowheads="1"/>
        </xdr:cNvSpPr>
      </xdr:nvSpPr>
      <xdr:spPr bwMode="auto">
        <a:xfrm rot="5400000">
          <a:off x="16256341" y="4059457"/>
          <a:ext cx="610628" cy="96691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lnSpc>
              <a:spcPts val="800"/>
            </a:lnSpc>
            <a:defRPr sz="1000"/>
          </a:pPr>
          <a:r>
            <a:rPr lang="en-GB" sz="900" b="0" i="0" u="none" strike="noStrike" baseline="0">
              <a:solidFill>
                <a:srgbClr val="000000"/>
              </a:solidFill>
              <a:latin typeface="Arial"/>
              <a:cs typeface="Arial"/>
            </a:rPr>
            <a:t>Tuyau adduction PVC25PN10 PN10</a:t>
          </a:r>
        </a:p>
      </xdr:txBody>
    </xdr:sp>
    <xdr:clientData/>
  </xdr:twoCellAnchor>
  <xdr:twoCellAnchor>
    <xdr:from>
      <xdr:col>19</xdr:col>
      <xdr:colOff>463550</xdr:colOff>
      <xdr:row>16</xdr:row>
      <xdr:rowOff>25400</xdr:rowOff>
    </xdr:from>
    <xdr:to>
      <xdr:col>20</xdr:col>
      <xdr:colOff>209550</xdr:colOff>
      <xdr:row>21</xdr:row>
      <xdr:rowOff>57150</xdr:rowOff>
    </xdr:to>
    <xdr:sp macro="" textlink="">
      <xdr:nvSpPr>
        <xdr:cNvPr id="884645" name="Line 127">
          <a:extLst>
            <a:ext uri="{FF2B5EF4-FFF2-40B4-BE49-F238E27FC236}">
              <a16:creationId xmlns="" xmlns:a16="http://schemas.microsoft.com/office/drawing/2014/main" id="{00000000-0008-0000-2D00-0000A57F0D00}"/>
            </a:ext>
          </a:extLst>
        </xdr:cNvPr>
        <xdr:cNvSpPr>
          <a:spLocks noChangeShapeType="1"/>
        </xdr:cNvSpPr>
      </xdr:nvSpPr>
      <xdr:spPr bwMode="auto">
        <a:xfrm flipV="1">
          <a:off x="16389350" y="3175000"/>
          <a:ext cx="584200" cy="101600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15</xdr:col>
      <xdr:colOff>226059</xdr:colOff>
      <xdr:row>14</xdr:row>
      <xdr:rowOff>118745</xdr:rowOff>
    </xdr:from>
    <xdr:to>
      <xdr:col>16</xdr:col>
      <xdr:colOff>285603</xdr:colOff>
      <xdr:row>16</xdr:row>
      <xdr:rowOff>58076</xdr:rowOff>
    </xdr:to>
    <xdr:sp macro="" textlink="">
      <xdr:nvSpPr>
        <xdr:cNvPr id="190" name="TextBox 195">
          <a:extLst>
            <a:ext uri="{FF2B5EF4-FFF2-40B4-BE49-F238E27FC236}">
              <a16:creationId xmlns="" xmlns:a16="http://schemas.microsoft.com/office/drawing/2014/main" id="{00000000-0008-0000-2D00-0000BE000000}"/>
            </a:ext>
          </a:extLst>
        </xdr:cNvPr>
        <xdr:cNvSpPr txBox="1"/>
      </xdr:nvSpPr>
      <xdr:spPr>
        <a:xfrm>
          <a:off x="12839699" y="2962275"/>
          <a:ext cx="88582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TANK</a:t>
          </a:r>
        </a:p>
      </xdr:txBody>
    </xdr:sp>
    <xdr:clientData/>
  </xdr:twoCellAnchor>
  <xdr:twoCellAnchor>
    <xdr:from>
      <xdr:col>14</xdr:col>
      <xdr:colOff>190500</xdr:colOff>
      <xdr:row>60</xdr:row>
      <xdr:rowOff>57785</xdr:rowOff>
    </xdr:from>
    <xdr:to>
      <xdr:col>16</xdr:col>
      <xdr:colOff>114866</xdr:colOff>
      <xdr:row>65</xdr:row>
      <xdr:rowOff>151814</xdr:rowOff>
    </xdr:to>
    <xdr:sp macro="" textlink="">
      <xdr:nvSpPr>
        <xdr:cNvPr id="191" name="Rectangle 190">
          <a:extLst>
            <a:ext uri="{FF2B5EF4-FFF2-40B4-BE49-F238E27FC236}">
              <a16:creationId xmlns="" xmlns:a16="http://schemas.microsoft.com/office/drawing/2014/main" id="{00000000-0008-0000-2D00-0000BF000000}"/>
            </a:ext>
          </a:extLst>
        </xdr:cNvPr>
        <xdr:cNvSpPr/>
      </xdr:nvSpPr>
      <xdr:spPr>
        <a:xfrm>
          <a:off x="11982450" y="12077700"/>
          <a:ext cx="1571625" cy="1104900"/>
        </a:xfrm>
        <a:prstGeom prst="rect">
          <a:avLst/>
        </a:prstGeom>
        <a:blipFill>
          <a:blip xmlns:r="http://schemas.openxmlformats.org/officeDocument/2006/relationships" r:embed="rId8"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13</xdr:col>
      <xdr:colOff>420370</xdr:colOff>
      <xdr:row>62</xdr:row>
      <xdr:rowOff>57785</xdr:rowOff>
    </xdr:from>
    <xdr:to>
      <xdr:col>14</xdr:col>
      <xdr:colOff>228695</xdr:colOff>
      <xdr:row>66</xdr:row>
      <xdr:rowOff>342</xdr:rowOff>
    </xdr:to>
    <xdr:sp macro="" textlink="">
      <xdr:nvSpPr>
        <xdr:cNvPr id="192" name="Rectangle 191">
          <a:extLst>
            <a:ext uri="{FF2B5EF4-FFF2-40B4-BE49-F238E27FC236}">
              <a16:creationId xmlns="" xmlns:a16="http://schemas.microsoft.com/office/drawing/2014/main" id="{00000000-0008-0000-2D00-0000C0000000}"/>
            </a:ext>
          </a:extLst>
        </xdr:cNvPr>
        <xdr:cNvSpPr/>
      </xdr:nvSpPr>
      <xdr:spPr>
        <a:xfrm>
          <a:off x="11391900" y="12477750"/>
          <a:ext cx="581025" cy="723900"/>
        </a:xfrm>
        <a:prstGeom prst="rect">
          <a:avLst/>
        </a:prstGeom>
        <a:blipFill>
          <a:blip xmlns:r="http://schemas.openxmlformats.org/officeDocument/2006/relationships" r:embed="rId9" cstate="print"/>
          <a:tile tx="0" ty="0" sx="100000" sy="100000" flip="none" algn="tl"/>
        </a:blipFill>
        <a:ln>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13</xdr:col>
      <xdr:colOff>357504</xdr:colOff>
      <xdr:row>65</xdr:row>
      <xdr:rowOff>151766</xdr:rowOff>
    </xdr:from>
    <xdr:to>
      <xdr:col>16</xdr:col>
      <xdr:colOff>226037</xdr:colOff>
      <xdr:row>66</xdr:row>
      <xdr:rowOff>58005</xdr:rowOff>
    </xdr:to>
    <xdr:sp macro="" textlink="">
      <xdr:nvSpPr>
        <xdr:cNvPr id="193" name="Rectangle 192">
          <a:extLst>
            <a:ext uri="{FF2B5EF4-FFF2-40B4-BE49-F238E27FC236}">
              <a16:creationId xmlns="" xmlns:a16="http://schemas.microsoft.com/office/drawing/2014/main" id="{00000000-0008-0000-2D00-0000C1000000}"/>
            </a:ext>
          </a:extLst>
        </xdr:cNvPr>
        <xdr:cNvSpPr/>
      </xdr:nvSpPr>
      <xdr:spPr>
        <a:xfrm>
          <a:off x="11363324" y="13182601"/>
          <a:ext cx="2314575" cy="95249"/>
        </a:xfrm>
        <a:prstGeom prst="rect">
          <a:avLst/>
        </a:prstGeom>
        <a:blipFill>
          <a:blip xmlns:r="http://schemas.openxmlformats.org/officeDocument/2006/relationships" r:embed="rId7"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13</xdr:col>
      <xdr:colOff>323850</xdr:colOff>
      <xdr:row>66</xdr:row>
      <xdr:rowOff>57785</xdr:rowOff>
    </xdr:from>
    <xdr:to>
      <xdr:col>16</xdr:col>
      <xdr:colOff>293749</xdr:colOff>
      <xdr:row>66</xdr:row>
      <xdr:rowOff>99775</xdr:rowOff>
    </xdr:to>
    <xdr:sp macro="" textlink="">
      <xdr:nvSpPr>
        <xdr:cNvPr id="194" name="Rectangle 193">
          <a:extLst>
            <a:ext uri="{FF2B5EF4-FFF2-40B4-BE49-F238E27FC236}">
              <a16:creationId xmlns="" xmlns:a16="http://schemas.microsoft.com/office/drawing/2014/main" id="{00000000-0008-0000-2D00-0000C2000000}"/>
            </a:ext>
          </a:extLst>
        </xdr:cNvPr>
        <xdr:cNvSpPr/>
      </xdr:nvSpPr>
      <xdr:spPr>
        <a:xfrm>
          <a:off x="11325225" y="13277850"/>
          <a:ext cx="2400299" cy="57150"/>
        </a:xfrm>
        <a:prstGeom prst="rect">
          <a:avLst/>
        </a:prstGeom>
        <a:blipFill>
          <a:blip xmlns:r="http://schemas.openxmlformats.org/officeDocument/2006/relationships" r:embed="rId10"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13</xdr:col>
      <xdr:colOff>304800</xdr:colOff>
      <xdr:row>66</xdr:row>
      <xdr:rowOff>76200</xdr:rowOff>
    </xdr:from>
    <xdr:to>
      <xdr:col>14</xdr:col>
      <xdr:colOff>0</xdr:colOff>
      <xdr:row>67</xdr:row>
      <xdr:rowOff>120650</xdr:rowOff>
    </xdr:to>
    <xdr:sp macro="" textlink="">
      <xdr:nvSpPr>
        <xdr:cNvPr id="884651" name="Freeform 197">
          <a:extLst>
            <a:ext uri="{FF2B5EF4-FFF2-40B4-BE49-F238E27FC236}">
              <a16:creationId xmlns="" xmlns:a16="http://schemas.microsoft.com/office/drawing/2014/main" id="{00000000-0008-0000-2D00-0000AB7F0D00}"/>
            </a:ext>
          </a:extLst>
        </xdr:cNvPr>
        <xdr:cNvSpPr>
          <a:spLocks/>
        </xdr:cNvSpPr>
      </xdr:nvSpPr>
      <xdr:spPr bwMode="auto">
        <a:xfrm>
          <a:off x="11201400" y="13068300"/>
          <a:ext cx="533400" cy="2413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13</xdr:col>
      <xdr:colOff>438150</xdr:colOff>
      <xdr:row>66</xdr:row>
      <xdr:rowOff>76200</xdr:rowOff>
    </xdr:from>
    <xdr:to>
      <xdr:col>14</xdr:col>
      <xdr:colOff>133350</xdr:colOff>
      <xdr:row>67</xdr:row>
      <xdr:rowOff>120650</xdr:rowOff>
    </xdr:to>
    <xdr:sp macro="" textlink="">
      <xdr:nvSpPr>
        <xdr:cNvPr id="884652" name="Freeform 197">
          <a:extLst>
            <a:ext uri="{FF2B5EF4-FFF2-40B4-BE49-F238E27FC236}">
              <a16:creationId xmlns="" xmlns:a16="http://schemas.microsoft.com/office/drawing/2014/main" id="{00000000-0008-0000-2D00-0000AC7F0D00}"/>
            </a:ext>
          </a:extLst>
        </xdr:cNvPr>
        <xdr:cNvSpPr>
          <a:spLocks/>
        </xdr:cNvSpPr>
      </xdr:nvSpPr>
      <xdr:spPr bwMode="auto">
        <a:xfrm>
          <a:off x="11334750" y="13068300"/>
          <a:ext cx="533400" cy="2413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16</xdr:col>
      <xdr:colOff>196850</xdr:colOff>
      <xdr:row>66</xdr:row>
      <xdr:rowOff>95250</xdr:rowOff>
    </xdr:from>
    <xdr:to>
      <xdr:col>16</xdr:col>
      <xdr:colOff>381000</xdr:colOff>
      <xdr:row>68</xdr:row>
      <xdr:rowOff>0</xdr:rowOff>
    </xdr:to>
    <xdr:sp macro="" textlink="">
      <xdr:nvSpPr>
        <xdr:cNvPr id="884653" name="Freeform 197">
          <a:extLst>
            <a:ext uri="{FF2B5EF4-FFF2-40B4-BE49-F238E27FC236}">
              <a16:creationId xmlns="" xmlns:a16="http://schemas.microsoft.com/office/drawing/2014/main" id="{00000000-0008-0000-2D00-0000AD7F0D00}"/>
            </a:ext>
          </a:extLst>
        </xdr:cNvPr>
        <xdr:cNvSpPr>
          <a:spLocks/>
        </xdr:cNvSpPr>
      </xdr:nvSpPr>
      <xdr:spPr bwMode="auto">
        <a:xfrm>
          <a:off x="13608050" y="13087350"/>
          <a:ext cx="184150" cy="298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13</xdr:col>
      <xdr:colOff>456565</xdr:colOff>
      <xdr:row>60</xdr:row>
      <xdr:rowOff>41275</xdr:rowOff>
    </xdr:from>
    <xdr:to>
      <xdr:col>16</xdr:col>
      <xdr:colOff>323034</xdr:colOff>
      <xdr:row>60</xdr:row>
      <xdr:rowOff>152451</xdr:rowOff>
    </xdr:to>
    <xdr:sp macro="" textlink="">
      <xdr:nvSpPr>
        <xdr:cNvPr id="198" name="Rectangle 197">
          <a:extLst>
            <a:ext uri="{FF2B5EF4-FFF2-40B4-BE49-F238E27FC236}">
              <a16:creationId xmlns="" xmlns:a16="http://schemas.microsoft.com/office/drawing/2014/main" id="{00000000-0008-0000-2D00-0000C6000000}"/>
            </a:ext>
          </a:extLst>
        </xdr:cNvPr>
        <xdr:cNvSpPr/>
      </xdr:nvSpPr>
      <xdr:spPr>
        <a:xfrm>
          <a:off x="11458575" y="12068175"/>
          <a:ext cx="2371725" cy="66675"/>
        </a:xfrm>
        <a:prstGeom prst="rect">
          <a:avLst/>
        </a:prstGeom>
        <a:blipFill>
          <a:blip xmlns:r="http://schemas.openxmlformats.org/officeDocument/2006/relationships" r:embed="rId7"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15</xdr:col>
      <xdr:colOff>353696</xdr:colOff>
      <xdr:row>58</xdr:row>
      <xdr:rowOff>118745</xdr:rowOff>
    </xdr:from>
    <xdr:to>
      <xdr:col>15</xdr:col>
      <xdr:colOff>419876</xdr:colOff>
      <xdr:row>60</xdr:row>
      <xdr:rowOff>58822</xdr:rowOff>
    </xdr:to>
    <xdr:sp macro="" textlink="">
      <xdr:nvSpPr>
        <xdr:cNvPr id="199" name="Rectangle 198">
          <a:extLst>
            <a:ext uri="{FF2B5EF4-FFF2-40B4-BE49-F238E27FC236}">
              <a16:creationId xmlns="" xmlns:a16="http://schemas.microsoft.com/office/drawing/2014/main" id="{00000000-0008-0000-2D00-0000C7000000}"/>
            </a:ext>
          </a:extLst>
        </xdr:cNvPr>
        <xdr:cNvSpPr/>
      </xdr:nvSpPr>
      <xdr:spPr>
        <a:xfrm>
          <a:off x="13041631" y="11763375"/>
          <a:ext cx="45719" cy="285750"/>
        </a:xfrm>
        <a:prstGeom prst="rect">
          <a:avLst/>
        </a:prstGeom>
        <a:solidFill>
          <a:schemeClr val="bg2">
            <a:lumMod val="75000"/>
          </a:schemeClr>
        </a:solidFill>
        <a:ln>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15</xdr:col>
      <xdr:colOff>370205</xdr:colOff>
      <xdr:row>58</xdr:row>
      <xdr:rowOff>60960</xdr:rowOff>
    </xdr:from>
    <xdr:to>
      <xdr:col>16</xdr:col>
      <xdr:colOff>2728</xdr:colOff>
      <xdr:row>59</xdr:row>
      <xdr:rowOff>37347</xdr:rowOff>
    </xdr:to>
    <xdr:sp macro="" textlink="">
      <xdr:nvSpPr>
        <xdr:cNvPr id="200" name="Block Arc 205">
          <a:extLst>
            <a:ext uri="{FF2B5EF4-FFF2-40B4-BE49-F238E27FC236}">
              <a16:creationId xmlns="" xmlns:a16="http://schemas.microsoft.com/office/drawing/2014/main" id="{00000000-0008-0000-2D00-0000C8000000}"/>
            </a:ext>
          </a:extLst>
        </xdr:cNvPr>
        <xdr:cNvSpPr/>
      </xdr:nvSpPr>
      <xdr:spPr>
        <a:xfrm>
          <a:off x="13039725" y="11639550"/>
          <a:ext cx="400050" cy="219075"/>
        </a:xfrm>
        <a:prstGeom prst="blockArc">
          <a:avLst/>
        </a:prstGeom>
        <a:solidFill>
          <a:schemeClr val="bg2">
            <a:lumMod val="75000"/>
          </a:schemeClr>
        </a:solidFill>
        <a:ln>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14</xdr:col>
      <xdr:colOff>281940</xdr:colOff>
      <xdr:row>59</xdr:row>
      <xdr:rowOff>137160</xdr:rowOff>
    </xdr:from>
    <xdr:to>
      <xdr:col>15</xdr:col>
      <xdr:colOff>103439</xdr:colOff>
      <xdr:row>60</xdr:row>
      <xdr:rowOff>41154</xdr:rowOff>
    </xdr:to>
    <xdr:sp macro="" textlink="">
      <xdr:nvSpPr>
        <xdr:cNvPr id="201" name="Rectangle 200">
          <a:extLst>
            <a:ext uri="{FF2B5EF4-FFF2-40B4-BE49-F238E27FC236}">
              <a16:creationId xmlns="" xmlns:a16="http://schemas.microsoft.com/office/drawing/2014/main" id="{00000000-0008-0000-2D00-0000C9000000}"/>
            </a:ext>
          </a:extLst>
        </xdr:cNvPr>
        <xdr:cNvSpPr/>
      </xdr:nvSpPr>
      <xdr:spPr>
        <a:xfrm>
          <a:off x="12106275" y="11982450"/>
          <a:ext cx="590550" cy="66675"/>
        </a:xfrm>
        <a:prstGeom prst="rect">
          <a:avLst/>
        </a:prstGeom>
        <a:blipFill>
          <a:blip xmlns:r="http://schemas.openxmlformats.org/officeDocument/2006/relationships" r:embed="rId11" cstate="print"/>
          <a:tile tx="0" ty="0" sx="100000" sy="100000" flip="none" algn="tl"/>
        </a:blipFill>
        <a:ln>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14</xdr:col>
      <xdr:colOff>231140</xdr:colOff>
      <xdr:row>59</xdr:row>
      <xdr:rowOff>92710</xdr:rowOff>
    </xdr:from>
    <xdr:to>
      <xdr:col>15</xdr:col>
      <xdr:colOff>168599</xdr:colOff>
      <xdr:row>59</xdr:row>
      <xdr:rowOff>117008</xdr:rowOff>
    </xdr:to>
    <xdr:sp macro="" textlink="">
      <xdr:nvSpPr>
        <xdr:cNvPr id="202" name="Rectangle 201">
          <a:extLst>
            <a:ext uri="{FF2B5EF4-FFF2-40B4-BE49-F238E27FC236}">
              <a16:creationId xmlns="" xmlns:a16="http://schemas.microsoft.com/office/drawing/2014/main" id="{00000000-0008-0000-2D00-0000CA000000}"/>
            </a:ext>
          </a:extLst>
        </xdr:cNvPr>
        <xdr:cNvSpPr/>
      </xdr:nvSpPr>
      <xdr:spPr>
        <a:xfrm>
          <a:off x="12030075" y="11934825"/>
          <a:ext cx="733425" cy="45719"/>
        </a:xfrm>
        <a:prstGeom prst="rect">
          <a:avLst/>
        </a:prstGeom>
        <a:blipFill>
          <a:blip xmlns:r="http://schemas.openxmlformats.org/officeDocument/2006/relationships" r:embed="rId11" cstate="print"/>
          <a:tile tx="0" ty="0" sx="100000" sy="100000" flip="none" algn="tl"/>
        </a:blipFill>
        <a:ln>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13</xdr:col>
      <xdr:colOff>296545</xdr:colOff>
      <xdr:row>62</xdr:row>
      <xdr:rowOff>3175</xdr:rowOff>
    </xdr:from>
    <xdr:to>
      <xdr:col>14</xdr:col>
      <xdr:colOff>227431</xdr:colOff>
      <xdr:row>62</xdr:row>
      <xdr:rowOff>56169</xdr:rowOff>
    </xdr:to>
    <xdr:sp macro="" textlink="">
      <xdr:nvSpPr>
        <xdr:cNvPr id="203" name="Rectangle 202">
          <a:extLst>
            <a:ext uri="{FF2B5EF4-FFF2-40B4-BE49-F238E27FC236}">
              <a16:creationId xmlns="" xmlns:a16="http://schemas.microsoft.com/office/drawing/2014/main" id="{00000000-0008-0000-2D00-0000CB000000}"/>
            </a:ext>
          </a:extLst>
        </xdr:cNvPr>
        <xdr:cNvSpPr/>
      </xdr:nvSpPr>
      <xdr:spPr>
        <a:xfrm>
          <a:off x="11258550" y="12420600"/>
          <a:ext cx="733425" cy="45719"/>
        </a:xfrm>
        <a:prstGeom prst="rect">
          <a:avLst/>
        </a:prstGeom>
        <a:blipFill>
          <a:blip xmlns:r="http://schemas.openxmlformats.org/officeDocument/2006/relationships" r:embed="rId9" cstate="print"/>
          <a:tile tx="0" ty="0" sx="100000" sy="100000" flip="none" algn="tl"/>
        </a:blipFill>
        <a:ln>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16</xdr:col>
      <xdr:colOff>76200</xdr:colOff>
      <xdr:row>65</xdr:row>
      <xdr:rowOff>19050</xdr:rowOff>
    </xdr:from>
    <xdr:to>
      <xdr:col>20</xdr:col>
      <xdr:colOff>400050</xdr:colOff>
      <xdr:row>65</xdr:row>
      <xdr:rowOff>101600</xdr:rowOff>
    </xdr:to>
    <xdr:sp macro="" textlink="">
      <xdr:nvSpPr>
        <xdr:cNvPr id="884660" name="Rectangle 165">
          <a:extLst>
            <a:ext uri="{FF2B5EF4-FFF2-40B4-BE49-F238E27FC236}">
              <a16:creationId xmlns="" xmlns:a16="http://schemas.microsoft.com/office/drawing/2014/main" id="{00000000-0008-0000-2D00-0000B47F0D00}"/>
            </a:ext>
          </a:extLst>
        </xdr:cNvPr>
        <xdr:cNvSpPr>
          <a:spLocks noChangeArrowheads="1"/>
        </xdr:cNvSpPr>
      </xdr:nvSpPr>
      <xdr:spPr bwMode="auto">
        <a:xfrm flipV="1">
          <a:off x="13487400" y="12814300"/>
          <a:ext cx="3676650" cy="82550"/>
        </a:xfrm>
        <a:prstGeom prst="rect">
          <a:avLst/>
        </a:prstGeom>
        <a:solidFill>
          <a:srgbClr val="33CCCC"/>
        </a:solidFill>
        <a:ln w="9525">
          <a:solidFill>
            <a:srgbClr val="000000"/>
          </a:solidFill>
          <a:miter lim="800000"/>
          <a:headEnd/>
          <a:tailEnd/>
        </a:ln>
      </xdr:spPr>
    </xdr:sp>
    <xdr:clientData/>
  </xdr:twoCellAnchor>
  <xdr:twoCellAnchor>
    <xdr:from>
      <xdr:col>16</xdr:col>
      <xdr:colOff>44450</xdr:colOff>
      <xdr:row>64</xdr:row>
      <xdr:rowOff>38100</xdr:rowOff>
    </xdr:from>
    <xdr:to>
      <xdr:col>21</xdr:col>
      <xdr:colOff>355600</xdr:colOff>
      <xdr:row>64</xdr:row>
      <xdr:rowOff>114300</xdr:rowOff>
    </xdr:to>
    <xdr:sp macro="" textlink="">
      <xdr:nvSpPr>
        <xdr:cNvPr id="884661" name="Rectangle 165">
          <a:extLst>
            <a:ext uri="{FF2B5EF4-FFF2-40B4-BE49-F238E27FC236}">
              <a16:creationId xmlns="" xmlns:a16="http://schemas.microsoft.com/office/drawing/2014/main" id="{00000000-0008-0000-2D00-0000B57F0D00}"/>
            </a:ext>
          </a:extLst>
        </xdr:cNvPr>
        <xdr:cNvSpPr>
          <a:spLocks noChangeArrowheads="1"/>
        </xdr:cNvSpPr>
      </xdr:nvSpPr>
      <xdr:spPr bwMode="auto">
        <a:xfrm flipV="1">
          <a:off x="13455650" y="12636500"/>
          <a:ext cx="4502150" cy="76200"/>
        </a:xfrm>
        <a:prstGeom prst="rect">
          <a:avLst/>
        </a:prstGeom>
        <a:solidFill>
          <a:srgbClr val="33CCCC"/>
        </a:solidFill>
        <a:ln w="9525">
          <a:solidFill>
            <a:srgbClr val="000000"/>
          </a:solidFill>
          <a:miter lim="800000"/>
          <a:headEnd/>
          <a:tailEnd/>
        </a:ln>
      </xdr:spPr>
    </xdr:sp>
    <xdr:clientData/>
  </xdr:twoCellAnchor>
  <xdr:twoCellAnchor>
    <xdr:from>
      <xdr:col>16</xdr:col>
      <xdr:colOff>57786</xdr:colOff>
      <xdr:row>64</xdr:row>
      <xdr:rowOff>57785</xdr:rowOff>
    </xdr:from>
    <xdr:to>
      <xdr:col>16</xdr:col>
      <xdr:colOff>88998</xdr:colOff>
      <xdr:row>64</xdr:row>
      <xdr:rowOff>131019</xdr:rowOff>
    </xdr:to>
    <xdr:sp macro="" textlink="">
      <xdr:nvSpPr>
        <xdr:cNvPr id="206" name="Rectangle 205">
          <a:extLst>
            <a:ext uri="{FF2B5EF4-FFF2-40B4-BE49-F238E27FC236}">
              <a16:creationId xmlns="" xmlns:a16="http://schemas.microsoft.com/office/drawing/2014/main" id="{00000000-0008-0000-2D00-0000CE000000}"/>
            </a:ext>
          </a:extLst>
        </xdr:cNvPr>
        <xdr:cNvSpPr/>
      </xdr:nvSpPr>
      <xdr:spPr>
        <a:xfrm>
          <a:off x="13451206" y="12849225"/>
          <a:ext cx="45719" cy="104775"/>
        </a:xfrm>
        <a:prstGeom prst="rect">
          <a:avLst/>
        </a:prstGeom>
        <a:solidFill>
          <a:srgbClr val="00B0F0"/>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15</xdr:col>
      <xdr:colOff>94615</xdr:colOff>
      <xdr:row>60</xdr:row>
      <xdr:rowOff>149860</xdr:rowOff>
    </xdr:from>
    <xdr:to>
      <xdr:col>15</xdr:col>
      <xdr:colOff>167996</xdr:colOff>
      <xdr:row>61</xdr:row>
      <xdr:rowOff>39548</xdr:rowOff>
    </xdr:to>
    <xdr:sp macro="" textlink="">
      <xdr:nvSpPr>
        <xdr:cNvPr id="207" name="Rectangle 206">
          <a:extLst>
            <a:ext uri="{FF2B5EF4-FFF2-40B4-BE49-F238E27FC236}">
              <a16:creationId xmlns="" xmlns:a16="http://schemas.microsoft.com/office/drawing/2014/main" id="{00000000-0008-0000-2D00-0000CF000000}"/>
            </a:ext>
          </a:extLst>
        </xdr:cNvPr>
        <xdr:cNvSpPr/>
      </xdr:nvSpPr>
      <xdr:spPr>
        <a:xfrm>
          <a:off x="12668250" y="12153900"/>
          <a:ext cx="104775" cy="123825"/>
        </a:xfrm>
        <a:prstGeom prst="rect">
          <a:avLst/>
        </a:prstGeom>
        <a:solidFill>
          <a:schemeClr val="tx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oneCellAnchor>
    <xdr:from>
      <xdr:col>16</xdr:col>
      <xdr:colOff>94616</xdr:colOff>
      <xdr:row>56</xdr:row>
      <xdr:rowOff>149860</xdr:rowOff>
    </xdr:from>
    <xdr:ext cx="850506" cy="250056"/>
    <xdr:sp macro="" textlink="">
      <xdr:nvSpPr>
        <xdr:cNvPr id="208" name="TextBox 213">
          <a:extLst>
            <a:ext uri="{FF2B5EF4-FFF2-40B4-BE49-F238E27FC236}">
              <a16:creationId xmlns="" xmlns:a16="http://schemas.microsoft.com/office/drawing/2014/main" id="{00000000-0008-0000-2D00-0000D0000000}"/>
            </a:ext>
          </a:extLst>
        </xdr:cNvPr>
        <xdr:cNvSpPr txBox="1"/>
      </xdr:nvSpPr>
      <xdr:spPr>
        <a:xfrm>
          <a:off x="13506451" y="11363325"/>
          <a:ext cx="88582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a:t>TANK</a:t>
          </a:r>
        </a:p>
      </xdr:txBody>
    </xdr:sp>
    <xdr:clientData/>
  </xdr:oneCellAnchor>
  <xdr:twoCellAnchor>
    <xdr:from>
      <xdr:col>21</xdr:col>
      <xdr:colOff>424186</xdr:colOff>
      <xdr:row>65</xdr:row>
      <xdr:rowOff>36523</xdr:rowOff>
    </xdr:from>
    <xdr:to>
      <xdr:col>22</xdr:col>
      <xdr:colOff>168548</xdr:colOff>
      <xdr:row>66</xdr:row>
      <xdr:rowOff>57449</xdr:rowOff>
    </xdr:to>
    <xdr:sp macro="" textlink="">
      <xdr:nvSpPr>
        <xdr:cNvPr id="209" name="Block Arc 214">
          <a:extLst>
            <a:ext uri="{FF2B5EF4-FFF2-40B4-BE49-F238E27FC236}">
              <a16:creationId xmlns="" xmlns:a16="http://schemas.microsoft.com/office/drawing/2014/main" id="{00000000-0008-0000-2D00-0000D1000000}"/>
            </a:ext>
          </a:extLst>
        </xdr:cNvPr>
        <xdr:cNvSpPr/>
      </xdr:nvSpPr>
      <xdr:spPr>
        <a:xfrm rot="2149599">
          <a:off x="18127986" y="13054023"/>
          <a:ext cx="503978" cy="206889"/>
        </a:xfrm>
        <a:prstGeom prst="blockArc">
          <a:avLst/>
        </a:prstGeom>
        <a:solidFill>
          <a:srgbClr val="00B0F0"/>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22</xdr:col>
      <xdr:colOff>60958</xdr:colOff>
      <xdr:row>64</xdr:row>
      <xdr:rowOff>96520</xdr:rowOff>
    </xdr:from>
    <xdr:to>
      <xdr:col>22</xdr:col>
      <xdr:colOff>87449</xdr:colOff>
      <xdr:row>65</xdr:row>
      <xdr:rowOff>35010</xdr:rowOff>
    </xdr:to>
    <xdr:sp macro="" textlink="">
      <xdr:nvSpPr>
        <xdr:cNvPr id="210" name="Rectangle 209">
          <a:extLst>
            <a:ext uri="{FF2B5EF4-FFF2-40B4-BE49-F238E27FC236}">
              <a16:creationId xmlns="" xmlns:a16="http://schemas.microsoft.com/office/drawing/2014/main" id="{00000000-0008-0000-2D00-0000D2000000}"/>
            </a:ext>
          </a:extLst>
        </xdr:cNvPr>
        <xdr:cNvSpPr/>
      </xdr:nvSpPr>
      <xdr:spPr>
        <a:xfrm flipH="1">
          <a:off x="18478498" y="12915900"/>
          <a:ext cx="45719" cy="123825"/>
        </a:xfrm>
        <a:prstGeom prst="rect">
          <a:avLst/>
        </a:prstGeom>
        <a:solidFill>
          <a:srgbClr val="00B0F0"/>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21</xdr:col>
      <xdr:colOff>457199</xdr:colOff>
      <xdr:row>64</xdr:row>
      <xdr:rowOff>75565</xdr:rowOff>
    </xdr:from>
    <xdr:to>
      <xdr:col>22</xdr:col>
      <xdr:colOff>164858</xdr:colOff>
      <xdr:row>64</xdr:row>
      <xdr:rowOff>152918</xdr:rowOff>
    </xdr:to>
    <xdr:sp macro="" textlink="">
      <xdr:nvSpPr>
        <xdr:cNvPr id="211" name="Diagonal Stripe 216">
          <a:extLst>
            <a:ext uri="{FF2B5EF4-FFF2-40B4-BE49-F238E27FC236}">
              <a16:creationId xmlns="" xmlns:a16="http://schemas.microsoft.com/office/drawing/2014/main" id="{00000000-0008-0000-2D00-0000D3000000}"/>
            </a:ext>
          </a:extLst>
        </xdr:cNvPr>
        <xdr:cNvSpPr/>
      </xdr:nvSpPr>
      <xdr:spPr>
        <a:xfrm rot="685084">
          <a:off x="18173699" y="12887325"/>
          <a:ext cx="466726" cy="57150"/>
        </a:xfrm>
        <a:prstGeom prst="diagStripe">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22</xdr:col>
      <xdr:colOff>152400</xdr:colOff>
      <xdr:row>72</xdr:row>
      <xdr:rowOff>38100</xdr:rowOff>
    </xdr:from>
    <xdr:to>
      <xdr:col>22</xdr:col>
      <xdr:colOff>342900</xdr:colOff>
      <xdr:row>75</xdr:row>
      <xdr:rowOff>6350</xdr:rowOff>
    </xdr:to>
    <xdr:sp macro="" textlink="">
      <xdr:nvSpPr>
        <xdr:cNvPr id="884668" name="Line 217">
          <a:extLst>
            <a:ext uri="{FF2B5EF4-FFF2-40B4-BE49-F238E27FC236}">
              <a16:creationId xmlns="" xmlns:a16="http://schemas.microsoft.com/office/drawing/2014/main" id="{00000000-0008-0000-2D00-0000BC7F0D00}"/>
            </a:ext>
          </a:extLst>
        </xdr:cNvPr>
        <xdr:cNvSpPr>
          <a:spLocks noChangeShapeType="1"/>
        </xdr:cNvSpPr>
      </xdr:nvSpPr>
      <xdr:spPr bwMode="auto">
        <a:xfrm flipH="1">
          <a:off x="18592800" y="14211300"/>
          <a:ext cx="190500" cy="55880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15</xdr:col>
      <xdr:colOff>456565</xdr:colOff>
      <xdr:row>63</xdr:row>
      <xdr:rowOff>114935</xdr:rowOff>
    </xdr:from>
    <xdr:to>
      <xdr:col>16</xdr:col>
      <xdr:colOff>30094</xdr:colOff>
      <xdr:row>64</xdr:row>
      <xdr:rowOff>150707</xdr:rowOff>
    </xdr:to>
    <xdr:sp macro="" textlink="">
      <xdr:nvSpPr>
        <xdr:cNvPr id="213" name="Rectangle 212">
          <a:extLst>
            <a:ext uri="{FF2B5EF4-FFF2-40B4-BE49-F238E27FC236}">
              <a16:creationId xmlns="" xmlns:a16="http://schemas.microsoft.com/office/drawing/2014/main" id="{00000000-0008-0000-2D00-0000D5000000}"/>
            </a:ext>
          </a:extLst>
        </xdr:cNvPr>
        <xdr:cNvSpPr/>
      </xdr:nvSpPr>
      <xdr:spPr>
        <a:xfrm>
          <a:off x="13134975" y="12773025"/>
          <a:ext cx="314325" cy="180975"/>
        </a:xfrm>
        <a:prstGeom prst="rect">
          <a:avLst/>
        </a:prstGeom>
        <a:solidFill>
          <a:srgbClr val="00B0F0"/>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15</xdr:col>
      <xdr:colOff>476250</xdr:colOff>
      <xdr:row>61</xdr:row>
      <xdr:rowOff>3809</xdr:rowOff>
    </xdr:from>
    <xdr:to>
      <xdr:col>16</xdr:col>
      <xdr:colOff>33122</xdr:colOff>
      <xdr:row>63</xdr:row>
      <xdr:rowOff>115329</xdr:rowOff>
    </xdr:to>
    <xdr:sp macro="" textlink="">
      <xdr:nvSpPr>
        <xdr:cNvPr id="214" name="Rectangle 213">
          <a:extLst>
            <a:ext uri="{FF2B5EF4-FFF2-40B4-BE49-F238E27FC236}">
              <a16:creationId xmlns="" xmlns:a16="http://schemas.microsoft.com/office/drawing/2014/main" id="{00000000-0008-0000-2D00-0000D6000000}"/>
            </a:ext>
          </a:extLst>
        </xdr:cNvPr>
        <xdr:cNvSpPr/>
      </xdr:nvSpPr>
      <xdr:spPr>
        <a:xfrm>
          <a:off x="13154025" y="12230099"/>
          <a:ext cx="274319" cy="542925"/>
        </a:xfrm>
        <a:prstGeom prst="rect">
          <a:avLst/>
        </a:prstGeom>
        <a:solidFill>
          <a:srgbClr val="00B0F0"/>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24</xdr:col>
      <xdr:colOff>355600</xdr:colOff>
      <xdr:row>7</xdr:row>
      <xdr:rowOff>63500</xdr:rowOff>
    </xdr:from>
    <xdr:to>
      <xdr:col>25</xdr:col>
      <xdr:colOff>355600</xdr:colOff>
      <xdr:row>19</xdr:row>
      <xdr:rowOff>120650</xdr:rowOff>
    </xdr:to>
    <xdr:sp macro="" textlink="">
      <xdr:nvSpPr>
        <xdr:cNvPr id="884671" name="Rectangle 62" descr="Recycled paper">
          <a:extLst>
            <a:ext uri="{FF2B5EF4-FFF2-40B4-BE49-F238E27FC236}">
              <a16:creationId xmlns="" xmlns:a16="http://schemas.microsoft.com/office/drawing/2014/main" id="{00000000-0008-0000-2D00-0000BF7F0D00}"/>
            </a:ext>
          </a:extLst>
        </xdr:cNvPr>
        <xdr:cNvSpPr>
          <a:spLocks noChangeArrowheads="1"/>
        </xdr:cNvSpPr>
      </xdr:nvSpPr>
      <xdr:spPr bwMode="auto">
        <a:xfrm rot="5400000">
          <a:off x="19681825" y="2232025"/>
          <a:ext cx="2419350" cy="838200"/>
        </a:xfrm>
        <a:prstGeom prst="rect">
          <a:avLst/>
        </a:prstGeom>
        <a:blipFill dpi="0" rotWithShape="0">
          <a:blip xmlns:r="http://schemas.openxmlformats.org/officeDocument/2006/relationships" r:embed="rId5"/>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25</xdr:col>
      <xdr:colOff>63500</xdr:colOff>
      <xdr:row>13</xdr:row>
      <xdr:rowOff>120650</xdr:rowOff>
    </xdr:from>
    <xdr:to>
      <xdr:col>25</xdr:col>
      <xdr:colOff>285750</xdr:colOff>
      <xdr:row>23</xdr:row>
      <xdr:rowOff>76200</xdr:rowOff>
    </xdr:to>
    <xdr:sp macro="" textlink="">
      <xdr:nvSpPr>
        <xdr:cNvPr id="884672" name="Rectangle 62" descr="Recycled paper">
          <a:extLst>
            <a:ext uri="{FF2B5EF4-FFF2-40B4-BE49-F238E27FC236}">
              <a16:creationId xmlns="" xmlns:a16="http://schemas.microsoft.com/office/drawing/2014/main" id="{00000000-0008-0000-2D00-0000C07F0D00}"/>
            </a:ext>
          </a:extLst>
        </xdr:cNvPr>
        <xdr:cNvSpPr>
          <a:spLocks noChangeArrowheads="1"/>
        </xdr:cNvSpPr>
      </xdr:nvSpPr>
      <xdr:spPr bwMode="auto">
        <a:xfrm rot="-3648632">
          <a:off x="20167600" y="3530600"/>
          <a:ext cx="1924050" cy="222250"/>
        </a:xfrm>
        <a:prstGeom prst="rect">
          <a:avLst/>
        </a:prstGeom>
        <a:blipFill dpi="0" rotWithShape="0">
          <a:blip xmlns:r="http://schemas.openxmlformats.org/officeDocument/2006/relationships" r:embed="rId5"/>
          <a:srcRect/>
          <a:tile tx="0" ty="0" sx="100000" sy="100000" flip="none" algn="tl"/>
        </a:blipFill>
        <a:ln w="9525">
          <a:solidFill>
            <a:srgbClr val="000000"/>
          </a:solidFill>
          <a:miter lim="800000"/>
          <a:headEnd/>
          <a:tailEnd/>
        </a:ln>
      </xdr:spPr>
    </xdr:sp>
    <xdr:clientData/>
  </xdr:twoCellAnchor>
  <xdr:twoCellAnchor>
    <xdr:from>
      <xdr:col>20</xdr:col>
      <xdr:colOff>952</xdr:colOff>
      <xdr:row>12</xdr:row>
      <xdr:rowOff>3174</xdr:rowOff>
    </xdr:from>
    <xdr:to>
      <xdr:col>20</xdr:col>
      <xdr:colOff>251034</xdr:colOff>
      <xdr:row>14</xdr:row>
      <xdr:rowOff>58633</xdr:rowOff>
    </xdr:to>
    <xdr:sp macro="" textlink="">
      <xdr:nvSpPr>
        <xdr:cNvPr id="217" name="TextBox 319">
          <a:extLst>
            <a:ext uri="{FF2B5EF4-FFF2-40B4-BE49-F238E27FC236}">
              <a16:creationId xmlns="" xmlns:a16="http://schemas.microsoft.com/office/drawing/2014/main" id="{00000000-0008-0000-2D00-0000D9000000}"/>
            </a:ext>
          </a:extLst>
        </xdr:cNvPr>
        <xdr:cNvSpPr txBox="1"/>
      </xdr:nvSpPr>
      <xdr:spPr>
        <a:xfrm rot="16200000">
          <a:off x="16697324" y="2490787"/>
          <a:ext cx="466725"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t>250</a:t>
          </a:r>
        </a:p>
      </xdr:txBody>
    </xdr:sp>
    <xdr:clientData/>
  </xdr:twoCellAnchor>
  <xdr:twoCellAnchor>
    <xdr:from>
      <xdr:col>21</xdr:col>
      <xdr:colOff>105409</xdr:colOff>
      <xdr:row>74</xdr:row>
      <xdr:rowOff>74295</xdr:rowOff>
    </xdr:from>
    <xdr:to>
      <xdr:col>23</xdr:col>
      <xdr:colOff>57798</xdr:colOff>
      <xdr:row>76</xdr:row>
      <xdr:rowOff>1950</xdr:rowOff>
    </xdr:to>
    <xdr:sp macro="" textlink="">
      <xdr:nvSpPr>
        <xdr:cNvPr id="218" name="TextBox 320">
          <a:extLst>
            <a:ext uri="{FF2B5EF4-FFF2-40B4-BE49-F238E27FC236}">
              <a16:creationId xmlns="" xmlns:a16="http://schemas.microsoft.com/office/drawing/2014/main" id="{00000000-0008-0000-2D00-0000DA000000}"/>
            </a:ext>
          </a:extLst>
        </xdr:cNvPr>
        <xdr:cNvSpPr txBox="1"/>
      </xdr:nvSpPr>
      <xdr:spPr>
        <a:xfrm>
          <a:off x="17726024" y="14887575"/>
          <a:ext cx="1609725" cy="3429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t>Empierrement</a:t>
          </a:r>
        </a:p>
      </xdr:txBody>
    </xdr:sp>
    <xdr:clientData/>
  </xdr:twoCellAnchor>
  <xdr:twoCellAnchor>
    <xdr:from>
      <xdr:col>21</xdr:col>
      <xdr:colOff>88900</xdr:colOff>
      <xdr:row>17</xdr:row>
      <xdr:rowOff>38100</xdr:rowOff>
    </xdr:from>
    <xdr:to>
      <xdr:col>21</xdr:col>
      <xdr:colOff>450850</xdr:colOff>
      <xdr:row>17</xdr:row>
      <xdr:rowOff>76200</xdr:rowOff>
    </xdr:to>
    <xdr:sp macro="" textlink="">
      <xdr:nvSpPr>
        <xdr:cNvPr id="884675" name="Rectangle 4">
          <a:extLst>
            <a:ext uri="{FF2B5EF4-FFF2-40B4-BE49-F238E27FC236}">
              <a16:creationId xmlns="" xmlns:a16="http://schemas.microsoft.com/office/drawing/2014/main" id="{00000000-0008-0000-2D00-0000C37F0D00}"/>
            </a:ext>
          </a:extLst>
        </xdr:cNvPr>
        <xdr:cNvSpPr>
          <a:spLocks noChangeArrowheads="1"/>
        </xdr:cNvSpPr>
      </xdr:nvSpPr>
      <xdr:spPr bwMode="auto">
        <a:xfrm>
          <a:off x="17691100" y="3384550"/>
          <a:ext cx="361950" cy="38100"/>
        </a:xfrm>
        <a:prstGeom prst="rect">
          <a:avLst/>
        </a:prstGeom>
        <a:solidFill>
          <a:srgbClr val="33CCCC"/>
        </a:solidFill>
        <a:ln w="9525">
          <a:solidFill>
            <a:srgbClr val="000000"/>
          </a:solidFill>
          <a:miter lim="800000"/>
          <a:headEnd/>
          <a:tailEnd/>
        </a:ln>
      </xdr:spPr>
    </xdr:sp>
    <xdr:clientData/>
  </xdr:twoCellAnchor>
  <xdr:twoCellAnchor>
    <xdr:from>
      <xdr:col>21</xdr:col>
      <xdr:colOff>76200</xdr:colOff>
      <xdr:row>16</xdr:row>
      <xdr:rowOff>38100</xdr:rowOff>
    </xdr:from>
    <xdr:to>
      <xdr:col>21</xdr:col>
      <xdr:colOff>114300</xdr:colOff>
      <xdr:row>17</xdr:row>
      <xdr:rowOff>76200</xdr:rowOff>
    </xdr:to>
    <xdr:sp macro="" textlink="">
      <xdr:nvSpPr>
        <xdr:cNvPr id="884676" name="Rectangle 4">
          <a:extLst>
            <a:ext uri="{FF2B5EF4-FFF2-40B4-BE49-F238E27FC236}">
              <a16:creationId xmlns="" xmlns:a16="http://schemas.microsoft.com/office/drawing/2014/main" id="{00000000-0008-0000-2D00-0000C47F0D00}"/>
            </a:ext>
          </a:extLst>
        </xdr:cNvPr>
        <xdr:cNvSpPr>
          <a:spLocks noChangeArrowheads="1"/>
        </xdr:cNvSpPr>
      </xdr:nvSpPr>
      <xdr:spPr bwMode="auto">
        <a:xfrm rot="-5400000">
          <a:off x="17579975" y="3286125"/>
          <a:ext cx="234950" cy="38100"/>
        </a:xfrm>
        <a:prstGeom prst="rect">
          <a:avLst/>
        </a:prstGeom>
        <a:solidFill>
          <a:srgbClr val="33CCCC"/>
        </a:solidFill>
        <a:ln w="9525">
          <a:solidFill>
            <a:srgbClr val="000000"/>
          </a:solidFill>
          <a:miter lim="800000"/>
          <a:headEnd/>
          <a:tailEnd/>
        </a:ln>
      </xdr:spPr>
    </xdr:sp>
    <xdr:clientData/>
  </xdr:twoCellAnchor>
  <xdr:twoCellAnchor>
    <xdr:from>
      <xdr:col>16</xdr:col>
      <xdr:colOff>361315</xdr:colOff>
      <xdr:row>67</xdr:row>
      <xdr:rowOff>111125</xdr:rowOff>
    </xdr:from>
    <xdr:to>
      <xdr:col>19</xdr:col>
      <xdr:colOff>231977</xdr:colOff>
      <xdr:row>70</xdr:row>
      <xdr:rowOff>136752</xdr:rowOff>
    </xdr:to>
    <xdr:sp macro="" textlink="">
      <xdr:nvSpPr>
        <xdr:cNvPr id="221" name="Text Box 170">
          <a:extLst>
            <a:ext uri="{FF2B5EF4-FFF2-40B4-BE49-F238E27FC236}">
              <a16:creationId xmlns="" xmlns:a16="http://schemas.microsoft.com/office/drawing/2014/main" id="{00000000-0008-0000-2D00-0000DD000000}"/>
            </a:ext>
          </a:extLst>
        </xdr:cNvPr>
        <xdr:cNvSpPr txBox="1">
          <a:spLocks noChangeArrowheads="1"/>
        </xdr:cNvSpPr>
      </xdr:nvSpPr>
      <xdr:spPr bwMode="auto">
        <a:xfrm>
          <a:off x="13858875" y="13544550"/>
          <a:ext cx="2381250" cy="60007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Tuyau d'adduction  PVC40 PN10 - minimum slope/pente 3% en direction de l'aire de puisage</a:t>
          </a:r>
        </a:p>
      </xdr:txBody>
    </xdr:sp>
    <xdr:clientData/>
  </xdr:twoCellAnchor>
  <xdr:twoCellAnchor>
    <xdr:from>
      <xdr:col>17</xdr:col>
      <xdr:colOff>330200</xdr:colOff>
      <xdr:row>65</xdr:row>
      <xdr:rowOff>101600</xdr:rowOff>
    </xdr:from>
    <xdr:to>
      <xdr:col>18</xdr:col>
      <xdr:colOff>190500</xdr:colOff>
      <xdr:row>67</xdr:row>
      <xdr:rowOff>139700</xdr:rowOff>
    </xdr:to>
    <xdr:sp macro="" textlink="">
      <xdr:nvSpPr>
        <xdr:cNvPr id="884678" name="Line 171">
          <a:extLst>
            <a:ext uri="{FF2B5EF4-FFF2-40B4-BE49-F238E27FC236}">
              <a16:creationId xmlns="" xmlns:a16="http://schemas.microsoft.com/office/drawing/2014/main" id="{00000000-0008-0000-2D00-0000C67F0D00}"/>
            </a:ext>
          </a:extLst>
        </xdr:cNvPr>
        <xdr:cNvSpPr>
          <a:spLocks noChangeShapeType="1"/>
        </xdr:cNvSpPr>
      </xdr:nvSpPr>
      <xdr:spPr bwMode="auto">
        <a:xfrm flipV="1">
          <a:off x="14579600" y="12896850"/>
          <a:ext cx="698500" cy="43180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17</xdr:col>
      <xdr:colOff>231775</xdr:colOff>
      <xdr:row>60</xdr:row>
      <xdr:rowOff>96520</xdr:rowOff>
    </xdr:from>
    <xdr:to>
      <xdr:col>20</xdr:col>
      <xdr:colOff>139761</xdr:colOff>
      <xdr:row>62</xdr:row>
      <xdr:rowOff>110805</xdr:rowOff>
    </xdr:to>
    <xdr:sp macro="" textlink="">
      <xdr:nvSpPr>
        <xdr:cNvPr id="223" name="Text Box 166">
          <a:extLst>
            <a:ext uri="{FF2B5EF4-FFF2-40B4-BE49-F238E27FC236}">
              <a16:creationId xmlns="" xmlns:a16="http://schemas.microsoft.com/office/drawing/2014/main" id="{00000000-0008-0000-2D00-0000DF000000}"/>
            </a:ext>
          </a:extLst>
        </xdr:cNvPr>
        <xdr:cNvSpPr txBox="1">
          <a:spLocks noChangeArrowheads="1"/>
        </xdr:cNvSpPr>
      </xdr:nvSpPr>
      <xdr:spPr bwMode="auto">
        <a:xfrm>
          <a:off x="14563725" y="12125325"/>
          <a:ext cx="2381250" cy="40005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Tuyau de trop-plein PVC50 PN10 ou PVC40 PN10</a:t>
          </a:r>
        </a:p>
      </xdr:txBody>
    </xdr:sp>
    <xdr:clientData/>
  </xdr:twoCellAnchor>
  <xdr:twoCellAnchor>
    <xdr:from>
      <xdr:col>18</xdr:col>
      <xdr:colOff>19050</xdr:colOff>
      <xdr:row>61</xdr:row>
      <xdr:rowOff>139700</xdr:rowOff>
    </xdr:from>
    <xdr:to>
      <xdr:col>18</xdr:col>
      <xdr:colOff>209550</xdr:colOff>
      <xdr:row>64</xdr:row>
      <xdr:rowOff>25400</xdr:rowOff>
    </xdr:to>
    <xdr:sp macro="" textlink="">
      <xdr:nvSpPr>
        <xdr:cNvPr id="884680" name="Line 183">
          <a:extLst>
            <a:ext uri="{FF2B5EF4-FFF2-40B4-BE49-F238E27FC236}">
              <a16:creationId xmlns="" xmlns:a16="http://schemas.microsoft.com/office/drawing/2014/main" id="{00000000-0008-0000-2D00-0000C87F0D00}"/>
            </a:ext>
          </a:extLst>
        </xdr:cNvPr>
        <xdr:cNvSpPr>
          <a:spLocks noChangeShapeType="1"/>
        </xdr:cNvSpPr>
      </xdr:nvSpPr>
      <xdr:spPr bwMode="auto">
        <a:xfrm flipH="1">
          <a:off x="15106650" y="12147550"/>
          <a:ext cx="190500" cy="4762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14</xdr:col>
      <xdr:colOff>323850</xdr:colOff>
      <xdr:row>18</xdr:row>
      <xdr:rowOff>57150</xdr:rowOff>
    </xdr:from>
    <xdr:to>
      <xdr:col>17</xdr:col>
      <xdr:colOff>19050</xdr:colOff>
      <xdr:row>18</xdr:row>
      <xdr:rowOff>120650</xdr:rowOff>
    </xdr:to>
    <xdr:sp macro="" textlink="">
      <xdr:nvSpPr>
        <xdr:cNvPr id="884681" name="Rectangle 4">
          <a:extLst>
            <a:ext uri="{FF2B5EF4-FFF2-40B4-BE49-F238E27FC236}">
              <a16:creationId xmlns="" xmlns:a16="http://schemas.microsoft.com/office/drawing/2014/main" id="{00000000-0008-0000-2D00-0000C97F0D00}"/>
            </a:ext>
          </a:extLst>
        </xdr:cNvPr>
        <xdr:cNvSpPr>
          <a:spLocks noChangeArrowheads="1"/>
        </xdr:cNvSpPr>
      </xdr:nvSpPr>
      <xdr:spPr bwMode="auto">
        <a:xfrm>
          <a:off x="12058650" y="3600450"/>
          <a:ext cx="2209800" cy="63500"/>
        </a:xfrm>
        <a:prstGeom prst="rect">
          <a:avLst/>
        </a:prstGeom>
        <a:solidFill>
          <a:srgbClr val="33CCCC"/>
        </a:solidFill>
        <a:ln w="9525">
          <a:solidFill>
            <a:srgbClr val="000000"/>
          </a:solidFill>
          <a:miter lim="800000"/>
          <a:headEnd/>
          <a:tailEnd/>
        </a:ln>
      </xdr:spPr>
    </xdr:sp>
    <xdr:clientData/>
  </xdr:twoCellAnchor>
  <xdr:twoCellAnchor>
    <xdr:from>
      <xdr:col>14</xdr:col>
      <xdr:colOff>323850</xdr:colOff>
      <xdr:row>16</xdr:row>
      <xdr:rowOff>44450</xdr:rowOff>
    </xdr:from>
    <xdr:to>
      <xdr:col>14</xdr:col>
      <xdr:colOff>400050</xdr:colOff>
      <xdr:row>18</xdr:row>
      <xdr:rowOff>114300</xdr:rowOff>
    </xdr:to>
    <xdr:sp macro="" textlink="">
      <xdr:nvSpPr>
        <xdr:cNvPr id="884682" name="Rectangle 4">
          <a:extLst>
            <a:ext uri="{FF2B5EF4-FFF2-40B4-BE49-F238E27FC236}">
              <a16:creationId xmlns="" xmlns:a16="http://schemas.microsoft.com/office/drawing/2014/main" id="{00000000-0008-0000-2D00-0000CA7F0D00}"/>
            </a:ext>
          </a:extLst>
        </xdr:cNvPr>
        <xdr:cNvSpPr>
          <a:spLocks noChangeArrowheads="1"/>
        </xdr:cNvSpPr>
      </xdr:nvSpPr>
      <xdr:spPr bwMode="auto">
        <a:xfrm rot="-5400000">
          <a:off x="11864975" y="3387725"/>
          <a:ext cx="463550" cy="76200"/>
        </a:xfrm>
        <a:prstGeom prst="rect">
          <a:avLst/>
        </a:prstGeom>
        <a:solidFill>
          <a:srgbClr val="33CCCC"/>
        </a:solidFill>
        <a:ln w="9525">
          <a:solidFill>
            <a:srgbClr val="000000"/>
          </a:solidFill>
          <a:miter lim="800000"/>
          <a:headEnd/>
          <a:tailEnd/>
        </a:ln>
      </xdr:spPr>
    </xdr:sp>
    <xdr:clientData/>
  </xdr:twoCellAnchor>
  <xdr:twoCellAnchor>
    <xdr:from>
      <xdr:col>16</xdr:col>
      <xdr:colOff>450850</xdr:colOff>
      <xdr:row>16</xdr:row>
      <xdr:rowOff>44450</xdr:rowOff>
    </xdr:from>
    <xdr:to>
      <xdr:col>17</xdr:col>
      <xdr:colOff>38100</xdr:colOff>
      <xdr:row>18</xdr:row>
      <xdr:rowOff>114300</xdr:rowOff>
    </xdr:to>
    <xdr:sp macro="" textlink="">
      <xdr:nvSpPr>
        <xdr:cNvPr id="884683" name="Rectangle 4">
          <a:extLst>
            <a:ext uri="{FF2B5EF4-FFF2-40B4-BE49-F238E27FC236}">
              <a16:creationId xmlns="" xmlns:a16="http://schemas.microsoft.com/office/drawing/2014/main" id="{00000000-0008-0000-2D00-0000CB7F0D00}"/>
            </a:ext>
          </a:extLst>
        </xdr:cNvPr>
        <xdr:cNvSpPr>
          <a:spLocks noChangeArrowheads="1"/>
        </xdr:cNvSpPr>
      </xdr:nvSpPr>
      <xdr:spPr bwMode="auto">
        <a:xfrm rot="-5400000">
          <a:off x="13843000" y="3213100"/>
          <a:ext cx="463550" cy="425450"/>
        </a:xfrm>
        <a:prstGeom prst="rect">
          <a:avLst/>
        </a:prstGeom>
        <a:solidFill>
          <a:srgbClr val="33CCCC"/>
        </a:solidFill>
        <a:ln w="9525">
          <a:solidFill>
            <a:srgbClr val="000000"/>
          </a:solidFill>
          <a:miter lim="800000"/>
          <a:headEnd/>
          <a:tailEnd/>
        </a:ln>
      </xdr:spPr>
    </xdr:sp>
    <xdr:clientData/>
  </xdr:twoCellAnchor>
  <xdr:twoCellAnchor>
    <xdr:from>
      <xdr:col>21</xdr:col>
      <xdr:colOff>44450</xdr:colOff>
      <xdr:row>72</xdr:row>
      <xdr:rowOff>139700</xdr:rowOff>
    </xdr:from>
    <xdr:to>
      <xdr:col>25</xdr:col>
      <xdr:colOff>0</xdr:colOff>
      <xdr:row>73</xdr:row>
      <xdr:rowOff>76200</xdr:rowOff>
    </xdr:to>
    <xdr:sp macro="" textlink="">
      <xdr:nvSpPr>
        <xdr:cNvPr id="884684" name="Rectangle 184" descr="Dark downward diagonal">
          <a:extLst>
            <a:ext uri="{FF2B5EF4-FFF2-40B4-BE49-F238E27FC236}">
              <a16:creationId xmlns="" xmlns:a16="http://schemas.microsoft.com/office/drawing/2014/main" id="{00000000-0008-0000-2D00-0000CC7F0D00}"/>
            </a:ext>
          </a:extLst>
        </xdr:cNvPr>
        <xdr:cNvSpPr>
          <a:spLocks noChangeArrowheads="1"/>
        </xdr:cNvSpPr>
      </xdr:nvSpPr>
      <xdr:spPr bwMode="auto">
        <a:xfrm>
          <a:off x="17646650" y="14312900"/>
          <a:ext cx="3308350" cy="133350"/>
        </a:xfrm>
        <a:prstGeom prst="rect">
          <a:avLst/>
        </a:prstGeom>
        <a:blipFill dpi="0" rotWithShape="0">
          <a:blip xmlns:r="http://schemas.openxmlformats.org/officeDocument/2006/relationships" r:embed="rId4"/>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297179</xdr:colOff>
      <xdr:row>71</xdr:row>
      <xdr:rowOff>35561</xdr:rowOff>
    </xdr:from>
    <xdr:to>
      <xdr:col>24</xdr:col>
      <xdr:colOff>420677</xdr:colOff>
      <xdr:row>71</xdr:row>
      <xdr:rowOff>150108</xdr:rowOff>
    </xdr:to>
    <xdr:sp macro="" textlink="">
      <xdr:nvSpPr>
        <xdr:cNvPr id="229" name="Rectangle 228">
          <a:extLst>
            <a:ext uri="{FF2B5EF4-FFF2-40B4-BE49-F238E27FC236}">
              <a16:creationId xmlns="" xmlns:a16="http://schemas.microsoft.com/office/drawing/2014/main" id="{00000000-0008-0000-2D00-0000E5000000}"/>
            </a:ext>
          </a:extLst>
        </xdr:cNvPr>
        <xdr:cNvSpPr/>
      </xdr:nvSpPr>
      <xdr:spPr>
        <a:xfrm>
          <a:off x="17954624" y="14277976"/>
          <a:ext cx="2667001" cy="104774"/>
        </a:xfrm>
        <a:prstGeom prst="rect">
          <a:avLst/>
        </a:prstGeom>
        <a:blipFill>
          <a:blip xmlns:r="http://schemas.openxmlformats.org/officeDocument/2006/relationships" r:embed="rId7"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21</xdr:col>
      <xdr:colOff>450850</xdr:colOff>
      <xdr:row>70</xdr:row>
      <xdr:rowOff>139700</xdr:rowOff>
    </xdr:from>
    <xdr:to>
      <xdr:col>22</xdr:col>
      <xdr:colOff>463550</xdr:colOff>
      <xdr:row>71</xdr:row>
      <xdr:rowOff>139700</xdr:rowOff>
    </xdr:to>
    <xdr:sp macro="" textlink="">
      <xdr:nvSpPr>
        <xdr:cNvPr id="884686" name="Freeform 194" descr="Sand">
          <a:extLst>
            <a:ext uri="{FF2B5EF4-FFF2-40B4-BE49-F238E27FC236}">
              <a16:creationId xmlns="" xmlns:a16="http://schemas.microsoft.com/office/drawing/2014/main" id="{00000000-0008-0000-2D00-0000CE7F0D00}"/>
            </a:ext>
          </a:extLst>
        </xdr:cNvPr>
        <xdr:cNvSpPr>
          <a:spLocks/>
        </xdr:cNvSpPr>
      </xdr:nvSpPr>
      <xdr:spPr bwMode="auto">
        <a:xfrm rot="-328878">
          <a:off x="18053050" y="13919200"/>
          <a:ext cx="850900" cy="196850"/>
        </a:xfrm>
        <a:custGeom>
          <a:avLst/>
          <a:gdLst>
            <a:gd name="T0" fmla="*/ 0 w 66"/>
            <a:gd name="T1" fmla="*/ 2147483646 h 17"/>
            <a:gd name="T2" fmla="*/ 2147483646 w 66"/>
            <a:gd name="T3" fmla="*/ 2147483646 h 17"/>
            <a:gd name="T4" fmla="*/ 2147483646 w 66"/>
            <a:gd name="T5" fmla="*/ 2147483646 h 17"/>
            <a:gd name="T6" fmla="*/ 2147483646 w 66"/>
            <a:gd name="T7" fmla="*/ 2147483646 h 17"/>
            <a:gd name="T8" fmla="*/ 2147483646 w 66"/>
            <a:gd name="T9" fmla="*/ 2147483646 h 17"/>
            <a:gd name="T10" fmla="*/ 2147483646 w 66"/>
            <a:gd name="T11" fmla="*/ 2147483646 h 17"/>
            <a:gd name="T12" fmla="*/ 2147483646 w 66"/>
            <a:gd name="T13" fmla="*/ 2147483646 h 17"/>
            <a:gd name="T14" fmla="*/ 0 w 66"/>
            <a:gd name="T15" fmla="*/ 2147483646 h 17"/>
            <a:gd name="T16" fmla="*/ 0 60000 65536"/>
            <a:gd name="T17" fmla="*/ 0 60000 65536"/>
            <a:gd name="T18" fmla="*/ 0 60000 65536"/>
            <a:gd name="T19" fmla="*/ 0 60000 65536"/>
            <a:gd name="T20" fmla="*/ 0 60000 65536"/>
            <a:gd name="T21" fmla="*/ 0 60000 65536"/>
            <a:gd name="T22" fmla="*/ 0 60000 65536"/>
            <a:gd name="T23" fmla="*/ 0 60000 65536"/>
            <a:gd name="T24" fmla="*/ 0 w 66"/>
            <a:gd name="T25" fmla="*/ 0 h 17"/>
            <a:gd name="T26" fmla="*/ 66 w 66"/>
            <a:gd name="T27" fmla="*/ 17 h 17"/>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66" h="17">
              <a:moveTo>
                <a:pt x="0" y="2"/>
              </a:moveTo>
              <a:cubicBezTo>
                <a:pt x="6" y="3"/>
                <a:pt x="10" y="6"/>
                <a:pt x="16" y="7"/>
              </a:cubicBezTo>
              <a:cubicBezTo>
                <a:pt x="29" y="4"/>
                <a:pt x="42" y="7"/>
                <a:pt x="55" y="8"/>
              </a:cubicBezTo>
              <a:cubicBezTo>
                <a:pt x="58" y="9"/>
                <a:pt x="64" y="7"/>
                <a:pt x="65" y="10"/>
              </a:cubicBezTo>
              <a:cubicBezTo>
                <a:pt x="66" y="13"/>
                <a:pt x="59" y="13"/>
                <a:pt x="56" y="14"/>
              </a:cubicBezTo>
              <a:cubicBezTo>
                <a:pt x="47" y="17"/>
                <a:pt x="37" y="15"/>
                <a:pt x="28" y="15"/>
              </a:cubicBezTo>
              <a:cubicBezTo>
                <a:pt x="9" y="14"/>
                <a:pt x="13" y="12"/>
                <a:pt x="1" y="4"/>
              </a:cubicBezTo>
              <a:cubicBezTo>
                <a:pt x="0" y="1"/>
                <a:pt x="0" y="0"/>
                <a:pt x="0" y="2"/>
              </a:cubicBezTo>
              <a:close/>
            </a:path>
          </a:pathLst>
        </a:custGeom>
        <a:blipFill dpi="0" rotWithShape="0">
          <a:blip xmlns:r="http://schemas.openxmlformats.org/officeDocument/2006/relationships" r:embed="rId6"/>
          <a:srcRect/>
          <a:tile tx="0" ty="0" sx="100000" sy="100000" flip="none" algn="tl"/>
        </a:blipFill>
        <a:ln w="9525">
          <a:solidFill>
            <a:srgbClr val="000000"/>
          </a:solidFill>
          <a:round/>
          <a:headEnd/>
          <a:tailEnd/>
        </a:ln>
      </xdr:spPr>
    </xdr:sp>
    <xdr:clientData/>
  </xdr:twoCellAnchor>
  <xdr:twoCellAnchor>
    <xdr:from>
      <xdr:col>3</xdr:col>
      <xdr:colOff>323850</xdr:colOff>
      <xdr:row>1</xdr:row>
      <xdr:rowOff>94615</xdr:rowOff>
    </xdr:from>
    <xdr:to>
      <xdr:col>6</xdr:col>
      <xdr:colOff>55865</xdr:colOff>
      <xdr:row>3</xdr:row>
      <xdr:rowOff>92997</xdr:rowOff>
    </xdr:to>
    <xdr:sp macro="" textlink="">
      <xdr:nvSpPr>
        <xdr:cNvPr id="231" name="ZoneTexte 230">
          <a:extLst>
            <a:ext uri="{FF2B5EF4-FFF2-40B4-BE49-F238E27FC236}">
              <a16:creationId xmlns="" xmlns:a16="http://schemas.microsoft.com/office/drawing/2014/main" id="{00000000-0008-0000-2D00-0000E7000000}"/>
            </a:ext>
          </a:extLst>
        </xdr:cNvPr>
        <xdr:cNvSpPr txBox="1"/>
      </xdr:nvSpPr>
      <xdr:spPr>
        <a:xfrm>
          <a:off x="2943225" y="304800"/>
          <a:ext cx="2095500" cy="419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t>PLAN TYPE</a:t>
          </a:r>
          <a:r>
            <a:rPr lang="en-GB" sz="1100" b="1" baseline="0"/>
            <a:t> SOURCE AVEC TANK</a:t>
          </a:r>
          <a:endParaRPr lang="en-GB" sz="1100" b="1"/>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56515</xdr:colOff>
      <xdr:row>20</xdr:row>
      <xdr:rowOff>71755</xdr:rowOff>
    </xdr:from>
    <xdr:to>
      <xdr:col>4</xdr:col>
      <xdr:colOff>153418</xdr:colOff>
      <xdr:row>21</xdr:row>
      <xdr:rowOff>18725</xdr:rowOff>
    </xdr:to>
    <xdr:sp macro="" textlink="">
      <xdr:nvSpPr>
        <xdr:cNvPr id="2" name="Rectangle 1">
          <a:extLst>
            <a:ext uri="{FF2B5EF4-FFF2-40B4-BE49-F238E27FC236}">
              <a16:creationId xmlns="" xmlns:a16="http://schemas.microsoft.com/office/drawing/2014/main" id="{00000000-0008-0000-2E00-000002000000}"/>
            </a:ext>
          </a:extLst>
        </xdr:cNvPr>
        <xdr:cNvSpPr/>
      </xdr:nvSpPr>
      <xdr:spPr>
        <a:xfrm>
          <a:off x="57150" y="3848100"/>
          <a:ext cx="1133475" cy="142875"/>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clientData/>
  </xdr:twoCellAnchor>
  <xdr:twoCellAnchor>
    <xdr:from>
      <xdr:col>49</xdr:col>
      <xdr:colOff>19685</xdr:colOff>
      <xdr:row>0</xdr:row>
      <xdr:rowOff>61595</xdr:rowOff>
    </xdr:from>
    <xdr:to>
      <xdr:col>59</xdr:col>
      <xdr:colOff>17159</xdr:colOff>
      <xdr:row>2</xdr:row>
      <xdr:rowOff>114191</xdr:rowOff>
    </xdr:to>
    <xdr:sp macro="" textlink="">
      <xdr:nvSpPr>
        <xdr:cNvPr id="3" name="ZoneTexte 2">
          <a:extLst>
            <a:ext uri="{FF2B5EF4-FFF2-40B4-BE49-F238E27FC236}">
              <a16:creationId xmlns="" xmlns:a16="http://schemas.microsoft.com/office/drawing/2014/main" id="{00000000-0008-0000-2E00-000003000000}"/>
            </a:ext>
          </a:extLst>
        </xdr:cNvPr>
        <xdr:cNvSpPr txBox="1"/>
      </xdr:nvSpPr>
      <xdr:spPr>
        <a:xfrm>
          <a:off x="11687175" y="200025"/>
          <a:ext cx="2381249" cy="47815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2800" b="1"/>
            <a:t>VUE</a:t>
          </a:r>
          <a:r>
            <a:rPr lang="fr-FR" sz="2800" b="1" baseline="0"/>
            <a:t> EN PLAN</a:t>
          </a:r>
          <a:endParaRPr lang="fr-FR" sz="2800" b="1"/>
        </a:p>
      </xdr:txBody>
    </xdr:sp>
    <xdr:clientData/>
  </xdr:twoCellAnchor>
  <xdr:twoCellAnchor>
    <xdr:from>
      <xdr:col>1</xdr:col>
      <xdr:colOff>63500</xdr:colOff>
      <xdr:row>0</xdr:row>
      <xdr:rowOff>25400</xdr:rowOff>
    </xdr:from>
    <xdr:to>
      <xdr:col>75</xdr:col>
      <xdr:colOff>171450</xdr:colOff>
      <xdr:row>30</xdr:row>
      <xdr:rowOff>0</xdr:rowOff>
    </xdr:to>
    <xdr:grpSp>
      <xdr:nvGrpSpPr>
        <xdr:cNvPr id="873884" name="Group 102">
          <a:extLst>
            <a:ext uri="{FF2B5EF4-FFF2-40B4-BE49-F238E27FC236}">
              <a16:creationId xmlns="" xmlns:a16="http://schemas.microsoft.com/office/drawing/2014/main" id="{00000000-0008-0000-2E00-00009C550D00}"/>
            </a:ext>
          </a:extLst>
        </xdr:cNvPr>
        <xdr:cNvGrpSpPr>
          <a:grpSpLocks/>
        </xdr:cNvGrpSpPr>
      </xdr:nvGrpSpPr>
      <xdr:grpSpPr bwMode="auto">
        <a:xfrm>
          <a:off x="298450" y="25400"/>
          <a:ext cx="17494250" cy="5441950"/>
          <a:chOff x="470290" y="37393"/>
          <a:chExt cx="14681899" cy="5125940"/>
        </a:xfrm>
      </xdr:grpSpPr>
      <xdr:sp macro="" textlink="">
        <xdr:nvSpPr>
          <xdr:cNvPr id="5" name="Rectangle 4">
            <a:extLst>
              <a:ext uri="{FF2B5EF4-FFF2-40B4-BE49-F238E27FC236}">
                <a16:creationId xmlns="" xmlns:a16="http://schemas.microsoft.com/office/drawing/2014/main" id="{00000000-0008-0000-2E00-000005000000}"/>
              </a:ext>
            </a:extLst>
          </xdr:cNvPr>
          <xdr:cNvSpPr/>
        </xdr:nvSpPr>
        <xdr:spPr>
          <a:xfrm>
            <a:off x="8965008" y="1335326"/>
            <a:ext cx="4860215" cy="3146143"/>
          </a:xfrm>
          <a:prstGeom prst="rect">
            <a:avLst/>
          </a:prstGeom>
          <a:blipFill>
            <a:blip xmlns:r="http://schemas.openxmlformats.org/officeDocument/2006/relationships" r:embed="rId1" cstate="print"/>
            <a:tile tx="0" ty="0" sx="100000" sy="100000" flip="none" algn="tl"/>
          </a:blip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sp macro="" textlink="">
        <xdr:nvSpPr>
          <xdr:cNvPr id="6" name="Rectangle 5">
            <a:extLst>
              <a:ext uri="{FF2B5EF4-FFF2-40B4-BE49-F238E27FC236}">
                <a16:creationId xmlns="" xmlns:a16="http://schemas.microsoft.com/office/drawing/2014/main" id="{00000000-0008-0000-2E00-000006000000}"/>
              </a:ext>
            </a:extLst>
          </xdr:cNvPr>
          <xdr:cNvSpPr/>
        </xdr:nvSpPr>
        <xdr:spPr>
          <a:xfrm>
            <a:off x="5303859" y="1724108"/>
            <a:ext cx="223826" cy="1902041"/>
          </a:xfrm>
          <a:prstGeom prst="rect">
            <a:avLst/>
          </a:prstGeom>
          <a:blipFill>
            <a:blip xmlns:r="http://schemas.openxmlformats.org/officeDocument/2006/relationships" r:embed="rId2"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sp macro="" textlink="">
        <xdr:nvSpPr>
          <xdr:cNvPr id="7" name="Rectangle 6">
            <a:extLst>
              <a:ext uri="{FF2B5EF4-FFF2-40B4-BE49-F238E27FC236}">
                <a16:creationId xmlns="" xmlns:a16="http://schemas.microsoft.com/office/drawing/2014/main" id="{00000000-0008-0000-2E00-000007000000}"/>
              </a:ext>
            </a:extLst>
          </xdr:cNvPr>
          <xdr:cNvSpPr/>
        </xdr:nvSpPr>
        <xdr:spPr>
          <a:xfrm>
            <a:off x="614178" y="3793624"/>
            <a:ext cx="5084041" cy="149532"/>
          </a:xfrm>
          <a:prstGeom prst="rect">
            <a:avLst/>
          </a:prstGeom>
          <a:blipFill>
            <a:blip xmlns:r="http://schemas.openxmlformats.org/officeDocument/2006/relationships" r:embed="rId2"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sp macro="" textlink="">
        <xdr:nvSpPr>
          <xdr:cNvPr id="8" name="Rectangle 7">
            <a:extLst>
              <a:ext uri="{FF2B5EF4-FFF2-40B4-BE49-F238E27FC236}">
                <a16:creationId xmlns="" xmlns:a16="http://schemas.microsoft.com/office/drawing/2014/main" id="{00000000-0008-0000-2E00-000008000000}"/>
              </a:ext>
            </a:extLst>
          </xdr:cNvPr>
          <xdr:cNvSpPr/>
        </xdr:nvSpPr>
        <xdr:spPr>
          <a:xfrm>
            <a:off x="795370" y="1730090"/>
            <a:ext cx="197180" cy="2093441"/>
          </a:xfrm>
          <a:prstGeom prst="rect">
            <a:avLst/>
          </a:prstGeom>
          <a:blipFill>
            <a:blip xmlns:r="http://schemas.openxmlformats.org/officeDocument/2006/relationships" r:embed="rId2"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sp macro="" textlink="">
        <xdr:nvSpPr>
          <xdr:cNvPr id="9" name="Rectangle 8">
            <a:extLst>
              <a:ext uri="{FF2B5EF4-FFF2-40B4-BE49-F238E27FC236}">
                <a16:creationId xmlns="" xmlns:a16="http://schemas.microsoft.com/office/drawing/2014/main" id="{00000000-0008-0000-2E00-000009000000}"/>
              </a:ext>
            </a:extLst>
          </xdr:cNvPr>
          <xdr:cNvSpPr/>
        </xdr:nvSpPr>
        <xdr:spPr>
          <a:xfrm>
            <a:off x="598190" y="1562614"/>
            <a:ext cx="575552" cy="161494"/>
          </a:xfrm>
          <a:prstGeom prst="rect">
            <a:avLst/>
          </a:prstGeom>
          <a:blipFill>
            <a:blip xmlns:r="http://schemas.openxmlformats.org/officeDocument/2006/relationships" r:embed="rId2"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sp macro="" textlink="">
        <xdr:nvSpPr>
          <xdr:cNvPr id="10" name="Rectangle 9">
            <a:extLst>
              <a:ext uri="{FF2B5EF4-FFF2-40B4-BE49-F238E27FC236}">
                <a16:creationId xmlns="" xmlns:a16="http://schemas.microsoft.com/office/drawing/2014/main" id="{00000000-0008-0000-2E00-00000A000000}"/>
              </a:ext>
            </a:extLst>
          </xdr:cNvPr>
          <xdr:cNvSpPr/>
        </xdr:nvSpPr>
        <xdr:spPr>
          <a:xfrm>
            <a:off x="582203" y="1562614"/>
            <a:ext cx="4114129" cy="167475"/>
          </a:xfrm>
          <a:prstGeom prst="rect">
            <a:avLst/>
          </a:prstGeom>
          <a:blipFill>
            <a:blip xmlns:r="http://schemas.openxmlformats.org/officeDocument/2006/relationships" r:embed="rId2"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sp macro="" textlink="">
        <xdr:nvSpPr>
          <xdr:cNvPr id="11" name="Rectangle 10">
            <a:extLst>
              <a:ext uri="{FF2B5EF4-FFF2-40B4-BE49-F238E27FC236}">
                <a16:creationId xmlns="" xmlns:a16="http://schemas.microsoft.com/office/drawing/2014/main" id="{00000000-0008-0000-2E00-00000B000000}"/>
              </a:ext>
            </a:extLst>
          </xdr:cNvPr>
          <xdr:cNvSpPr/>
        </xdr:nvSpPr>
        <xdr:spPr>
          <a:xfrm>
            <a:off x="4909499" y="1562614"/>
            <a:ext cx="815365" cy="16149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sp macro="" textlink="">
        <xdr:nvSpPr>
          <xdr:cNvPr id="12" name="Rectangle 11">
            <a:extLst>
              <a:ext uri="{FF2B5EF4-FFF2-40B4-BE49-F238E27FC236}">
                <a16:creationId xmlns="" xmlns:a16="http://schemas.microsoft.com/office/drawing/2014/main" id="{00000000-0008-0000-2E00-00000C000000}"/>
              </a:ext>
            </a:extLst>
          </xdr:cNvPr>
          <xdr:cNvSpPr/>
        </xdr:nvSpPr>
        <xdr:spPr>
          <a:xfrm>
            <a:off x="4696332" y="1102057"/>
            <a:ext cx="426335" cy="155513"/>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sp macro="" textlink="">
        <xdr:nvSpPr>
          <xdr:cNvPr id="13" name="Rectangle 12">
            <a:extLst>
              <a:ext uri="{FF2B5EF4-FFF2-40B4-BE49-F238E27FC236}">
                <a16:creationId xmlns="" xmlns:a16="http://schemas.microsoft.com/office/drawing/2014/main" id="{00000000-0008-0000-2E00-00000D000000}"/>
              </a:ext>
            </a:extLst>
          </xdr:cNvPr>
          <xdr:cNvSpPr/>
        </xdr:nvSpPr>
        <xdr:spPr>
          <a:xfrm rot="16200000">
            <a:off x="4946377" y="1272680"/>
            <a:ext cx="203363" cy="149217"/>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sp macro="" textlink="">
        <xdr:nvSpPr>
          <xdr:cNvPr id="14" name="Rectangle 13">
            <a:extLst>
              <a:ext uri="{FF2B5EF4-FFF2-40B4-BE49-F238E27FC236}">
                <a16:creationId xmlns="" xmlns:a16="http://schemas.microsoft.com/office/drawing/2014/main" id="{00000000-0008-0000-2E00-00000E000000}"/>
              </a:ext>
            </a:extLst>
          </xdr:cNvPr>
          <xdr:cNvSpPr/>
        </xdr:nvSpPr>
        <xdr:spPr>
          <a:xfrm>
            <a:off x="5170629" y="3620168"/>
            <a:ext cx="980570" cy="173457"/>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cxnSp macro="">
        <xdr:nvCxnSpPr>
          <xdr:cNvPr id="15" name="Connecteur droit avec flèche 14">
            <a:extLst>
              <a:ext uri="{FF2B5EF4-FFF2-40B4-BE49-F238E27FC236}">
                <a16:creationId xmlns="" xmlns:a16="http://schemas.microsoft.com/office/drawing/2014/main" id="{00000000-0008-0000-2E00-00000F000000}"/>
              </a:ext>
            </a:extLst>
          </xdr:cNvPr>
          <xdr:cNvCxnSpPr/>
        </xdr:nvCxnSpPr>
        <xdr:spPr>
          <a:xfrm rot="16200000" flipH="1">
            <a:off x="3202162" y="2928298"/>
            <a:ext cx="1698678" cy="31975"/>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6" name="Rectangle 15">
            <a:extLst>
              <a:ext uri="{FF2B5EF4-FFF2-40B4-BE49-F238E27FC236}">
                <a16:creationId xmlns="" xmlns:a16="http://schemas.microsoft.com/office/drawing/2014/main" id="{00000000-0008-0000-2E00-000010000000}"/>
              </a:ext>
            </a:extLst>
          </xdr:cNvPr>
          <xdr:cNvSpPr/>
        </xdr:nvSpPr>
        <xdr:spPr>
          <a:xfrm>
            <a:off x="928600" y="37393"/>
            <a:ext cx="4369930" cy="681864"/>
          </a:xfrm>
          <a:prstGeom prst="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fr-FR" sz="2000" b="1">
                <a:solidFill>
                  <a:sysClr val="windowText" lastClr="000000"/>
                </a:solidFill>
              </a:rPr>
              <a:t>COUPE</a:t>
            </a:r>
            <a:r>
              <a:rPr lang="fr-FR" sz="2000" b="1" baseline="0">
                <a:solidFill>
                  <a:sysClr val="windowText" lastClr="000000"/>
                </a:solidFill>
              </a:rPr>
              <a:t> LONGITUDINAL D'UN RESERVOIR </a:t>
            </a:r>
            <a:r>
              <a:rPr lang="fr-FR" sz="2000" b="1">
                <a:solidFill>
                  <a:sysClr val="windowText" lastClr="000000"/>
                </a:solidFill>
              </a:rPr>
              <a:t>  RECTANGULAIRE DE 5m3 </a:t>
            </a:r>
            <a:r>
              <a:rPr lang="fr-FR" sz="2000">
                <a:solidFill>
                  <a:sysClr val="windowText" lastClr="000000"/>
                </a:solidFill>
              </a:rPr>
              <a:t>      </a:t>
            </a:r>
            <a:r>
              <a:rPr lang="fr-FR" sz="1100">
                <a:solidFill>
                  <a:sysClr val="windowText" lastClr="000000"/>
                </a:solidFill>
              </a:rPr>
              <a:t>                  </a:t>
            </a:r>
          </a:p>
        </xdr:txBody>
      </xdr:sp>
      <xdr:cxnSp macro="">
        <xdr:nvCxnSpPr>
          <xdr:cNvPr id="17" name="Connecteur droit 16">
            <a:extLst>
              <a:ext uri="{FF2B5EF4-FFF2-40B4-BE49-F238E27FC236}">
                <a16:creationId xmlns="" xmlns:a16="http://schemas.microsoft.com/office/drawing/2014/main" id="{00000000-0008-0000-2E00-000011000000}"/>
              </a:ext>
            </a:extLst>
          </xdr:cNvPr>
          <xdr:cNvCxnSpPr/>
        </xdr:nvCxnSpPr>
        <xdr:spPr>
          <a:xfrm rot="10800000" flipH="1">
            <a:off x="614178" y="3883343"/>
            <a:ext cx="5084041" cy="0"/>
          </a:xfrm>
          <a:prstGeom prst="line">
            <a:avLst/>
          </a:prstGeom>
          <a:ln w="38100">
            <a:solidFill>
              <a:sysClr val="windowText" lastClr="000000"/>
            </a:solidFill>
            <a:prstDash val="sysDash"/>
          </a:ln>
        </xdr:spPr>
        <xdr:style>
          <a:lnRef idx="1">
            <a:schemeClr val="accent1"/>
          </a:lnRef>
          <a:fillRef idx="0">
            <a:schemeClr val="accent1"/>
          </a:fillRef>
          <a:effectRef idx="0">
            <a:schemeClr val="accent1"/>
          </a:effectRef>
          <a:fontRef idx="minor">
            <a:schemeClr val="tx1"/>
          </a:fontRef>
        </xdr:style>
      </xdr:cxnSp>
      <xdr:sp macro="" textlink="">
        <xdr:nvSpPr>
          <xdr:cNvPr id="18" name="Rectangle 17">
            <a:extLst>
              <a:ext uri="{FF2B5EF4-FFF2-40B4-BE49-F238E27FC236}">
                <a16:creationId xmlns="" xmlns:a16="http://schemas.microsoft.com/office/drawing/2014/main" id="{00000000-0008-0000-2E00-000012000000}"/>
              </a:ext>
            </a:extLst>
          </xdr:cNvPr>
          <xdr:cNvSpPr/>
        </xdr:nvSpPr>
        <xdr:spPr>
          <a:xfrm rot="16200000">
            <a:off x="4078226" y="2646358"/>
            <a:ext cx="634014" cy="165205"/>
          </a:xfrm>
          <a:prstGeom prst="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100">
                <a:solidFill>
                  <a:sysClr val="windowText" lastClr="000000"/>
                </a:solidFill>
              </a:rPr>
              <a:t>                                 </a:t>
            </a:r>
          </a:p>
        </xdr:txBody>
      </xdr:sp>
      <xdr:sp macro="" textlink="">
        <xdr:nvSpPr>
          <xdr:cNvPr id="19" name="Rectangle 18">
            <a:extLst>
              <a:ext uri="{FF2B5EF4-FFF2-40B4-BE49-F238E27FC236}">
                <a16:creationId xmlns="" xmlns:a16="http://schemas.microsoft.com/office/drawing/2014/main" id="{00000000-0008-0000-2E00-000013000000}"/>
              </a:ext>
            </a:extLst>
          </xdr:cNvPr>
          <xdr:cNvSpPr/>
        </xdr:nvSpPr>
        <xdr:spPr>
          <a:xfrm rot="16200000">
            <a:off x="3555371" y="2218911"/>
            <a:ext cx="693826" cy="266459"/>
          </a:xfrm>
          <a:prstGeom prst="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lnSpc>
                <a:spcPts val="1200"/>
              </a:lnSpc>
            </a:pPr>
            <a:r>
              <a:rPr lang="fr-FR" sz="1100">
                <a:solidFill>
                  <a:sysClr val="windowText" lastClr="000000"/>
                </a:solidFill>
              </a:rPr>
              <a:t>                                 1.00</a:t>
            </a:r>
          </a:p>
        </xdr:txBody>
      </xdr:sp>
      <xdr:sp macro="" textlink="">
        <xdr:nvSpPr>
          <xdr:cNvPr id="20" name="Rectangle 19">
            <a:extLst>
              <a:ext uri="{FF2B5EF4-FFF2-40B4-BE49-F238E27FC236}">
                <a16:creationId xmlns="" xmlns:a16="http://schemas.microsoft.com/office/drawing/2014/main" id="{00000000-0008-0000-2E00-000014000000}"/>
              </a:ext>
            </a:extLst>
          </xdr:cNvPr>
          <xdr:cNvSpPr/>
        </xdr:nvSpPr>
        <xdr:spPr>
          <a:xfrm>
            <a:off x="4909499" y="1562614"/>
            <a:ext cx="815365" cy="161494"/>
          </a:xfrm>
          <a:prstGeom prst="rect">
            <a:avLst/>
          </a:prstGeom>
          <a:blipFill>
            <a:blip xmlns:r="http://schemas.openxmlformats.org/officeDocument/2006/relationships" r:embed="rId2"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cxnSp macro="">
        <xdr:nvCxnSpPr>
          <xdr:cNvPr id="21" name="Connecteur droit 20">
            <a:extLst>
              <a:ext uri="{FF2B5EF4-FFF2-40B4-BE49-F238E27FC236}">
                <a16:creationId xmlns="" xmlns:a16="http://schemas.microsoft.com/office/drawing/2014/main" id="{00000000-0008-0000-2E00-000015000000}"/>
              </a:ext>
            </a:extLst>
          </xdr:cNvPr>
          <xdr:cNvCxnSpPr/>
        </xdr:nvCxnSpPr>
        <xdr:spPr>
          <a:xfrm rot="5400000">
            <a:off x="4507385" y="2675129"/>
            <a:ext cx="1902041" cy="0"/>
          </a:xfrm>
          <a:prstGeom prst="line">
            <a:avLst/>
          </a:prstGeom>
          <a:ln w="38100">
            <a:solidFill>
              <a:sysClr val="windowText" lastClr="000000"/>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22" name="Connecteur droit 21">
            <a:extLst>
              <a:ext uri="{FF2B5EF4-FFF2-40B4-BE49-F238E27FC236}">
                <a16:creationId xmlns="" xmlns:a16="http://schemas.microsoft.com/office/drawing/2014/main" id="{00000000-0008-0000-2E00-000016000000}"/>
              </a:ext>
            </a:extLst>
          </xdr:cNvPr>
          <xdr:cNvCxnSpPr/>
        </xdr:nvCxnSpPr>
        <xdr:spPr>
          <a:xfrm rot="5400000">
            <a:off x="4435990" y="4176425"/>
            <a:ext cx="669901"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3" name="Connecteur droit 22">
            <a:extLst>
              <a:ext uri="{FF2B5EF4-FFF2-40B4-BE49-F238E27FC236}">
                <a16:creationId xmlns="" xmlns:a16="http://schemas.microsoft.com/office/drawing/2014/main" id="{00000000-0008-0000-2E00-000017000000}"/>
              </a:ext>
            </a:extLst>
          </xdr:cNvPr>
          <xdr:cNvCxnSpPr/>
        </xdr:nvCxnSpPr>
        <xdr:spPr>
          <a:xfrm rot="16200000" flipH="1">
            <a:off x="2608531" y="4636982"/>
            <a:ext cx="1052702"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4" name="Connecteur droit avec flèche 23">
            <a:extLst>
              <a:ext uri="{FF2B5EF4-FFF2-40B4-BE49-F238E27FC236}">
                <a16:creationId xmlns="" xmlns:a16="http://schemas.microsoft.com/office/drawing/2014/main" id="{00000000-0008-0000-2E00-000018000000}"/>
              </a:ext>
            </a:extLst>
          </xdr:cNvPr>
          <xdr:cNvCxnSpPr/>
        </xdr:nvCxnSpPr>
        <xdr:spPr>
          <a:xfrm flipV="1">
            <a:off x="4744295" y="4475488"/>
            <a:ext cx="788719" cy="598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xnSp macro="">
        <xdr:nvCxnSpPr>
          <xdr:cNvPr id="25" name="Connecteur droit avec flèche 24">
            <a:extLst>
              <a:ext uri="{FF2B5EF4-FFF2-40B4-BE49-F238E27FC236}">
                <a16:creationId xmlns="" xmlns:a16="http://schemas.microsoft.com/office/drawing/2014/main" id="{00000000-0008-0000-2E00-000019000000}"/>
              </a:ext>
            </a:extLst>
          </xdr:cNvPr>
          <xdr:cNvCxnSpPr/>
        </xdr:nvCxnSpPr>
        <xdr:spPr>
          <a:xfrm flipV="1">
            <a:off x="4067488" y="4732682"/>
            <a:ext cx="873986" cy="1794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xnSp macro="">
        <xdr:nvCxnSpPr>
          <xdr:cNvPr id="26" name="Connecteur droit avec flèche 25">
            <a:extLst>
              <a:ext uri="{FF2B5EF4-FFF2-40B4-BE49-F238E27FC236}">
                <a16:creationId xmlns="" xmlns:a16="http://schemas.microsoft.com/office/drawing/2014/main" id="{00000000-0008-0000-2E00-00001A000000}"/>
              </a:ext>
            </a:extLst>
          </xdr:cNvPr>
          <xdr:cNvCxnSpPr/>
        </xdr:nvCxnSpPr>
        <xdr:spPr>
          <a:xfrm flipV="1">
            <a:off x="3134881" y="5157352"/>
            <a:ext cx="831353" cy="598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7" name="Rectangle 26">
            <a:extLst>
              <a:ext uri="{FF2B5EF4-FFF2-40B4-BE49-F238E27FC236}">
                <a16:creationId xmlns="" xmlns:a16="http://schemas.microsoft.com/office/drawing/2014/main" id="{00000000-0008-0000-2E00-00001B000000}"/>
              </a:ext>
            </a:extLst>
          </xdr:cNvPr>
          <xdr:cNvSpPr/>
        </xdr:nvSpPr>
        <xdr:spPr>
          <a:xfrm>
            <a:off x="5170629" y="2077003"/>
            <a:ext cx="122571" cy="1543165"/>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sp macro="" textlink="">
        <xdr:nvSpPr>
          <xdr:cNvPr id="28" name="Rectangle 27">
            <a:extLst>
              <a:ext uri="{FF2B5EF4-FFF2-40B4-BE49-F238E27FC236}">
                <a16:creationId xmlns="" xmlns:a16="http://schemas.microsoft.com/office/drawing/2014/main" id="{00000000-0008-0000-2E00-00001C000000}"/>
              </a:ext>
            </a:extLst>
          </xdr:cNvPr>
          <xdr:cNvSpPr/>
        </xdr:nvSpPr>
        <xdr:spPr>
          <a:xfrm>
            <a:off x="1008537" y="1951396"/>
            <a:ext cx="165205" cy="1525221"/>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cxnSp macro="">
        <xdr:nvCxnSpPr>
          <xdr:cNvPr id="29" name="Connecteur droit avec flèche 28">
            <a:extLst>
              <a:ext uri="{FF2B5EF4-FFF2-40B4-BE49-F238E27FC236}">
                <a16:creationId xmlns="" xmlns:a16="http://schemas.microsoft.com/office/drawing/2014/main" id="{00000000-0008-0000-2E00-00001D000000}"/>
              </a:ext>
            </a:extLst>
          </xdr:cNvPr>
          <xdr:cNvCxnSpPr/>
        </xdr:nvCxnSpPr>
        <xdr:spPr>
          <a:xfrm flipV="1">
            <a:off x="507594" y="4648945"/>
            <a:ext cx="815365" cy="1196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xnSp macro="">
        <xdr:nvCxnSpPr>
          <xdr:cNvPr id="30" name="Connecteur droit 29">
            <a:extLst>
              <a:ext uri="{FF2B5EF4-FFF2-40B4-BE49-F238E27FC236}">
                <a16:creationId xmlns="" xmlns:a16="http://schemas.microsoft.com/office/drawing/2014/main" id="{00000000-0008-0000-2E00-00001E000000}"/>
              </a:ext>
            </a:extLst>
          </xdr:cNvPr>
          <xdr:cNvCxnSpPr/>
        </xdr:nvCxnSpPr>
        <xdr:spPr>
          <a:xfrm rot="10800000">
            <a:off x="5261225" y="2226534"/>
            <a:ext cx="1087153" cy="598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1" name="Connecteur droit 30">
            <a:extLst>
              <a:ext uri="{FF2B5EF4-FFF2-40B4-BE49-F238E27FC236}">
                <a16:creationId xmlns="" xmlns:a16="http://schemas.microsoft.com/office/drawing/2014/main" id="{00000000-0008-0000-2E00-00001F000000}"/>
              </a:ext>
            </a:extLst>
          </xdr:cNvPr>
          <xdr:cNvCxnSpPr/>
        </xdr:nvCxnSpPr>
        <xdr:spPr>
          <a:xfrm rot="10800000">
            <a:off x="5788815" y="3751756"/>
            <a:ext cx="1023203" cy="0"/>
          </a:xfrm>
          <a:prstGeom prst="line">
            <a:avLst/>
          </a:prstGeom>
        </xdr:spPr>
        <xdr:style>
          <a:lnRef idx="1">
            <a:schemeClr val="accent1"/>
          </a:lnRef>
          <a:fillRef idx="0">
            <a:schemeClr val="accent1"/>
          </a:fillRef>
          <a:effectRef idx="0">
            <a:schemeClr val="accent1"/>
          </a:effectRef>
          <a:fontRef idx="minor">
            <a:schemeClr val="tx1"/>
          </a:fontRef>
        </xdr:style>
      </xdr:cxnSp>
      <xdr:sp macro="" textlink="">
        <xdr:nvSpPr>
          <xdr:cNvPr id="32" name="Rectangle 31">
            <a:extLst>
              <a:ext uri="{FF2B5EF4-FFF2-40B4-BE49-F238E27FC236}">
                <a16:creationId xmlns="" xmlns:a16="http://schemas.microsoft.com/office/drawing/2014/main" id="{00000000-0008-0000-2E00-000020000000}"/>
              </a:ext>
            </a:extLst>
          </xdr:cNvPr>
          <xdr:cNvSpPr/>
        </xdr:nvSpPr>
        <xdr:spPr>
          <a:xfrm>
            <a:off x="1834561" y="2429897"/>
            <a:ext cx="948595" cy="299063"/>
          </a:xfrm>
          <a:prstGeom prst="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100">
                <a:solidFill>
                  <a:sysClr val="windowText" lastClr="000000"/>
                </a:solidFill>
              </a:rPr>
              <a:t>                                 2.5m et</a:t>
            </a:r>
            <a:r>
              <a:rPr lang="fr-FR" sz="1100" baseline="0">
                <a:solidFill>
                  <a:sysClr val="windowText" lastClr="000000"/>
                </a:solidFill>
              </a:rPr>
              <a:t> 2.05</a:t>
            </a:r>
            <a:r>
              <a:rPr lang="fr-FR" sz="1100">
                <a:solidFill>
                  <a:sysClr val="windowText" lastClr="000000"/>
                </a:solidFill>
              </a:rPr>
              <a:t>m</a:t>
            </a:r>
          </a:p>
        </xdr:txBody>
      </xdr:sp>
      <xdr:cxnSp macro="">
        <xdr:nvCxnSpPr>
          <xdr:cNvPr id="33" name="Connecteur droit avec flèche 32">
            <a:extLst>
              <a:ext uri="{FF2B5EF4-FFF2-40B4-BE49-F238E27FC236}">
                <a16:creationId xmlns="" xmlns:a16="http://schemas.microsoft.com/office/drawing/2014/main" id="{00000000-0008-0000-2E00-000021000000}"/>
              </a:ext>
            </a:extLst>
          </xdr:cNvPr>
          <xdr:cNvCxnSpPr/>
        </xdr:nvCxnSpPr>
        <xdr:spPr>
          <a:xfrm flipV="1">
            <a:off x="5463734" y="2932323"/>
            <a:ext cx="852669" cy="1794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xnSp macro="">
        <xdr:nvCxnSpPr>
          <xdr:cNvPr id="34" name="Connecteur droit avec flèche 33">
            <a:extLst>
              <a:ext uri="{FF2B5EF4-FFF2-40B4-BE49-F238E27FC236}">
                <a16:creationId xmlns="" xmlns:a16="http://schemas.microsoft.com/office/drawing/2014/main" id="{00000000-0008-0000-2E00-000022000000}"/>
              </a:ext>
            </a:extLst>
          </xdr:cNvPr>
          <xdr:cNvCxnSpPr/>
        </xdr:nvCxnSpPr>
        <xdr:spPr>
          <a:xfrm flipV="1">
            <a:off x="5122667" y="1120001"/>
            <a:ext cx="778061"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xnSp macro="">
        <xdr:nvCxnSpPr>
          <xdr:cNvPr id="35" name="Connecteur droit 34">
            <a:extLst>
              <a:ext uri="{FF2B5EF4-FFF2-40B4-BE49-F238E27FC236}">
                <a16:creationId xmlns="" xmlns:a16="http://schemas.microsoft.com/office/drawing/2014/main" id="{00000000-0008-0000-2E00-000023000000}"/>
              </a:ext>
            </a:extLst>
          </xdr:cNvPr>
          <xdr:cNvCxnSpPr/>
        </xdr:nvCxnSpPr>
        <xdr:spPr>
          <a:xfrm rot="16200000" flipH="1">
            <a:off x="1979551" y="1379152"/>
            <a:ext cx="370838" cy="31975"/>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6" name="Connecteur droit avec flèche 35">
            <a:extLst>
              <a:ext uri="{FF2B5EF4-FFF2-40B4-BE49-F238E27FC236}">
                <a16:creationId xmlns="" xmlns:a16="http://schemas.microsoft.com/office/drawing/2014/main" id="{00000000-0008-0000-2E00-000024000000}"/>
              </a:ext>
            </a:extLst>
          </xdr:cNvPr>
          <xdr:cNvCxnSpPr/>
        </xdr:nvCxnSpPr>
        <xdr:spPr>
          <a:xfrm flipV="1">
            <a:off x="2148983" y="1203739"/>
            <a:ext cx="772732"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xnSp macro="">
        <xdr:nvCxnSpPr>
          <xdr:cNvPr id="37" name="Connecteur droit avec flèche 36">
            <a:extLst>
              <a:ext uri="{FF2B5EF4-FFF2-40B4-BE49-F238E27FC236}">
                <a16:creationId xmlns="" xmlns:a16="http://schemas.microsoft.com/office/drawing/2014/main" id="{00000000-0008-0000-2E00-000025000000}"/>
              </a:ext>
            </a:extLst>
          </xdr:cNvPr>
          <xdr:cNvCxnSpPr/>
        </xdr:nvCxnSpPr>
        <xdr:spPr>
          <a:xfrm flipV="1">
            <a:off x="5533014" y="3434749"/>
            <a:ext cx="666148" cy="1794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38" name="Rectangle 37">
            <a:extLst>
              <a:ext uri="{FF2B5EF4-FFF2-40B4-BE49-F238E27FC236}">
                <a16:creationId xmlns="" xmlns:a16="http://schemas.microsoft.com/office/drawing/2014/main" id="{00000000-0008-0000-2E00-000026000000}"/>
              </a:ext>
            </a:extLst>
          </xdr:cNvPr>
          <xdr:cNvSpPr/>
        </xdr:nvSpPr>
        <xdr:spPr>
          <a:xfrm rot="16200000">
            <a:off x="4552681" y="1389259"/>
            <a:ext cx="484482" cy="197180"/>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cxnSp macro="">
        <xdr:nvCxnSpPr>
          <xdr:cNvPr id="39" name="Connecteur droit 38">
            <a:extLst>
              <a:ext uri="{FF2B5EF4-FFF2-40B4-BE49-F238E27FC236}">
                <a16:creationId xmlns="" xmlns:a16="http://schemas.microsoft.com/office/drawing/2014/main" id="{00000000-0008-0000-2E00-000027000000}"/>
              </a:ext>
            </a:extLst>
          </xdr:cNvPr>
          <xdr:cNvCxnSpPr/>
        </xdr:nvCxnSpPr>
        <xdr:spPr>
          <a:xfrm rot="16200000" flipH="1">
            <a:off x="-54374" y="4085020"/>
            <a:ext cx="1070646" cy="21317"/>
          </a:xfrm>
          <a:prstGeom prst="line">
            <a:avLst/>
          </a:prstGeom>
        </xdr:spPr>
        <xdr:style>
          <a:lnRef idx="1">
            <a:schemeClr val="accent1"/>
          </a:lnRef>
          <a:fillRef idx="0">
            <a:schemeClr val="accent1"/>
          </a:fillRef>
          <a:effectRef idx="0">
            <a:schemeClr val="accent1"/>
          </a:effectRef>
          <a:fontRef idx="minor">
            <a:schemeClr val="tx1"/>
          </a:fontRef>
        </xdr:style>
      </xdr:cxnSp>
      <xdr:sp macro="" textlink="">
        <xdr:nvSpPr>
          <xdr:cNvPr id="40" name="Rectangle 39">
            <a:extLst>
              <a:ext uri="{FF2B5EF4-FFF2-40B4-BE49-F238E27FC236}">
                <a16:creationId xmlns="" xmlns:a16="http://schemas.microsoft.com/office/drawing/2014/main" id="{00000000-0008-0000-2E00-000028000000}"/>
              </a:ext>
            </a:extLst>
          </xdr:cNvPr>
          <xdr:cNvSpPr/>
        </xdr:nvSpPr>
        <xdr:spPr>
          <a:xfrm>
            <a:off x="475619" y="3919231"/>
            <a:ext cx="5318525" cy="77756"/>
          </a:xfrm>
          <a:prstGeom prst="rect">
            <a:avLst/>
          </a:prstGeom>
          <a:blipFill>
            <a:blip xmlns:r="http://schemas.openxmlformats.org/officeDocument/2006/relationships" r:embed="rId2" cstate="print"/>
            <a:tile tx="0" ty="0" sx="100000" sy="100000" flip="none" algn="tl"/>
          </a:blip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sp macro="" textlink="">
        <xdr:nvSpPr>
          <xdr:cNvPr id="41" name="Rectangle 40">
            <a:extLst>
              <a:ext uri="{FF2B5EF4-FFF2-40B4-BE49-F238E27FC236}">
                <a16:creationId xmlns="" xmlns:a16="http://schemas.microsoft.com/office/drawing/2014/main" id="{00000000-0008-0000-2E00-000029000000}"/>
              </a:ext>
            </a:extLst>
          </xdr:cNvPr>
          <xdr:cNvSpPr/>
        </xdr:nvSpPr>
        <xdr:spPr>
          <a:xfrm>
            <a:off x="491607" y="4008950"/>
            <a:ext cx="5302537" cy="149532"/>
          </a:xfrm>
          <a:prstGeom prst="rect">
            <a:avLst/>
          </a:prstGeom>
          <a:blipFill>
            <a:blip xmlns:r="http://schemas.openxmlformats.org/officeDocument/2006/relationships" r:embed="rId1" cstate="print"/>
            <a:tile tx="0" ty="0" sx="100000" sy="100000" flip="none" algn="tl"/>
          </a:blip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cxnSp macro="">
        <xdr:nvCxnSpPr>
          <xdr:cNvPr id="42" name="Connecteur droit 41">
            <a:extLst>
              <a:ext uri="{FF2B5EF4-FFF2-40B4-BE49-F238E27FC236}">
                <a16:creationId xmlns="" xmlns:a16="http://schemas.microsoft.com/office/drawing/2014/main" id="{00000000-0008-0000-2E00-00002A000000}"/>
              </a:ext>
            </a:extLst>
          </xdr:cNvPr>
          <xdr:cNvCxnSpPr/>
        </xdr:nvCxnSpPr>
        <xdr:spPr>
          <a:xfrm rot="16200000" flipH="1">
            <a:off x="3669735" y="4358854"/>
            <a:ext cx="795508" cy="0"/>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43" name="Rectangle 42">
            <a:extLst>
              <a:ext uri="{FF2B5EF4-FFF2-40B4-BE49-F238E27FC236}">
                <a16:creationId xmlns="" xmlns:a16="http://schemas.microsoft.com/office/drawing/2014/main" id="{00000000-0008-0000-2E00-00002B000000}"/>
              </a:ext>
            </a:extLst>
          </xdr:cNvPr>
          <xdr:cNvSpPr/>
        </xdr:nvSpPr>
        <xdr:spPr>
          <a:xfrm>
            <a:off x="9274100" y="1490839"/>
            <a:ext cx="4289992" cy="2835117"/>
          </a:xfrm>
          <a:prstGeom prst="rect">
            <a:avLst/>
          </a:prstGeom>
          <a:blipFill>
            <a:blip xmlns:r="http://schemas.openxmlformats.org/officeDocument/2006/relationships" r:embed="rId3" cstate="print"/>
            <a:tile tx="0" ty="0" sx="100000" sy="100000" flip="none" algn="tl"/>
          </a:blip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sp macro="" textlink="">
        <xdr:nvSpPr>
          <xdr:cNvPr id="44" name="Rectangle 43">
            <a:extLst>
              <a:ext uri="{FF2B5EF4-FFF2-40B4-BE49-F238E27FC236}">
                <a16:creationId xmlns="" xmlns:a16="http://schemas.microsoft.com/office/drawing/2014/main" id="{00000000-0008-0000-2E00-00002C000000}"/>
              </a:ext>
            </a:extLst>
          </xdr:cNvPr>
          <xdr:cNvSpPr/>
        </xdr:nvSpPr>
        <xdr:spPr>
          <a:xfrm>
            <a:off x="9471280" y="1670277"/>
            <a:ext cx="3789049" cy="2452317"/>
          </a:xfrm>
          <a:prstGeom prst="rect">
            <a:avLst/>
          </a:prstGeom>
          <a:blipFill>
            <a:blip xmlns:r="http://schemas.openxmlformats.org/officeDocument/2006/relationships" r:embed="rId2" cstate="print"/>
            <a:tile tx="0" ty="0" sx="100000" sy="100000" flip="none" algn="tl"/>
          </a:blip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cxnSp macro="">
        <xdr:nvCxnSpPr>
          <xdr:cNvPr id="45" name="Straight Connector 65">
            <a:extLst>
              <a:ext uri="{FF2B5EF4-FFF2-40B4-BE49-F238E27FC236}">
                <a16:creationId xmlns="" xmlns:a16="http://schemas.microsoft.com/office/drawing/2014/main" id="{00000000-0008-0000-2E00-00002D000000}"/>
              </a:ext>
            </a:extLst>
          </xdr:cNvPr>
          <xdr:cNvCxnSpPr>
            <a:stCxn id="27" idx="0"/>
          </xdr:cNvCxnSpPr>
        </xdr:nvCxnSpPr>
        <xdr:spPr>
          <a:xfrm rot="16200000" flipH="1" flipV="1">
            <a:off x="4522156" y="1387852"/>
            <a:ext cx="17944" cy="1396246"/>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46" name="Straight Arrow Connector 69">
            <a:extLst>
              <a:ext uri="{FF2B5EF4-FFF2-40B4-BE49-F238E27FC236}">
                <a16:creationId xmlns="" xmlns:a16="http://schemas.microsoft.com/office/drawing/2014/main" id="{00000000-0008-0000-2E00-00002E000000}"/>
              </a:ext>
            </a:extLst>
          </xdr:cNvPr>
          <xdr:cNvCxnSpPr/>
        </xdr:nvCxnSpPr>
        <xdr:spPr>
          <a:xfrm rot="5400000" flipH="1" flipV="1">
            <a:off x="2690628" y="2767838"/>
            <a:ext cx="2039610" cy="0"/>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47" name="TextBox 70">
            <a:extLst>
              <a:ext uri="{FF2B5EF4-FFF2-40B4-BE49-F238E27FC236}">
                <a16:creationId xmlns="" xmlns:a16="http://schemas.microsoft.com/office/drawing/2014/main" id="{00000000-0008-0000-2E00-00002F000000}"/>
              </a:ext>
            </a:extLst>
          </xdr:cNvPr>
          <xdr:cNvSpPr txBox="1"/>
        </xdr:nvSpPr>
        <xdr:spPr>
          <a:xfrm rot="16200000">
            <a:off x="3353941" y="2332016"/>
            <a:ext cx="478501" cy="159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1.30</a:t>
            </a:r>
          </a:p>
        </xdr:txBody>
      </xdr:sp>
      <xdr:sp macro="" textlink="">
        <xdr:nvSpPr>
          <xdr:cNvPr id="48" name="Rectangle 47">
            <a:extLst>
              <a:ext uri="{FF2B5EF4-FFF2-40B4-BE49-F238E27FC236}">
                <a16:creationId xmlns="" xmlns:a16="http://schemas.microsoft.com/office/drawing/2014/main" id="{00000000-0008-0000-2E00-000030000000}"/>
              </a:ext>
            </a:extLst>
          </xdr:cNvPr>
          <xdr:cNvSpPr/>
        </xdr:nvSpPr>
        <xdr:spPr>
          <a:xfrm>
            <a:off x="8714536" y="1203739"/>
            <a:ext cx="5403792" cy="837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sp macro="" textlink="">
        <xdr:nvSpPr>
          <xdr:cNvPr id="49" name="Rectangle 48">
            <a:extLst>
              <a:ext uri="{FF2B5EF4-FFF2-40B4-BE49-F238E27FC236}">
                <a16:creationId xmlns="" xmlns:a16="http://schemas.microsoft.com/office/drawing/2014/main" id="{00000000-0008-0000-2E00-000031000000}"/>
              </a:ext>
            </a:extLst>
          </xdr:cNvPr>
          <xdr:cNvSpPr/>
        </xdr:nvSpPr>
        <xdr:spPr>
          <a:xfrm>
            <a:off x="8714536" y="1239626"/>
            <a:ext cx="95925" cy="171064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sp macro="" textlink="">
        <xdr:nvSpPr>
          <xdr:cNvPr id="50" name="Rectangle 49">
            <a:extLst>
              <a:ext uri="{FF2B5EF4-FFF2-40B4-BE49-F238E27FC236}">
                <a16:creationId xmlns="" xmlns:a16="http://schemas.microsoft.com/office/drawing/2014/main" id="{00000000-0008-0000-2E00-000032000000}"/>
              </a:ext>
            </a:extLst>
          </xdr:cNvPr>
          <xdr:cNvSpPr/>
        </xdr:nvSpPr>
        <xdr:spPr>
          <a:xfrm>
            <a:off x="14017073" y="1281495"/>
            <a:ext cx="101254" cy="150727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cxnSp macro="">
        <xdr:nvCxnSpPr>
          <xdr:cNvPr id="51" name="Straight Arrow Connector 80">
            <a:extLst>
              <a:ext uri="{FF2B5EF4-FFF2-40B4-BE49-F238E27FC236}">
                <a16:creationId xmlns="" xmlns:a16="http://schemas.microsoft.com/office/drawing/2014/main" id="{00000000-0008-0000-2E00-000033000000}"/>
              </a:ext>
            </a:extLst>
          </xdr:cNvPr>
          <xdr:cNvCxnSpPr>
            <a:stCxn id="52" idx="1"/>
          </xdr:cNvCxnSpPr>
        </xdr:nvCxnSpPr>
        <xdr:spPr>
          <a:xfrm rot="10800000" flipV="1">
            <a:off x="12412989" y="952526"/>
            <a:ext cx="346397" cy="23925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52" name="TextBox 82">
            <a:extLst>
              <a:ext uri="{FF2B5EF4-FFF2-40B4-BE49-F238E27FC236}">
                <a16:creationId xmlns="" xmlns:a16="http://schemas.microsoft.com/office/drawing/2014/main" id="{00000000-0008-0000-2E00-000034000000}"/>
              </a:ext>
            </a:extLst>
          </xdr:cNvPr>
          <xdr:cNvSpPr txBox="1"/>
        </xdr:nvSpPr>
        <xdr:spPr>
          <a:xfrm>
            <a:off x="12759386" y="838882"/>
            <a:ext cx="778061" cy="215325"/>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t>Bay pass</a:t>
            </a:r>
          </a:p>
        </xdr:txBody>
      </xdr:sp>
      <xdr:sp macro="" textlink="">
        <xdr:nvSpPr>
          <xdr:cNvPr id="53" name="Rectangle 52">
            <a:extLst>
              <a:ext uri="{FF2B5EF4-FFF2-40B4-BE49-F238E27FC236}">
                <a16:creationId xmlns="" xmlns:a16="http://schemas.microsoft.com/office/drawing/2014/main" id="{00000000-0008-0000-2E00-000035000000}"/>
              </a:ext>
            </a:extLst>
          </xdr:cNvPr>
          <xdr:cNvSpPr/>
        </xdr:nvSpPr>
        <xdr:spPr>
          <a:xfrm>
            <a:off x="13196379" y="2746904"/>
            <a:ext cx="1923835" cy="957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cxnSp macro="">
        <xdr:nvCxnSpPr>
          <xdr:cNvPr id="54" name="Straight Arrow Connector 87">
            <a:extLst>
              <a:ext uri="{FF2B5EF4-FFF2-40B4-BE49-F238E27FC236}">
                <a16:creationId xmlns="" xmlns:a16="http://schemas.microsoft.com/office/drawing/2014/main" id="{00000000-0008-0000-2E00-000036000000}"/>
              </a:ext>
            </a:extLst>
          </xdr:cNvPr>
          <xdr:cNvCxnSpPr/>
        </xdr:nvCxnSpPr>
        <xdr:spPr>
          <a:xfrm rot="10800000" flipV="1">
            <a:off x="14182278" y="1855696"/>
            <a:ext cx="969911" cy="843358"/>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55" name="Rectangle 54">
            <a:extLst>
              <a:ext uri="{FF2B5EF4-FFF2-40B4-BE49-F238E27FC236}">
                <a16:creationId xmlns="" xmlns:a16="http://schemas.microsoft.com/office/drawing/2014/main" id="{00000000-0008-0000-2E00-000037000000}"/>
              </a:ext>
            </a:extLst>
          </xdr:cNvPr>
          <xdr:cNvSpPr/>
        </xdr:nvSpPr>
        <xdr:spPr>
          <a:xfrm flipV="1">
            <a:off x="7632712" y="2860548"/>
            <a:ext cx="1902518" cy="717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cxnSp macro="">
        <xdr:nvCxnSpPr>
          <xdr:cNvPr id="56" name="Straight Arrow Connector 98">
            <a:extLst>
              <a:ext uri="{FF2B5EF4-FFF2-40B4-BE49-F238E27FC236}">
                <a16:creationId xmlns="" xmlns:a16="http://schemas.microsoft.com/office/drawing/2014/main" id="{00000000-0008-0000-2E00-000038000000}"/>
              </a:ext>
            </a:extLst>
          </xdr:cNvPr>
          <xdr:cNvCxnSpPr/>
        </xdr:nvCxnSpPr>
        <xdr:spPr>
          <a:xfrm rot="16200000" flipH="1">
            <a:off x="7831275" y="2529566"/>
            <a:ext cx="610089" cy="15988"/>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57" name="Rectangle 56">
            <a:extLst>
              <a:ext uri="{FF2B5EF4-FFF2-40B4-BE49-F238E27FC236}">
                <a16:creationId xmlns="" xmlns:a16="http://schemas.microsoft.com/office/drawing/2014/main" id="{00000000-0008-0000-2E00-000039000000}"/>
              </a:ext>
            </a:extLst>
          </xdr:cNvPr>
          <xdr:cNvSpPr/>
        </xdr:nvSpPr>
        <xdr:spPr>
          <a:xfrm>
            <a:off x="13196379" y="2902417"/>
            <a:ext cx="1934493" cy="12560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sp macro="" textlink="">
        <xdr:nvSpPr>
          <xdr:cNvPr id="58" name="Rectangle 57">
            <a:extLst>
              <a:ext uri="{FF2B5EF4-FFF2-40B4-BE49-F238E27FC236}">
                <a16:creationId xmlns="" xmlns:a16="http://schemas.microsoft.com/office/drawing/2014/main" id="{00000000-0008-0000-2E00-00003A000000}"/>
              </a:ext>
            </a:extLst>
          </xdr:cNvPr>
          <xdr:cNvSpPr/>
        </xdr:nvSpPr>
        <xdr:spPr>
          <a:xfrm>
            <a:off x="13835881" y="2597372"/>
            <a:ext cx="463639" cy="49046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sp macro="" textlink="">
        <xdr:nvSpPr>
          <xdr:cNvPr id="59" name="ZoneTexte 53">
            <a:extLst>
              <a:ext uri="{FF2B5EF4-FFF2-40B4-BE49-F238E27FC236}">
                <a16:creationId xmlns="" xmlns:a16="http://schemas.microsoft.com/office/drawing/2014/main" id="{00000000-0008-0000-2E00-00003B000000}"/>
              </a:ext>
            </a:extLst>
          </xdr:cNvPr>
          <xdr:cNvSpPr txBox="1"/>
        </xdr:nvSpPr>
        <xdr:spPr>
          <a:xfrm>
            <a:off x="11554991" y="2974192"/>
            <a:ext cx="458310" cy="215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2.50</a:t>
            </a:r>
          </a:p>
        </xdr:txBody>
      </xdr:sp>
      <xdr:sp macro="" textlink="">
        <xdr:nvSpPr>
          <xdr:cNvPr id="60" name="ZoneTexte 53">
            <a:extLst>
              <a:ext uri="{FF2B5EF4-FFF2-40B4-BE49-F238E27FC236}">
                <a16:creationId xmlns="" xmlns:a16="http://schemas.microsoft.com/office/drawing/2014/main" id="{00000000-0008-0000-2E00-00003C000000}"/>
              </a:ext>
            </a:extLst>
          </xdr:cNvPr>
          <xdr:cNvSpPr txBox="1"/>
        </xdr:nvSpPr>
        <xdr:spPr>
          <a:xfrm rot="16200000">
            <a:off x="11177181" y="2604433"/>
            <a:ext cx="478501" cy="2131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2.05</a:t>
            </a:r>
          </a:p>
        </xdr:txBody>
      </xdr:sp>
      <xdr:sp macro="" textlink="">
        <xdr:nvSpPr>
          <xdr:cNvPr id="61" name="ZoneTexte 53">
            <a:extLst>
              <a:ext uri="{FF2B5EF4-FFF2-40B4-BE49-F238E27FC236}">
                <a16:creationId xmlns="" xmlns:a16="http://schemas.microsoft.com/office/drawing/2014/main" id="{00000000-0008-0000-2E00-00003D000000}"/>
              </a:ext>
            </a:extLst>
          </xdr:cNvPr>
          <xdr:cNvSpPr txBox="1"/>
        </xdr:nvSpPr>
        <xdr:spPr>
          <a:xfrm>
            <a:off x="12897945" y="2011209"/>
            <a:ext cx="431664" cy="215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15.00</a:t>
            </a:r>
          </a:p>
        </xdr:txBody>
      </xdr:sp>
      <xdr:cxnSp macro="">
        <xdr:nvCxnSpPr>
          <xdr:cNvPr id="62" name="Connecteur droit avec flèche 61">
            <a:extLst>
              <a:ext uri="{FF2B5EF4-FFF2-40B4-BE49-F238E27FC236}">
                <a16:creationId xmlns="" xmlns:a16="http://schemas.microsoft.com/office/drawing/2014/main" id="{00000000-0008-0000-2E00-00003E000000}"/>
              </a:ext>
            </a:extLst>
          </xdr:cNvPr>
          <xdr:cNvCxnSpPr>
            <a:endCxn id="6" idx="1"/>
          </xdr:cNvCxnSpPr>
        </xdr:nvCxnSpPr>
        <xdr:spPr>
          <a:xfrm>
            <a:off x="992550" y="2699054"/>
            <a:ext cx="4311309" cy="47850"/>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42</xdr:col>
      <xdr:colOff>3175</xdr:colOff>
      <xdr:row>15</xdr:row>
      <xdr:rowOff>96168</xdr:rowOff>
    </xdr:from>
    <xdr:to>
      <xdr:col>44</xdr:col>
      <xdr:colOff>56604</xdr:colOff>
      <xdr:row>18</xdr:row>
      <xdr:rowOff>114026</xdr:rowOff>
    </xdr:to>
    <xdr:sp macro="" textlink="">
      <xdr:nvSpPr>
        <xdr:cNvPr id="63" name="Rectangle 62">
          <a:extLst>
            <a:ext uri="{FF2B5EF4-FFF2-40B4-BE49-F238E27FC236}">
              <a16:creationId xmlns="" xmlns:a16="http://schemas.microsoft.com/office/drawing/2014/main" id="{00000000-0008-0000-2E00-00003F000000}"/>
            </a:ext>
          </a:extLst>
        </xdr:cNvPr>
        <xdr:cNvSpPr/>
      </xdr:nvSpPr>
      <xdr:spPr>
        <a:xfrm>
          <a:off x="10033000" y="3012723"/>
          <a:ext cx="527050" cy="55883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clientData/>
  </xdr:twoCellAnchor>
  <xdr:twoCellAnchor>
    <xdr:from>
      <xdr:col>47</xdr:col>
      <xdr:colOff>4445</xdr:colOff>
      <xdr:row>18</xdr:row>
      <xdr:rowOff>110490</xdr:rowOff>
    </xdr:from>
    <xdr:to>
      <xdr:col>66</xdr:col>
      <xdr:colOff>56605</xdr:colOff>
      <xdr:row>18</xdr:row>
      <xdr:rowOff>111284</xdr:rowOff>
    </xdr:to>
    <xdr:cxnSp macro="">
      <xdr:nvCxnSpPr>
        <xdr:cNvPr id="64" name="Straight Arrow Connector 77">
          <a:extLst>
            <a:ext uri="{FF2B5EF4-FFF2-40B4-BE49-F238E27FC236}">
              <a16:creationId xmlns="" xmlns:a16="http://schemas.microsoft.com/office/drawing/2014/main" id="{00000000-0008-0000-2E00-000040000000}"/>
            </a:ext>
          </a:extLst>
        </xdr:cNvPr>
        <xdr:cNvCxnSpPr/>
      </xdr:nvCxnSpPr>
      <xdr:spPr>
        <a:xfrm>
          <a:off x="11229975" y="3562350"/>
          <a:ext cx="4562475" cy="1588"/>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95249</xdr:colOff>
      <xdr:row>9</xdr:row>
      <xdr:rowOff>97154</xdr:rowOff>
    </xdr:from>
    <xdr:to>
      <xdr:col>57</xdr:col>
      <xdr:colOff>63504</xdr:colOff>
      <xdr:row>24</xdr:row>
      <xdr:rowOff>19743</xdr:rowOff>
    </xdr:to>
    <xdr:cxnSp macro="">
      <xdr:nvCxnSpPr>
        <xdr:cNvPr id="65" name="Straight Arrow Connector 79">
          <a:extLst>
            <a:ext uri="{FF2B5EF4-FFF2-40B4-BE49-F238E27FC236}">
              <a16:creationId xmlns="" xmlns:a16="http://schemas.microsoft.com/office/drawing/2014/main" id="{00000000-0008-0000-2E00-000041000000}"/>
            </a:ext>
          </a:extLst>
        </xdr:cNvPr>
        <xdr:cNvCxnSpPr/>
      </xdr:nvCxnSpPr>
      <xdr:spPr>
        <a:xfrm rot="16200000" flipH="1">
          <a:off x="12387261" y="3243262"/>
          <a:ext cx="2581278" cy="1"/>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xdr:colOff>
      <xdr:row>10</xdr:row>
      <xdr:rowOff>19685</xdr:rowOff>
    </xdr:from>
    <xdr:to>
      <xdr:col>15</xdr:col>
      <xdr:colOff>17801</xdr:colOff>
      <xdr:row>10</xdr:row>
      <xdr:rowOff>132057</xdr:rowOff>
    </xdr:to>
    <xdr:sp macro="" textlink="">
      <xdr:nvSpPr>
        <xdr:cNvPr id="66" name="Rectangle 65">
          <a:extLst>
            <a:ext uri="{FF2B5EF4-FFF2-40B4-BE49-F238E27FC236}">
              <a16:creationId xmlns="" xmlns:a16="http://schemas.microsoft.com/office/drawing/2014/main" id="{00000000-0008-0000-2E00-000042000000}"/>
            </a:ext>
          </a:extLst>
        </xdr:cNvPr>
        <xdr:cNvSpPr/>
      </xdr:nvSpPr>
      <xdr:spPr bwMode="auto">
        <a:xfrm rot="16200000">
          <a:off x="3394449" y="1968127"/>
          <a:ext cx="154830" cy="219076"/>
        </a:xfrm>
        <a:prstGeom prst="rect">
          <a:avLst/>
        </a:prstGeom>
        <a:blipFill>
          <a:blip xmlns:r="http://schemas.openxmlformats.org/officeDocument/2006/relationships" r:embed="rId2"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clientData/>
  </xdr:twoCellAnchor>
  <xdr:twoCellAnchor>
    <xdr:from>
      <xdr:col>6</xdr:col>
      <xdr:colOff>3173</xdr:colOff>
      <xdr:row>9</xdr:row>
      <xdr:rowOff>3175</xdr:rowOff>
    </xdr:from>
    <xdr:to>
      <xdr:col>8</xdr:col>
      <xdr:colOff>171404</xdr:colOff>
      <xdr:row>9</xdr:row>
      <xdr:rowOff>134405</xdr:rowOff>
    </xdr:to>
    <xdr:sp macro="" textlink="">
      <xdr:nvSpPr>
        <xdr:cNvPr id="67" name="Rectangle 66">
          <a:extLst>
            <a:ext uri="{FF2B5EF4-FFF2-40B4-BE49-F238E27FC236}">
              <a16:creationId xmlns="" xmlns:a16="http://schemas.microsoft.com/office/drawing/2014/main" id="{00000000-0008-0000-2E00-000043000000}"/>
            </a:ext>
          </a:extLst>
        </xdr:cNvPr>
        <xdr:cNvSpPr/>
      </xdr:nvSpPr>
      <xdr:spPr>
        <a:xfrm>
          <a:off x="1438273" y="1838325"/>
          <a:ext cx="657225" cy="152400"/>
        </a:xfrm>
        <a:prstGeom prst="rect">
          <a:avLst/>
        </a:prstGeom>
        <a:solidFill>
          <a:schemeClr val="accent2">
            <a:lumMod val="50000"/>
          </a:schemeClr>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6</xdr:col>
      <xdr:colOff>0</xdr:colOff>
      <xdr:row>8</xdr:row>
      <xdr:rowOff>71755</xdr:rowOff>
    </xdr:from>
    <xdr:to>
      <xdr:col>8</xdr:col>
      <xdr:colOff>190094</xdr:colOff>
      <xdr:row>9</xdr:row>
      <xdr:rowOff>2549</xdr:rowOff>
    </xdr:to>
    <xdr:sp macro="" textlink="">
      <xdr:nvSpPr>
        <xdr:cNvPr id="68" name="Isosceles Triangle 86">
          <a:extLst>
            <a:ext uri="{FF2B5EF4-FFF2-40B4-BE49-F238E27FC236}">
              <a16:creationId xmlns="" xmlns:a16="http://schemas.microsoft.com/office/drawing/2014/main" id="{00000000-0008-0000-2E00-000044000000}"/>
            </a:ext>
          </a:extLst>
        </xdr:cNvPr>
        <xdr:cNvSpPr/>
      </xdr:nvSpPr>
      <xdr:spPr>
        <a:xfrm>
          <a:off x="1428750" y="1676400"/>
          <a:ext cx="685800" cy="142874"/>
        </a:xfrm>
        <a:prstGeom prst="triangle">
          <a:avLst/>
        </a:prstGeom>
        <a:solidFill>
          <a:schemeClr val="accent2">
            <a:lumMod val="5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65</xdr:col>
      <xdr:colOff>40005</xdr:colOff>
      <xdr:row>12</xdr:row>
      <xdr:rowOff>110490</xdr:rowOff>
    </xdr:from>
    <xdr:to>
      <xdr:col>66</xdr:col>
      <xdr:colOff>58782</xdr:colOff>
      <xdr:row>12</xdr:row>
      <xdr:rowOff>111284</xdr:rowOff>
    </xdr:to>
    <xdr:cxnSp macro="">
      <xdr:nvCxnSpPr>
        <xdr:cNvPr id="69" name="Straight Arrow Connector 88">
          <a:extLst>
            <a:ext uri="{FF2B5EF4-FFF2-40B4-BE49-F238E27FC236}">
              <a16:creationId xmlns="" xmlns:a16="http://schemas.microsoft.com/office/drawing/2014/main" id="{00000000-0008-0000-2E00-000045000000}"/>
            </a:ext>
          </a:extLst>
        </xdr:cNvPr>
        <xdr:cNvCxnSpPr/>
      </xdr:nvCxnSpPr>
      <xdr:spPr>
        <a:xfrm>
          <a:off x="15506700" y="2476500"/>
          <a:ext cx="285750" cy="1588"/>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137163</xdr:colOff>
      <xdr:row>12</xdr:row>
      <xdr:rowOff>113029</xdr:rowOff>
    </xdr:from>
    <xdr:to>
      <xdr:col>68</xdr:col>
      <xdr:colOff>191424</xdr:colOff>
      <xdr:row>12</xdr:row>
      <xdr:rowOff>135639</xdr:rowOff>
    </xdr:to>
    <xdr:cxnSp macro="">
      <xdr:nvCxnSpPr>
        <xdr:cNvPr id="70" name="Straight Arrow Connector 90">
          <a:extLst>
            <a:ext uri="{FF2B5EF4-FFF2-40B4-BE49-F238E27FC236}">
              <a16:creationId xmlns="" xmlns:a16="http://schemas.microsoft.com/office/drawing/2014/main" id="{00000000-0008-0000-2E00-000046000000}"/>
            </a:ext>
          </a:extLst>
        </xdr:cNvPr>
        <xdr:cNvCxnSpPr/>
      </xdr:nvCxnSpPr>
      <xdr:spPr>
        <a:xfrm rot="10800000" flipV="1">
          <a:off x="16144878" y="2476499"/>
          <a:ext cx="266698" cy="19049"/>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94615</xdr:colOff>
      <xdr:row>27</xdr:row>
      <xdr:rowOff>114935</xdr:rowOff>
    </xdr:from>
    <xdr:to>
      <xdr:col>69</xdr:col>
      <xdr:colOff>35570</xdr:colOff>
      <xdr:row>27</xdr:row>
      <xdr:rowOff>136272</xdr:rowOff>
    </xdr:to>
    <xdr:cxnSp macro="">
      <xdr:nvCxnSpPr>
        <xdr:cNvPr id="71" name="Straight Arrow Connector 73">
          <a:extLst>
            <a:ext uri="{FF2B5EF4-FFF2-40B4-BE49-F238E27FC236}">
              <a16:creationId xmlns="" xmlns:a16="http://schemas.microsoft.com/office/drawing/2014/main" id="{00000000-0008-0000-2E00-000047000000}"/>
            </a:ext>
          </a:extLst>
        </xdr:cNvPr>
        <xdr:cNvCxnSpPr/>
      </xdr:nvCxnSpPr>
      <xdr:spPr>
        <a:xfrm flipV="1">
          <a:off x="10572750" y="5238750"/>
          <a:ext cx="5934075" cy="9525"/>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254000</xdr:colOff>
      <xdr:row>1</xdr:row>
      <xdr:rowOff>19050</xdr:rowOff>
    </xdr:from>
    <xdr:to>
      <xdr:col>8</xdr:col>
      <xdr:colOff>596900</xdr:colOff>
      <xdr:row>25</xdr:row>
      <xdr:rowOff>82550</xdr:rowOff>
    </xdr:to>
    <xdr:pic>
      <xdr:nvPicPr>
        <xdr:cNvPr id="763045" name="Picture 1228">
          <a:extLst>
            <a:ext uri="{FF2B5EF4-FFF2-40B4-BE49-F238E27FC236}">
              <a16:creationId xmlns="" xmlns:a16="http://schemas.microsoft.com/office/drawing/2014/main" id="{00000000-0008-0000-2F00-0000A5A40B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4000" y="215900"/>
          <a:ext cx="7048500" cy="478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228600</xdr:colOff>
      <xdr:row>25</xdr:row>
      <xdr:rowOff>82550</xdr:rowOff>
    </xdr:from>
    <xdr:to>
      <xdr:col>9</xdr:col>
      <xdr:colOff>44450</xdr:colOff>
      <xdr:row>40</xdr:row>
      <xdr:rowOff>19050</xdr:rowOff>
    </xdr:to>
    <xdr:pic>
      <xdr:nvPicPr>
        <xdr:cNvPr id="763046" name="Picture 1163">
          <a:extLst>
            <a:ext uri="{FF2B5EF4-FFF2-40B4-BE49-F238E27FC236}">
              <a16:creationId xmlns="" xmlns:a16="http://schemas.microsoft.com/office/drawing/2014/main" id="{00000000-0008-0000-2F00-0000A6A40B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600" y="5003800"/>
          <a:ext cx="7359650" cy="288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400050</xdr:colOff>
      <xdr:row>40</xdr:row>
      <xdr:rowOff>19050</xdr:rowOff>
    </xdr:from>
    <xdr:to>
      <xdr:col>13</xdr:col>
      <xdr:colOff>133350</xdr:colOff>
      <xdr:row>59</xdr:row>
      <xdr:rowOff>57150</xdr:rowOff>
    </xdr:to>
    <xdr:pic>
      <xdr:nvPicPr>
        <xdr:cNvPr id="763047" name="Picture 165528">
          <a:extLst>
            <a:ext uri="{FF2B5EF4-FFF2-40B4-BE49-F238E27FC236}">
              <a16:creationId xmlns="" xmlns:a16="http://schemas.microsoft.com/office/drawing/2014/main" id="{00000000-0008-0000-2F00-0000A7A40B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0" y="7893050"/>
          <a:ext cx="5600700" cy="377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177800</xdr:colOff>
      <xdr:row>40</xdr:row>
      <xdr:rowOff>63500</xdr:rowOff>
    </xdr:from>
    <xdr:to>
      <xdr:col>6</xdr:col>
      <xdr:colOff>361950</xdr:colOff>
      <xdr:row>58</xdr:row>
      <xdr:rowOff>139700</xdr:rowOff>
    </xdr:to>
    <xdr:pic>
      <xdr:nvPicPr>
        <xdr:cNvPr id="763048" name="Picture 944">
          <a:extLst>
            <a:ext uri="{FF2B5EF4-FFF2-40B4-BE49-F238E27FC236}">
              <a16:creationId xmlns="" xmlns:a16="http://schemas.microsoft.com/office/drawing/2014/main" id="{00000000-0008-0000-2F00-0000A8A40B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77800" y="7937500"/>
          <a:ext cx="5213350" cy="361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4</xdr:row>
      <xdr:rowOff>0</xdr:rowOff>
    </xdr:from>
    <xdr:to>
      <xdr:col>1</xdr:col>
      <xdr:colOff>1098550</xdr:colOff>
      <xdr:row>7</xdr:row>
      <xdr:rowOff>6350</xdr:rowOff>
    </xdr:to>
    <xdr:pic>
      <xdr:nvPicPr>
        <xdr:cNvPr id="875525" name="Picture 30" descr="UNICEF logo_blue">
          <a:extLst>
            <a:ext uri="{FF2B5EF4-FFF2-40B4-BE49-F238E27FC236}">
              <a16:creationId xmlns="" xmlns:a16="http://schemas.microsoft.com/office/drawing/2014/main" id="{00000000-0008-0000-0100-0000055C0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6400" y="1174750"/>
          <a:ext cx="1079500" cy="59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12700</xdr:colOff>
      <xdr:row>5</xdr:row>
      <xdr:rowOff>6350</xdr:rowOff>
    </xdr:from>
    <xdr:to>
      <xdr:col>1</xdr:col>
      <xdr:colOff>1066800</xdr:colOff>
      <xdr:row>8</xdr:row>
      <xdr:rowOff>6350</xdr:rowOff>
    </xdr:to>
    <xdr:pic>
      <xdr:nvPicPr>
        <xdr:cNvPr id="876549" name="Picture 30" descr="UNICEF logo_blue">
          <a:extLst>
            <a:ext uri="{FF2B5EF4-FFF2-40B4-BE49-F238E27FC236}">
              <a16:creationId xmlns="" xmlns:a16="http://schemas.microsoft.com/office/drawing/2014/main" id="{00000000-0008-0000-0200-000005600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50" y="990600"/>
          <a:ext cx="105410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95249</xdr:colOff>
      <xdr:row>2</xdr:row>
      <xdr:rowOff>3175</xdr:rowOff>
    </xdr:from>
    <xdr:to>
      <xdr:col>19</xdr:col>
      <xdr:colOff>76200</xdr:colOff>
      <xdr:row>18</xdr:row>
      <xdr:rowOff>79939</xdr:rowOff>
    </xdr:to>
    <xdr:sp macro="" textlink="">
      <xdr:nvSpPr>
        <xdr:cNvPr id="2" name="Donut 2">
          <a:extLst>
            <a:ext uri="{FF2B5EF4-FFF2-40B4-BE49-F238E27FC236}">
              <a16:creationId xmlns="" xmlns:a16="http://schemas.microsoft.com/office/drawing/2014/main" id="{00000000-0008-0000-2300-000002000000}"/>
            </a:ext>
          </a:extLst>
        </xdr:cNvPr>
        <xdr:cNvSpPr/>
      </xdr:nvSpPr>
      <xdr:spPr>
        <a:xfrm>
          <a:off x="323849" y="396875"/>
          <a:ext cx="1924051" cy="3226364"/>
        </a:xfrm>
        <a:prstGeom prst="donut">
          <a:avLst>
            <a:gd name="adj" fmla="val 8686"/>
          </a:avLst>
        </a:prstGeom>
        <a:blipFill>
          <a:blip xmlns:r="http://schemas.openxmlformats.org/officeDocument/2006/relationships" r:embed="rId1" cstate="print"/>
          <a:tile tx="0" ty="0" sx="100000" sy="100000" flip="none" algn="tl"/>
        </a:blip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en-US"/>
        </a:p>
      </xdr:txBody>
    </xdr:sp>
    <xdr:clientData/>
  </xdr:twoCellAnchor>
  <xdr:twoCellAnchor>
    <xdr:from>
      <xdr:col>4</xdr:col>
      <xdr:colOff>57785</xdr:colOff>
      <xdr:row>5</xdr:row>
      <xdr:rowOff>36830</xdr:rowOff>
    </xdr:from>
    <xdr:to>
      <xdr:col>14</xdr:col>
      <xdr:colOff>1032</xdr:colOff>
      <xdr:row>13</xdr:row>
      <xdr:rowOff>20951</xdr:rowOff>
    </xdr:to>
    <xdr:cxnSp macro="">
      <xdr:nvCxnSpPr>
        <xdr:cNvPr id="3" name="Straight Arrow Connector 4">
          <a:extLst>
            <a:ext uri="{FF2B5EF4-FFF2-40B4-BE49-F238E27FC236}">
              <a16:creationId xmlns="" xmlns:a16="http://schemas.microsoft.com/office/drawing/2014/main" id="{00000000-0008-0000-2300-000003000000}"/>
            </a:ext>
          </a:extLst>
        </xdr:cNvPr>
        <xdr:cNvCxnSpPr/>
      </xdr:nvCxnSpPr>
      <xdr:spPr>
        <a:xfrm flipV="1">
          <a:off x="647700" y="819150"/>
          <a:ext cx="1066800" cy="742950"/>
        </a:xfrm>
        <a:prstGeom prst="straightConnector1">
          <a:avLst/>
        </a:prstGeom>
        <a:ln>
          <a:solidFill>
            <a:schemeClr val="tx1"/>
          </a:solidFill>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58603</xdr:colOff>
      <xdr:row>9</xdr:row>
      <xdr:rowOff>35783</xdr:rowOff>
    </xdr:from>
    <xdr:ext cx="513268" cy="364621"/>
    <xdr:sp macro="" textlink="">
      <xdr:nvSpPr>
        <xdr:cNvPr id="4" name="TextBox 5">
          <a:extLst>
            <a:ext uri="{FF2B5EF4-FFF2-40B4-BE49-F238E27FC236}">
              <a16:creationId xmlns="" xmlns:a16="http://schemas.microsoft.com/office/drawing/2014/main" id="{00000000-0008-0000-2300-000004000000}"/>
            </a:ext>
          </a:extLst>
        </xdr:cNvPr>
        <xdr:cNvSpPr txBox="1"/>
      </xdr:nvSpPr>
      <xdr:spPr>
        <a:xfrm rot="19818650">
          <a:off x="985068" y="1166718"/>
          <a:ext cx="534914" cy="3662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a:t>210</a:t>
          </a:r>
        </a:p>
      </xdr:txBody>
    </xdr:sp>
    <xdr:clientData/>
  </xdr:oneCellAnchor>
  <xdr:twoCellAnchor>
    <xdr:from>
      <xdr:col>4</xdr:col>
      <xdr:colOff>0</xdr:colOff>
      <xdr:row>2</xdr:row>
      <xdr:rowOff>110490</xdr:rowOff>
    </xdr:from>
    <xdr:to>
      <xdr:col>16</xdr:col>
      <xdr:colOff>20448</xdr:colOff>
      <xdr:row>18</xdr:row>
      <xdr:rowOff>137169</xdr:rowOff>
    </xdr:to>
    <xdr:cxnSp macro="">
      <xdr:nvCxnSpPr>
        <xdr:cNvPr id="5" name="Straight Connector 7">
          <a:extLst>
            <a:ext uri="{FF2B5EF4-FFF2-40B4-BE49-F238E27FC236}">
              <a16:creationId xmlns="" xmlns:a16="http://schemas.microsoft.com/office/drawing/2014/main" id="{00000000-0008-0000-2300-000005000000}"/>
            </a:ext>
          </a:extLst>
        </xdr:cNvPr>
        <xdr:cNvCxnSpPr/>
      </xdr:nvCxnSpPr>
      <xdr:spPr>
        <a:xfrm>
          <a:off x="571500" y="571500"/>
          <a:ext cx="1400175" cy="2133600"/>
        </a:xfrm>
        <a:prstGeom prst="line">
          <a:avLst/>
        </a:prstGeom>
        <a:ln w="571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131</xdr:colOff>
      <xdr:row>3</xdr:row>
      <xdr:rowOff>58174</xdr:rowOff>
    </xdr:from>
    <xdr:to>
      <xdr:col>4</xdr:col>
      <xdr:colOff>31372</xdr:colOff>
      <xdr:row>4</xdr:row>
      <xdr:rowOff>18993</xdr:rowOff>
    </xdr:to>
    <xdr:sp macro="" textlink="">
      <xdr:nvSpPr>
        <xdr:cNvPr id="6" name="Up Arrow 10">
          <a:extLst>
            <a:ext uri="{FF2B5EF4-FFF2-40B4-BE49-F238E27FC236}">
              <a16:creationId xmlns="" xmlns:a16="http://schemas.microsoft.com/office/drawing/2014/main" id="{00000000-0008-0000-2300-000006000000}"/>
            </a:ext>
          </a:extLst>
        </xdr:cNvPr>
        <xdr:cNvSpPr/>
      </xdr:nvSpPr>
      <xdr:spPr>
        <a:xfrm rot="2822103">
          <a:off x="512684" y="608611"/>
          <a:ext cx="24363" cy="135070"/>
        </a:xfrm>
        <a:prstGeom prst="up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14</xdr:col>
      <xdr:colOff>84586</xdr:colOff>
      <xdr:row>19</xdr:row>
      <xdr:rowOff>2294</xdr:rowOff>
    </xdr:from>
    <xdr:to>
      <xdr:col>16</xdr:col>
      <xdr:colOff>1154</xdr:colOff>
      <xdr:row>19</xdr:row>
      <xdr:rowOff>95553</xdr:rowOff>
    </xdr:to>
    <xdr:sp macro="" textlink="">
      <xdr:nvSpPr>
        <xdr:cNvPr id="7" name="Up Arrow 12">
          <a:extLst>
            <a:ext uri="{FF2B5EF4-FFF2-40B4-BE49-F238E27FC236}">
              <a16:creationId xmlns="" xmlns:a16="http://schemas.microsoft.com/office/drawing/2014/main" id="{00000000-0008-0000-2300-000007000000}"/>
            </a:ext>
          </a:extLst>
        </xdr:cNvPr>
        <xdr:cNvSpPr/>
      </xdr:nvSpPr>
      <xdr:spPr>
        <a:xfrm rot="2822103">
          <a:off x="1831897" y="2737448"/>
          <a:ext cx="110088" cy="116020"/>
        </a:xfrm>
        <a:prstGeom prst="up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oneCellAnchor>
    <xdr:from>
      <xdr:col>2</xdr:col>
      <xdr:colOff>0</xdr:colOff>
      <xdr:row>3</xdr:row>
      <xdr:rowOff>22225</xdr:rowOff>
    </xdr:from>
    <xdr:ext cx="371192" cy="468013"/>
    <xdr:sp macro="" textlink="">
      <xdr:nvSpPr>
        <xdr:cNvPr id="8" name="TextBox 13">
          <a:extLst>
            <a:ext uri="{FF2B5EF4-FFF2-40B4-BE49-F238E27FC236}">
              <a16:creationId xmlns="" xmlns:a16="http://schemas.microsoft.com/office/drawing/2014/main" id="{00000000-0008-0000-2300-000008000000}"/>
            </a:ext>
          </a:extLst>
        </xdr:cNvPr>
        <xdr:cNvSpPr txBox="1"/>
      </xdr:nvSpPr>
      <xdr:spPr>
        <a:xfrm>
          <a:off x="228600" y="612775"/>
          <a:ext cx="371192" cy="468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GB" sz="2400" b="1"/>
            <a:t>A</a:t>
          </a:r>
        </a:p>
      </xdr:txBody>
    </xdr:sp>
    <xdr:clientData/>
  </xdr:oneCellAnchor>
  <xdr:oneCellAnchor>
    <xdr:from>
      <xdr:col>13</xdr:col>
      <xdr:colOff>57784</xdr:colOff>
      <xdr:row>19</xdr:row>
      <xdr:rowOff>55880</xdr:rowOff>
    </xdr:from>
    <xdr:ext cx="391309" cy="292358"/>
    <xdr:sp macro="" textlink="">
      <xdr:nvSpPr>
        <xdr:cNvPr id="9" name="TextBox 14">
          <a:extLst>
            <a:ext uri="{FF2B5EF4-FFF2-40B4-BE49-F238E27FC236}">
              <a16:creationId xmlns="" xmlns:a16="http://schemas.microsoft.com/office/drawing/2014/main" id="{00000000-0008-0000-2300-000009000000}"/>
            </a:ext>
          </a:extLst>
        </xdr:cNvPr>
        <xdr:cNvSpPr txBox="1"/>
      </xdr:nvSpPr>
      <xdr:spPr>
        <a:xfrm>
          <a:off x="1676399" y="2771775"/>
          <a:ext cx="371476" cy="3333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2400" b="1"/>
            <a:t>A</a:t>
          </a:r>
        </a:p>
      </xdr:txBody>
    </xdr:sp>
    <xdr:clientData/>
  </xdr:oneCellAnchor>
  <xdr:twoCellAnchor>
    <xdr:from>
      <xdr:col>29</xdr:col>
      <xdr:colOff>0</xdr:colOff>
      <xdr:row>24</xdr:row>
      <xdr:rowOff>75565</xdr:rowOff>
    </xdr:from>
    <xdr:to>
      <xdr:col>43</xdr:col>
      <xdr:colOff>81976</xdr:colOff>
      <xdr:row>27</xdr:row>
      <xdr:rowOff>56462</xdr:rowOff>
    </xdr:to>
    <xdr:sp macro="" textlink="">
      <xdr:nvSpPr>
        <xdr:cNvPr id="10" name="Rectangle 9">
          <a:extLst>
            <a:ext uri="{FF2B5EF4-FFF2-40B4-BE49-F238E27FC236}">
              <a16:creationId xmlns="" xmlns:a16="http://schemas.microsoft.com/office/drawing/2014/main" id="{00000000-0008-0000-2300-00000A000000}"/>
            </a:ext>
          </a:extLst>
        </xdr:cNvPr>
        <xdr:cNvSpPr/>
      </xdr:nvSpPr>
      <xdr:spPr>
        <a:xfrm>
          <a:off x="3429000" y="3810000"/>
          <a:ext cx="1685925" cy="285750"/>
        </a:xfrm>
        <a:prstGeom prst="rect">
          <a:avLst/>
        </a:prstGeom>
        <a:blipFill>
          <a:blip xmlns:r="http://schemas.openxmlformats.org/officeDocument/2006/relationships" r:embed="rId2" cstate="print"/>
          <a:tile tx="0" ty="0" sx="100000" sy="100000" flip="none" algn="tl"/>
        </a:blip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29</xdr:col>
      <xdr:colOff>61595</xdr:colOff>
      <xdr:row>14</xdr:row>
      <xdr:rowOff>0</xdr:rowOff>
    </xdr:from>
    <xdr:to>
      <xdr:col>30</xdr:col>
      <xdr:colOff>511</xdr:colOff>
      <xdr:row>24</xdr:row>
      <xdr:rowOff>1</xdr:rowOff>
    </xdr:to>
    <xdr:sp macro="" textlink="">
      <xdr:nvSpPr>
        <xdr:cNvPr id="11" name="Rectangle 10">
          <a:extLst>
            <a:ext uri="{FF2B5EF4-FFF2-40B4-BE49-F238E27FC236}">
              <a16:creationId xmlns="" xmlns:a16="http://schemas.microsoft.com/office/drawing/2014/main" id="{00000000-0008-0000-2300-00000B000000}"/>
            </a:ext>
          </a:extLst>
        </xdr:cNvPr>
        <xdr:cNvSpPr/>
      </xdr:nvSpPr>
      <xdr:spPr>
        <a:xfrm>
          <a:off x="3448050" y="1724025"/>
          <a:ext cx="95250" cy="2000251"/>
        </a:xfrm>
        <a:prstGeom prst="rect">
          <a:avLst/>
        </a:prstGeom>
        <a:blipFill>
          <a:blip xmlns:r="http://schemas.openxmlformats.org/officeDocument/2006/relationships" r:embed="rId1" cstate="print"/>
          <a:tile tx="0" ty="0" sx="100000" sy="100000" flip="none" algn="tl"/>
        </a:blip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30</xdr:col>
      <xdr:colOff>61595</xdr:colOff>
      <xdr:row>21</xdr:row>
      <xdr:rowOff>113665</xdr:rowOff>
    </xdr:from>
    <xdr:to>
      <xdr:col>42</xdr:col>
      <xdr:colOff>81</xdr:colOff>
      <xdr:row>21</xdr:row>
      <xdr:rowOff>117137</xdr:rowOff>
    </xdr:to>
    <xdr:cxnSp macro="">
      <xdr:nvCxnSpPr>
        <xdr:cNvPr id="12" name="Straight Arrow Connector 21">
          <a:extLst>
            <a:ext uri="{FF2B5EF4-FFF2-40B4-BE49-F238E27FC236}">
              <a16:creationId xmlns="" xmlns:a16="http://schemas.microsoft.com/office/drawing/2014/main" id="{00000000-0008-0000-2300-00000C000000}"/>
            </a:ext>
          </a:extLst>
        </xdr:cNvPr>
        <xdr:cNvCxnSpPr/>
      </xdr:nvCxnSpPr>
      <xdr:spPr>
        <a:xfrm flipV="1">
          <a:off x="3562350" y="3267075"/>
          <a:ext cx="1352550" cy="9526"/>
        </a:xfrm>
        <a:prstGeom prst="straightConnector1">
          <a:avLst/>
        </a:prstGeom>
        <a:ln>
          <a:solidFill>
            <a:schemeClr val="tx1"/>
          </a:solidFill>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635</xdr:colOff>
      <xdr:row>13</xdr:row>
      <xdr:rowOff>151765</xdr:rowOff>
    </xdr:from>
    <xdr:to>
      <xdr:col>43</xdr:col>
      <xdr:colOff>2491</xdr:colOff>
      <xdr:row>23</xdr:row>
      <xdr:rowOff>137286</xdr:rowOff>
    </xdr:to>
    <xdr:sp macro="" textlink="">
      <xdr:nvSpPr>
        <xdr:cNvPr id="13" name="Rectangle 12">
          <a:extLst>
            <a:ext uri="{FF2B5EF4-FFF2-40B4-BE49-F238E27FC236}">
              <a16:creationId xmlns="" xmlns:a16="http://schemas.microsoft.com/office/drawing/2014/main" id="{00000000-0008-0000-2300-00000D000000}"/>
            </a:ext>
          </a:extLst>
        </xdr:cNvPr>
        <xdr:cNvSpPr/>
      </xdr:nvSpPr>
      <xdr:spPr>
        <a:xfrm>
          <a:off x="4924425" y="1704975"/>
          <a:ext cx="104775" cy="2000251"/>
        </a:xfrm>
        <a:prstGeom prst="rect">
          <a:avLst/>
        </a:prstGeom>
        <a:blipFill>
          <a:blip xmlns:r="http://schemas.openxmlformats.org/officeDocument/2006/relationships" r:embed="rId1" cstate="print"/>
          <a:tile tx="0" ty="0" sx="100000" sy="100000" flip="none" algn="tl"/>
        </a:blip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48</xdr:col>
      <xdr:colOff>84455</xdr:colOff>
      <xdr:row>3</xdr:row>
      <xdr:rowOff>94615</xdr:rowOff>
    </xdr:from>
    <xdr:to>
      <xdr:col>66</xdr:col>
      <xdr:colOff>138</xdr:colOff>
      <xdr:row>11</xdr:row>
      <xdr:rowOff>56494</xdr:rowOff>
    </xdr:to>
    <xdr:sp macro="" textlink="">
      <xdr:nvSpPr>
        <xdr:cNvPr id="14" name="Isosceles Triangle 26">
          <a:extLst>
            <a:ext uri="{FF2B5EF4-FFF2-40B4-BE49-F238E27FC236}">
              <a16:creationId xmlns="" xmlns:a16="http://schemas.microsoft.com/office/drawing/2014/main" id="{00000000-0008-0000-2300-00000E000000}"/>
            </a:ext>
          </a:extLst>
        </xdr:cNvPr>
        <xdr:cNvSpPr/>
      </xdr:nvSpPr>
      <xdr:spPr>
        <a:xfrm>
          <a:off x="5715000" y="666750"/>
          <a:ext cx="1943100" cy="752475"/>
        </a:xfrm>
        <a:prstGeom prst="triangle">
          <a:avLst/>
        </a:prstGeom>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50</xdr:col>
      <xdr:colOff>3174</xdr:colOff>
      <xdr:row>11</xdr:row>
      <xdr:rowOff>57785</xdr:rowOff>
    </xdr:from>
    <xdr:to>
      <xdr:col>63</xdr:col>
      <xdr:colOff>94548</xdr:colOff>
      <xdr:row>26</xdr:row>
      <xdr:rowOff>61059</xdr:rowOff>
    </xdr:to>
    <xdr:sp macro="" textlink="">
      <xdr:nvSpPr>
        <xdr:cNvPr id="15" name="Rectangle 14">
          <a:extLst>
            <a:ext uri="{FF2B5EF4-FFF2-40B4-BE49-F238E27FC236}">
              <a16:creationId xmlns="" xmlns:a16="http://schemas.microsoft.com/office/drawing/2014/main" id="{00000000-0008-0000-2300-00000F000000}"/>
            </a:ext>
          </a:extLst>
        </xdr:cNvPr>
        <xdr:cNvSpPr/>
      </xdr:nvSpPr>
      <xdr:spPr>
        <a:xfrm>
          <a:off x="5829299" y="1428750"/>
          <a:ext cx="1581150" cy="2524125"/>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49</xdr:col>
      <xdr:colOff>0</xdr:colOff>
      <xdr:row>26</xdr:row>
      <xdr:rowOff>20320</xdr:rowOff>
    </xdr:from>
    <xdr:to>
      <xdr:col>64</xdr:col>
      <xdr:colOff>60958</xdr:colOff>
      <xdr:row>28</xdr:row>
      <xdr:rowOff>1016</xdr:rowOff>
    </xdr:to>
    <xdr:sp macro="" textlink="">
      <xdr:nvSpPr>
        <xdr:cNvPr id="16" name="Rectangle 15">
          <a:extLst>
            <a:ext uri="{FF2B5EF4-FFF2-40B4-BE49-F238E27FC236}">
              <a16:creationId xmlns="" xmlns:a16="http://schemas.microsoft.com/office/drawing/2014/main" id="{00000000-0008-0000-2300-000010000000}"/>
            </a:ext>
          </a:extLst>
        </xdr:cNvPr>
        <xdr:cNvSpPr/>
      </xdr:nvSpPr>
      <xdr:spPr>
        <a:xfrm>
          <a:off x="5715000" y="3943350"/>
          <a:ext cx="1762125" cy="171450"/>
        </a:xfrm>
        <a:prstGeom prst="rect">
          <a:avLst/>
        </a:prstGeom>
        <a:blipFill>
          <a:blip xmlns:r="http://schemas.openxmlformats.org/officeDocument/2006/relationships" r:embed="rId3" cstate="print"/>
          <a:tile tx="0" ty="0" sx="100000" sy="100000" flip="none" algn="tl"/>
        </a:blip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48</xdr:col>
      <xdr:colOff>20954</xdr:colOff>
      <xdr:row>12</xdr:row>
      <xdr:rowOff>96521</xdr:rowOff>
    </xdr:from>
    <xdr:to>
      <xdr:col>49</xdr:col>
      <xdr:colOff>2014</xdr:colOff>
      <xdr:row>15</xdr:row>
      <xdr:rowOff>80809</xdr:rowOff>
    </xdr:to>
    <xdr:sp macro="" textlink="">
      <xdr:nvSpPr>
        <xdr:cNvPr id="17" name="Rectangle 16">
          <a:extLst>
            <a:ext uri="{FF2B5EF4-FFF2-40B4-BE49-F238E27FC236}">
              <a16:creationId xmlns="" xmlns:a16="http://schemas.microsoft.com/office/drawing/2014/main" id="{00000000-0008-0000-2300-000011000000}"/>
            </a:ext>
          </a:extLst>
        </xdr:cNvPr>
        <xdr:cNvSpPr/>
      </xdr:nvSpPr>
      <xdr:spPr>
        <a:xfrm>
          <a:off x="5629274" y="1524001"/>
          <a:ext cx="85726" cy="514349"/>
        </a:xfrm>
        <a:prstGeom prst="rect">
          <a:avLst/>
        </a:prstGeom>
        <a:gradFill flip="none" rotWithShape="1">
          <a:gsLst>
            <a:gs pos="0">
              <a:schemeClr val="lt1">
                <a:shade val="30000"/>
                <a:satMod val="115000"/>
              </a:schemeClr>
            </a:gs>
            <a:gs pos="50000">
              <a:schemeClr val="lt1">
                <a:shade val="67500"/>
                <a:satMod val="115000"/>
              </a:schemeClr>
            </a:gs>
            <a:gs pos="100000">
              <a:schemeClr val="lt1">
                <a:shade val="100000"/>
                <a:satMod val="115000"/>
              </a:schemeClr>
            </a:gs>
          </a:gsLst>
          <a:lin ang="2700000" scaled="1"/>
          <a:tileRect/>
        </a:grad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41</xdr:col>
      <xdr:colOff>47626</xdr:colOff>
      <xdr:row>14</xdr:row>
      <xdr:rowOff>74929</xdr:rowOff>
    </xdr:from>
    <xdr:to>
      <xdr:col>48</xdr:col>
      <xdr:colOff>2489</xdr:colOff>
      <xdr:row>15</xdr:row>
      <xdr:rowOff>18489</xdr:rowOff>
    </xdr:to>
    <xdr:sp macro="" textlink="">
      <xdr:nvSpPr>
        <xdr:cNvPr id="18" name="Rectangle 17">
          <a:extLst>
            <a:ext uri="{FF2B5EF4-FFF2-40B4-BE49-F238E27FC236}">
              <a16:creationId xmlns="" xmlns:a16="http://schemas.microsoft.com/office/drawing/2014/main" id="{00000000-0008-0000-2300-000012000000}"/>
            </a:ext>
          </a:extLst>
        </xdr:cNvPr>
        <xdr:cNvSpPr/>
      </xdr:nvSpPr>
      <xdr:spPr>
        <a:xfrm>
          <a:off x="4867276" y="1847849"/>
          <a:ext cx="761999" cy="121919"/>
        </a:xfrm>
        <a:prstGeom prst="rect">
          <a:avLst/>
        </a:prstGeom>
        <a:solidFill>
          <a:schemeClr val="bg2">
            <a:lumMod val="25000"/>
          </a:schemeClr>
        </a:solid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48</xdr:col>
      <xdr:colOff>47626</xdr:colOff>
      <xdr:row>16</xdr:row>
      <xdr:rowOff>0</xdr:rowOff>
    </xdr:from>
    <xdr:to>
      <xdr:col>48</xdr:col>
      <xdr:colOff>101111</xdr:colOff>
      <xdr:row>17</xdr:row>
      <xdr:rowOff>20211</xdr:rowOff>
    </xdr:to>
    <xdr:sp macro="" textlink="">
      <xdr:nvSpPr>
        <xdr:cNvPr id="19" name="Rectangle 18">
          <a:extLst>
            <a:ext uri="{FF2B5EF4-FFF2-40B4-BE49-F238E27FC236}">
              <a16:creationId xmlns="" xmlns:a16="http://schemas.microsoft.com/office/drawing/2014/main" id="{00000000-0008-0000-2300-000013000000}"/>
            </a:ext>
          </a:extLst>
        </xdr:cNvPr>
        <xdr:cNvSpPr/>
      </xdr:nvSpPr>
      <xdr:spPr>
        <a:xfrm>
          <a:off x="5659756" y="2124075"/>
          <a:ext cx="55245" cy="209550"/>
        </a:xfrm>
        <a:prstGeom prst="rect">
          <a:avLst/>
        </a:prstGeom>
        <a:gradFill flip="none" rotWithShape="1">
          <a:gsLst>
            <a:gs pos="0">
              <a:schemeClr val="lt1">
                <a:shade val="30000"/>
                <a:satMod val="115000"/>
              </a:schemeClr>
            </a:gs>
            <a:gs pos="50000">
              <a:schemeClr val="lt1">
                <a:shade val="67500"/>
                <a:satMod val="115000"/>
              </a:schemeClr>
            </a:gs>
            <a:gs pos="100000">
              <a:schemeClr val="lt1">
                <a:shade val="100000"/>
                <a:satMod val="115000"/>
              </a:schemeClr>
            </a:gs>
          </a:gsLst>
          <a:lin ang="2700000" scaled="1"/>
          <a:tileRect/>
        </a:grad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47</xdr:col>
      <xdr:colOff>95249</xdr:colOff>
      <xdr:row>10</xdr:row>
      <xdr:rowOff>56513</xdr:rowOff>
    </xdr:from>
    <xdr:to>
      <xdr:col>49</xdr:col>
      <xdr:colOff>58489</xdr:colOff>
      <xdr:row>13</xdr:row>
      <xdr:rowOff>2705</xdr:rowOff>
    </xdr:to>
    <xdr:sp macro="" textlink="">
      <xdr:nvSpPr>
        <xdr:cNvPr id="20" name="Block Arc 32">
          <a:extLst>
            <a:ext uri="{FF2B5EF4-FFF2-40B4-BE49-F238E27FC236}">
              <a16:creationId xmlns="" xmlns:a16="http://schemas.microsoft.com/office/drawing/2014/main" id="{00000000-0008-0000-2300-000014000000}"/>
            </a:ext>
          </a:extLst>
        </xdr:cNvPr>
        <xdr:cNvSpPr/>
      </xdr:nvSpPr>
      <xdr:spPr>
        <a:xfrm rot="10800000">
          <a:off x="5600699" y="1323973"/>
          <a:ext cx="171447" cy="209550"/>
        </a:xfrm>
        <a:prstGeom prst="blockArc">
          <a:avLst/>
        </a:prstGeom>
        <a:gradFill flip="none" rotWithShape="1">
          <a:gsLst>
            <a:gs pos="0">
              <a:schemeClr val="lt1">
                <a:shade val="30000"/>
                <a:satMod val="115000"/>
              </a:schemeClr>
            </a:gs>
            <a:gs pos="50000">
              <a:schemeClr val="lt1">
                <a:shade val="67500"/>
                <a:satMod val="115000"/>
              </a:schemeClr>
            </a:gs>
            <a:gs pos="100000">
              <a:schemeClr val="lt1">
                <a:shade val="100000"/>
                <a:satMod val="115000"/>
              </a:schemeClr>
            </a:gs>
          </a:gsLst>
          <a:lin ang="2700000" scaled="1"/>
          <a:tileRect/>
        </a:grad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en-US"/>
        </a:p>
      </xdr:txBody>
    </xdr:sp>
    <xdr:clientData/>
  </xdr:twoCellAnchor>
  <xdr:twoCellAnchor>
    <xdr:from>
      <xdr:col>28</xdr:col>
      <xdr:colOff>84455</xdr:colOff>
      <xdr:row>23</xdr:row>
      <xdr:rowOff>114936</xdr:rowOff>
    </xdr:from>
    <xdr:to>
      <xdr:col>43</xdr:col>
      <xdr:colOff>81980</xdr:colOff>
      <xdr:row>24</xdr:row>
      <xdr:rowOff>75606</xdr:rowOff>
    </xdr:to>
    <xdr:sp macro="" textlink="">
      <xdr:nvSpPr>
        <xdr:cNvPr id="21" name="Rectangle 20">
          <a:extLst>
            <a:ext uri="{FF2B5EF4-FFF2-40B4-BE49-F238E27FC236}">
              <a16:creationId xmlns="" xmlns:a16="http://schemas.microsoft.com/office/drawing/2014/main" id="{00000000-0008-0000-2300-000015000000}"/>
            </a:ext>
          </a:extLst>
        </xdr:cNvPr>
        <xdr:cNvSpPr/>
      </xdr:nvSpPr>
      <xdr:spPr>
        <a:xfrm>
          <a:off x="3429000" y="3695701"/>
          <a:ext cx="1685926" cy="114299"/>
        </a:xfrm>
        <a:prstGeom prst="rect">
          <a:avLst/>
        </a:prstGeom>
        <a:blipFill>
          <a:blip xmlns:r="http://schemas.openxmlformats.org/officeDocument/2006/relationships" r:embed="rId1" cstate="print"/>
          <a:tile tx="0" ty="0" sx="100000" sy="100000" flip="none" algn="tl"/>
        </a:blip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42</xdr:col>
      <xdr:colOff>1905</xdr:colOff>
      <xdr:row>13</xdr:row>
      <xdr:rowOff>151764</xdr:rowOff>
    </xdr:from>
    <xdr:to>
      <xdr:col>42</xdr:col>
      <xdr:colOff>3174</xdr:colOff>
      <xdr:row>23</xdr:row>
      <xdr:rowOff>115127</xdr:rowOff>
    </xdr:to>
    <xdr:sp macro="" textlink="">
      <xdr:nvSpPr>
        <xdr:cNvPr id="22" name="Rectangle 21">
          <a:extLst>
            <a:ext uri="{FF2B5EF4-FFF2-40B4-BE49-F238E27FC236}">
              <a16:creationId xmlns="" xmlns:a16="http://schemas.microsoft.com/office/drawing/2014/main" id="{00000000-0008-0000-2300-000016000000}"/>
            </a:ext>
          </a:extLst>
        </xdr:cNvPr>
        <xdr:cNvSpPr/>
      </xdr:nvSpPr>
      <xdr:spPr>
        <a:xfrm flipH="1">
          <a:off x="4916805" y="1714499"/>
          <a:ext cx="0" cy="1971675"/>
        </a:xfrm>
        <a:prstGeom prst="rect">
          <a:avLst/>
        </a:prstGeom>
        <a:blipFill>
          <a:blip xmlns:r="http://schemas.openxmlformats.org/officeDocument/2006/relationships" r:embed="rId1" cstate="print"/>
          <a:tile tx="0" ty="0" sx="100000" sy="100000" flip="none" algn="tl"/>
        </a:blip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22</xdr:col>
      <xdr:colOff>61595</xdr:colOff>
      <xdr:row>25</xdr:row>
      <xdr:rowOff>133985</xdr:rowOff>
    </xdr:from>
    <xdr:to>
      <xdr:col>29</xdr:col>
      <xdr:colOff>787</xdr:colOff>
      <xdr:row>27</xdr:row>
      <xdr:rowOff>35689</xdr:rowOff>
    </xdr:to>
    <xdr:sp macro="" textlink="">
      <xdr:nvSpPr>
        <xdr:cNvPr id="23" name="Rectangle 22">
          <a:extLst>
            <a:ext uri="{FF2B5EF4-FFF2-40B4-BE49-F238E27FC236}">
              <a16:creationId xmlns="" xmlns:a16="http://schemas.microsoft.com/office/drawing/2014/main" id="{00000000-0008-0000-2300-000017000000}"/>
            </a:ext>
          </a:extLst>
        </xdr:cNvPr>
        <xdr:cNvSpPr/>
      </xdr:nvSpPr>
      <xdr:spPr>
        <a:xfrm>
          <a:off x="2647950" y="3914775"/>
          <a:ext cx="781050" cy="171449"/>
        </a:xfrm>
        <a:prstGeom prst="rect">
          <a:avLst/>
        </a:prstGeom>
        <a:blipFill>
          <a:blip xmlns:r="http://schemas.openxmlformats.org/officeDocument/2006/relationships" r:embed="rId2" cstate="print"/>
          <a:tile tx="0" ty="0" sx="100000" sy="100000" flip="none" algn="tl"/>
        </a:blip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26</xdr:col>
      <xdr:colOff>60960</xdr:colOff>
      <xdr:row>22</xdr:row>
      <xdr:rowOff>18415</xdr:rowOff>
    </xdr:from>
    <xdr:to>
      <xdr:col>26</xdr:col>
      <xdr:colOff>113949</xdr:colOff>
      <xdr:row>25</xdr:row>
      <xdr:rowOff>170</xdr:rowOff>
    </xdr:to>
    <xdr:sp macro="" textlink="">
      <xdr:nvSpPr>
        <xdr:cNvPr id="24" name="Rectangle 23">
          <a:extLst>
            <a:ext uri="{FF2B5EF4-FFF2-40B4-BE49-F238E27FC236}">
              <a16:creationId xmlns="" xmlns:a16="http://schemas.microsoft.com/office/drawing/2014/main" id="{00000000-0008-0000-2300-000018000000}"/>
            </a:ext>
          </a:extLst>
        </xdr:cNvPr>
        <xdr:cNvSpPr/>
      </xdr:nvSpPr>
      <xdr:spPr>
        <a:xfrm>
          <a:off x="3133725" y="3333750"/>
          <a:ext cx="66675" cy="485776"/>
        </a:xfrm>
        <a:prstGeom prst="rect">
          <a:avLst/>
        </a:prstGeom>
        <a:blipFill>
          <a:blip xmlns:r="http://schemas.openxmlformats.org/officeDocument/2006/relationships" r:embed="rId4" cstate="print"/>
          <a:tile tx="0" ty="0" sx="100000" sy="100000" flip="none" algn="tl"/>
        </a:blip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26</xdr:col>
      <xdr:colOff>57785</xdr:colOff>
      <xdr:row>21</xdr:row>
      <xdr:rowOff>118746</xdr:rowOff>
    </xdr:from>
    <xdr:to>
      <xdr:col>29</xdr:col>
      <xdr:colOff>61881</xdr:colOff>
      <xdr:row>22</xdr:row>
      <xdr:rowOff>23131</xdr:rowOff>
    </xdr:to>
    <xdr:sp macro="" textlink="">
      <xdr:nvSpPr>
        <xdr:cNvPr id="25" name="Rectangle 24">
          <a:extLst>
            <a:ext uri="{FF2B5EF4-FFF2-40B4-BE49-F238E27FC236}">
              <a16:creationId xmlns="" xmlns:a16="http://schemas.microsoft.com/office/drawing/2014/main" id="{00000000-0008-0000-2300-000019000000}"/>
            </a:ext>
          </a:extLst>
        </xdr:cNvPr>
        <xdr:cNvSpPr/>
      </xdr:nvSpPr>
      <xdr:spPr>
        <a:xfrm>
          <a:off x="3143250" y="3288031"/>
          <a:ext cx="304799" cy="55244"/>
        </a:xfrm>
        <a:prstGeom prst="rect">
          <a:avLst/>
        </a:prstGeom>
        <a:blipFill>
          <a:blip xmlns:r="http://schemas.openxmlformats.org/officeDocument/2006/relationships" r:embed="rId1" cstate="print"/>
          <a:tile tx="0" ty="0" sx="100000" sy="100000" flip="none" algn="tl"/>
        </a:blip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27</xdr:col>
      <xdr:colOff>0</xdr:colOff>
      <xdr:row>21</xdr:row>
      <xdr:rowOff>133984</xdr:rowOff>
    </xdr:from>
    <xdr:to>
      <xdr:col>28</xdr:col>
      <xdr:colOff>84327</xdr:colOff>
      <xdr:row>22</xdr:row>
      <xdr:rowOff>22383</xdr:rowOff>
    </xdr:to>
    <xdr:sp macro="" textlink="">
      <xdr:nvSpPr>
        <xdr:cNvPr id="26" name="Rectangle 25">
          <a:extLst>
            <a:ext uri="{FF2B5EF4-FFF2-40B4-BE49-F238E27FC236}">
              <a16:creationId xmlns="" xmlns:a16="http://schemas.microsoft.com/office/drawing/2014/main" id="{00000000-0008-0000-2300-00001A000000}"/>
            </a:ext>
          </a:extLst>
        </xdr:cNvPr>
        <xdr:cNvSpPr/>
      </xdr:nvSpPr>
      <xdr:spPr>
        <a:xfrm>
          <a:off x="3200400" y="3295649"/>
          <a:ext cx="228600" cy="57150"/>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22</xdr:col>
      <xdr:colOff>3174</xdr:colOff>
      <xdr:row>25</xdr:row>
      <xdr:rowOff>40005</xdr:rowOff>
    </xdr:from>
    <xdr:to>
      <xdr:col>28</xdr:col>
      <xdr:colOff>84913</xdr:colOff>
      <xdr:row>25</xdr:row>
      <xdr:rowOff>151738</xdr:rowOff>
    </xdr:to>
    <xdr:sp macro="" textlink="">
      <xdr:nvSpPr>
        <xdr:cNvPr id="27" name="Rectangle 26">
          <a:extLst>
            <a:ext uri="{FF2B5EF4-FFF2-40B4-BE49-F238E27FC236}">
              <a16:creationId xmlns="" xmlns:a16="http://schemas.microsoft.com/office/drawing/2014/main" id="{00000000-0008-0000-2300-00001B000000}"/>
            </a:ext>
          </a:extLst>
        </xdr:cNvPr>
        <xdr:cNvSpPr/>
      </xdr:nvSpPr>
      <xdr:spPr>
        <a:xfrm>
          <a:off x="2638424" y="3848100"/>
          <a:ext cx="790576" cy="66675"/>
        </a:xfrm>
        <a:prstGeom prst="rect">
          <a:avLst/>
        </a:prstGeom>
        <a:blipFill>
          <a:blip xmlns:r="http://schemas.openxmlformats.org/officeDocument/2006/relationships" r:embed="rId1" cstate="print"/>
          <a:tile tx="0" ty="0" sx="100000" sy="100000" flip="none" algn="tl"/>
        </a:blip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28</xdr:col>
      <xdr:colOff>3174</xdr:colOff>
      <xdr:row>23</xdr:row>
      <xdr:rowOff>57149</xdr:rowOff>
    </xdr:from>
    <xdr:to>
      <xdr:col>31</xdr:col>
      <xdr:colOff>3174</xdr:colOff>
      <xdr:row>23</xdr:row>
      <xdr:rowOff>112781</xdr:rowOff>
    </xdr:to>
    <xdr:sp macro="" textlink="">
      <xdr:nvSpPr>
        <xdr:cNvPr id="28" name="Rectangle 27">
          <a:extLst>
            <a:ext uri="{FF2B5EF4-FFF2-40B4-BE49-F238E27FC236}">
              <a16:creationId xmlns="" xmlns:a16="http://schemas.microsoft.com/office/drawing/2014/main" id="{00000000-0008-0000-2300-00001C000000}"/>
            </a:ext>
          </a:extLst>
        </xdr:cNvPr>
        <xdr:cNvSpPr/>
      </xdr:nvSpPr>
      <xdr:spPr>
        <a:xfrm>
          <a:off x="3314699" y="3609974"/>
          <a:ext cx="342900" cy="66675"/>
        </a:xfrm>
        <a:prstGeom prst="rect">
          <a:avLst/>
        </a:prstGeom>
        <a:effectLst>
          <a:innerShdw blurRad="63500" dist="50800" dir="13500000">
            <a:prstClr val="black">
              <a:alpha val="50000"/>
            </a:prstClr>
          </a:innerShdw>
          <a:softEdge rad="12700"/>
        </a:effectLst>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25</xdr:col>
      <xdr:colOff>94615</xdr:colOff>
      <xdr:row>23</xdr:row>
      <xdr:rowOff>56515</xdr:rowOff>
    </xdr:from>
    <xdr:to>
      <xdr:col>27</xdr:col>
      <xdr:colOff>84999</xdr:colOff>
      <xdr:row>23</xdr:row>
      <xdr:rowOff>112467</xdr:rowOff>
    </xdr:to>
    <xdr:sp macro="" textlink="">
      <xdr:nvSpPr>
        <xdr:cNvPr id="29" name="Rectangle 28">
          <a:extLst>
            <a:ext uri="{FF2B5EF4-FFF2-40B4-BE49-F238E27FC236}">
              <a16:creationId xmlns="" xmlns:a16="http://schemas.microsoft.com/office/drawing/2014/main" id="{00000000-0008-0000-2300-00001D000000}"/>
            </a:ext>
          </a:extLst>
        </xdr:cNvPr>
        <xdr:cNvSpPr/>
      </xdr:nvSpPr>
      <xdr:spPr>
        <a:xfrm>
          <a:off x="3067050" y="3609975"/>
          <a:ext cx="247650" cy="57149"/>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25</xdr:col>
      <xdr:colOff>57785</xdr:colOff>
      <xdr:row>23</xdr:row>
      <xdr:rowOff>55880</xdr:rowOff>
    </xdr:from>
    <xdr:to>
      <xdr:col>25</xdr:col>
      <xdr:colOff>79588</xdr:colOff>
      <xdr:row>23</xdr:row>
      <xdr:rowOff>135850</xdr:rowOff>
    </xdr:to>
    <xdr:sp macro="" textlink="">
      <xdr:nvSpPr>
        <xdr:cNvPr id="30" name="Flowchart: Merge 46">
          <a:extLst>
            <a:ext uri="{FF2B5EF4-FFF2-40B4-BE49-F238E27FC236}">
              <a16:creationId xmlns="" xmlns:a16="http://schemas.microsoft.com/office/drawing/2014/main" id="{00000000-0008-0000-2300-00001E000000}"/>
            </a:ext>
          </a:extLst>
        </xdr:cNvPr>
        <xdr:cNvSpPr/>
      </xdr:nvSpPr>
      <xdr:spPr>
        <a:xfrm>
          <a:off x="3028950" y="3602355"/>
          <a:ext cx="57150" cy="102870"/>
        </a:xfrm>
        <a:prstGeom prst="flowChartMerge">
          <a:avLst/>
        </a:prstGeom>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31</xdr:col>
      <xdr:colOff>0</xdr:colOff>
      <xdr:row>15</xdr:row>
      <xdr:rowOff>3174</xdr:rowOff>
    </xdr:from>
    <xdr:to>
      <xdr:col>31</xdr:col>
      <xdr:colOff>2382</xdr:colOff>
      <xdr:row>23</xdr:row>
      <xdr:rowOff>76</xdr:rowOff>
    </xdr:to>
    <xdr:sp macro="" textlink="">
      <xdr:nvSpPr>
        <xdr:cNvPr id="31" name="Rectangle 30">
          <a:extLst>
            <a:ext uri="{FF2B5EF4-FFF2-40B4-BE49-F238E27FC236}">
              <a16:creationId xmlns="" xmlns:a16="http://schemas.microsoft.com/office/drawing/2014/main" id="{00000000-0008-0000-2300-00001F000000}"/>
            </a:ext>
          </a:extLst>
        </xdr:cNvPr>
        <xdr:cNvSpPr/>
      </xdr:nvSpPr>
      <xdr:spPr>
        <a:xfrm>
          <a:off x="3657600" y="1933574"/>
          <a:ext cx="9525" cy="1609726"/>
        </a:xfrm>
        <a:prstGeom prst="rect">
          <a:avLst/>
        </a:prstGeom>
        <a:ln w="57150">
          <a:solidFill>
            <a:schemeClr val="bg2">
              <a:lumMod val="50000"/>
            </a:schemeClr>
          </a:solidFill>
        </a:ln>
        <a:effectLst>
          <a:innerShdw blurRad="63500" dist="50800" dir="13500000">
            <a:prstClr val="black">
              <a:alpha val="50000"/>
            </a:prstClr>
          </a:innerShdw>
          <a:softEdge rad="12700"/>
        </a:effectLst>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28</xdr:col>
      <xdr:colOff>57784</xdr:colOff>
      <xdr:row>22</xdr:row>
      <xdr:rowOff>97789</xdr:rowOff>
    </xdr:from>
    <xdr:to>
      <xdr:col>31</xdr:col>
      <xdr:colOff>7</xdr:colOff>
      <xdr:row>23</xdr:row>
      <xdr:rowOff>18353</xdr:rowOff>
    </xdr:to>
    <xdr:sp macro="" textlink="">
      <xdr:nvSpPr>
        <xdr:cNvPr id="32" name="Rectangle 31">
          <a:extLst>
            <a:ext uri="{FF2B5EF4-FFF2-40B4-BE49-F238E27FC236}">
              <a16:creationId xmlns="" xmlns:a16="http://schemas.microsoft.com/office/drawing/2014/main" id="{00000000-0008-0000-2300-000020000000}"/>
            </a:ext>
          </a:extLst>
        </xdr:cNvPr>
        <xdr:cNvSpPr/>
      </xdr:nvSpPr>
      <xdr:spPr>
        <a:xfrm>
          <a:off x="3381374" y="3467099"/>
          <a:ext cx="276225" cy="76200"/>
        </a:xfrm>
        <a:prstGeom prst="rect">
          <a:avLst/>
        </a:prstGeom>
        <a:ln w="57150">
          <a:solidFill>
            <a:schemeClr val="bg2">
              <a:lumMod val="50000"/>
            </a:schemeClr>
          </a:solidFill>
        </a:ln>
        <a:effectLst>
          <a:innerShdw blurRad="63500" dist="50800" dir="13500000">
            <a:prstClr val="black">
              <a:alpha val="50000"/>
            </a:prstClr>
          </a:innerShdw>
          <a:softEdge rad="12700"/>
        </a:effectLst>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34</xdr:col>
      <xdr:colOff>3174</xdr:colOff>
      <xdr:row>12</xdr:row>
      <xdr:rowOff>57784</xdr:rowOff>
    </xdr:from>
    <xdr:to>
      <xdr:col>36</xdr:col>
      <xdr:colOff>60661</xdr:colOff>
      <xdr:row>12</xdr:row>
      <xdr:rowOff>192960</xdr:rowOff>
    </xdr:to>
    <xdr:sp macro="" textlink="">
      <xdr:nvSpPr>
        <xdr:cNvPr id="33" name="Rectangle 32">
          <a:extLst>
            <a:ext uri="{FF2B5EF4-FFF2-40B4-BE49-F238E27FC236}">
              <a16:creationId xmlns="" xmlns:a16="http://schemas.microsoft.com/office/drawing/2014/main" id="{00000000-0008-0000-2300-000021000000}"/>
            </a:ext>
          </a:extLst>
        </xdr:cNvPr>
        <xdr:cNvSpPr/>
      </xdr:nvSpPr>
      <xdr:spPr>
        <a:xfrm>
          <a:off x="4000499" y="1504949"/>
          <a:ext cx="266700" cy="19051"/>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29</xdr:col>
      <xdr:colOff>60959</xdr:colOff>
      <xdr:row>12</xdr:row>
      <xdr:rowOff>57785</xdr:rowOff>
    </xdr:from>
    <xdr:to>
      <xdr:col>42</xdr:col>
      <xdr:colOff>114294</xdr:colOff>
      <xdr:row>15</xdr:row>
      <xdr:rowOff>36008</xdr:rowOff>
    </xdr:to>
    <xdr:sp macro="" textlink="">
      <xdr:nvSpPr>
        <xdr:cNvPr id="34" name="Block Arc 50">
          <a:extLst>
            <a:ext uri="{FF2B5EF4-FFF2-40B4-BE49-F238E27FC236}">
              <a16:creationId xmlns="" xmlns:a16="http://schemas.microsoft.com/office/drawing/2014/main" id="{00000000-0008-0000-2300-000022000000}"/>
            </a:ext>
          </a:extLst>
        </xdr:cNvPr>
        <xdr:cNvSpPr/>
      </xdr:nvSpPr>
      <xdr:spPr>
        <a:xfrm>
          <a:off x="3467099" y="1485900"/>
          <a:ext cx="1562100" cy="514349"/>
        </a:xfrm>
        <a:prstGeom prst="blockArc">
          <a:avLst/>
        </a:prstGeom>
        <a:blipFill>
          <a:blip xmlns:r="http://schemas.openxmlformats.org/officeDocument/2006/relationships" r:embed="rId1" cstate="print"/>
          <a:tile tx="0" ty="0" sx="100000" sy="100000" flip="none" algn="tl"/>
        </a:blip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en-US"/>
        </a:p>
      </xdr:txBody>
    </xdr:sp>
    <xdr:clientData/>
  </xdr:twoCellAnchor>
  <xdr:twoCellAnchor>
    <xdr:from>
      <xdr:col>34</xdr:col>
      <xdr:colOff>0</xdr:colOff>
      <xdr:row>12</xdr:row>
      <xdr:rowOff>57785</xdr:rowOff>
    </xdr:from>
    <xdr:to>
      <xdr:col>37</xdr:col>
      <xdr:colOff>3174</xdr:colOff>
      <xdr:row>13</xdr:row>
      <xdr:rowOff>39628</xdr:rowOff>
    </xdr:to>
    <xdr:sp macro="" textlink="">
      <xdr:nvSpPr>
        <xdr:cNvPr id="35" name="Rectangle 34">
          <a:extLst>
            <a:ext uri="{FF2B5EF4-FFF2-40B4-BE49-F238E27FC236}">
              <a16:creationId xmlns="" xmlns:a16="http://schemas.microsoft.com/office/drawing/2014/main" id="{00000000-0008-0000-2300-000023000000}"/>
            </a:ext>
          </a:extLst>
        </xdr:cNvPr>
        <xdr:cNvSpPr/>
      </xdr:nvSpPr>
      <xdr:spPr>
        <a:xfrm>
          <a:off x="4000500" y="1485900"/>
          <a:ext cx="342899" cy="85725"/>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oneCellAnchor>
    <xdr:from>
      <xdr:col>34</xdr:col>
      <xdr:colOff>57785</xdr:colOff>
      <xdr:row>19</xdr:row>
      <xdr:rowOff>56515</xdr:rowOff>
    </xdr:from>
    <xdr:ext cx="460465" cy="223008"/>
    <xdr:sp macro="" textlink="">
      <xdr:nvSpPr>
        <xdr:cNvPr id="36" name="TextBox 52">
          <a:extLst>
            <a:ext uri="{FF2B5EF4-FFF2-40B4-BE49-F238E27FC236}">
              <a16:creationId xmlns="" xmlns:a16="http://schemas.microsoft.com/office/drawing/2014/main" id="{00000000-0008-0000-2300-000024000000}"/>
            </a:ext>
          </a:extLst>
        </xdr:cNvPr>
        <xdr:cNvSpPr txBox="1"/>
      </xdr:nvSpPr>
      <xdr:spPr>
        <a:xfrm>
          <a:off x="4076700" y="2809875"/>
          <a:ext cx="418198" cy="219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a:t>210</a:t>
          </a:r>
        </a:p>
      </xdr:txBody>
    </xdr:sp>
    <xdr:clientData/>
  </xdr:oneCellAnchor>
  <xdr:twoCellAnchor>
    <xdr:from>
      <xdr:col>40</xdr:col>
      <xdr:colOff>0</xdr:colOff>
      <xdr:row>15</xdr:row>
      <xdr:rowOff>35561</xdr:rowOff>
    </xdr:from>
    <xdr:to>
      <xdr:col>40</xdr:col>
      <xdr:colOff>0</xdr:colOff>
      <xdr:row>23</xdr:row>
      <xdr:rowOff>117517</xdr:rowOff>
    </xdr:to>
    <xdr:cxnSp macro="">
      <xdr:nvCxnSpPr>
        <xdr:cNvPr id="37" name="Straight Arrow Connector 53">
          <a:extLst>
            <a:ext uri="{FF2B5EF4-FFF2-40B4-BE49-F238E27FC236}">
              <a16:creationId xmlns="" xmlns:a16="http://schemas.microsoft.com/office/drawing/2014/main" id="{00000000-0008-0000-2300-000025000000}"/>
            </a:ext>
          </a:extLst>
        </xdr:cNvPr>
        <xdr:cNvCxnSpPr/>
      </xdr:nvCxnSpPr>
      <xdr:spPr>
        <a:xfrm flipV="1">
          <a:off x="4686300" y="1990726"/>
          <a:ext cx="0" cy="1695449"/>
        </a:xfrm>
        <a:prstGeom prst="straightConnector1">
          <a:avLst/>
        </a:prstGeom>
        <a:ln>
          <a:solidFill>
            <a:schemeClr val="tx1"/>
          </a:solidFill>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38</xdr:col>
      <xdr:colOff>60962</xdr:colOff>
      <xdr:row>17</xdr:row>
      <xdr:rowOff>3191</xdr:rowOff>
    </xdr:from>
    <xdr:ext cx="166461" cy="415333"/>
    <xdr:sp macro="" textlink="">
      <xdr:nvSpPr>
        <xdr:cNvPr id="38" name="TextBox 56">
          <a:extLst>
            <a:ext uri="{FF2B5EF4-FFF2-40B4-BE49-F238E27FC236}">
              <a16:creationId xmlns="" xmlns:a16="http://schemas.microsoft.com/office/drawing/2014/main" id="{00000000-0008-0000-2300-000026000000}"/>
            </a:ext>
          </a:extLst>
        </xdr:cNvPr>
        <xdr:cNvSpPr txBox="1"/>
      </xdr:nvSpPr>
      <xdr:spPr>
        <a:xfrm rot="16200000">
          <a:off x="4396240" y="2461143"/>
          <a:ext cx="399148" cy="1809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a:t>150</a:t>
          </a:r>
        </a:p>
      </xdr:txBody>
    </xdr:sp>
    <xdr:clientData/>
  </xdr:oneCellAnchor>
  <xdr:oneCellAnchor>
    <xdr:from>
      <xdr:col>15</xdr:col>
      <xdr:colOff>94616</xdr:colOff>
      <xdr:row>0</xdr:row>
      <xdr:rowOff>61595</xdr:rowOff>
    </xdr:from>
    <xdr:ext cx="4876808" cy="675899"/>
    <xdr:sp macro="" textlink="">
      <xdr:nvSpPr>
        <xdr:cNvPr id="39" name="TextBox 57">
          <a:extLst>
            <a:ext uri="{FF2B5EF4-FFF2-40B4-BE49-F238E27FC236}">
              <a16:creationId xmlns="" xmlns:a16="http://schemas.microsoft.com/office/drawing/2014/main" id="{00000000-0008-0000-2300-000027000000}"/>
            </a:ext>
          </a:extLst>
        </xdr:cNvPr>
        <xdr:cNvSpPr txBox="1"/>
      </xdr:nvSpPr>
      <xdr:spPr>
        <a:xfrm>
          <a:off x="1933576" y="209550"/>
          <a:ext cx="4857750" cy="74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2000" b="1"/>
            <a:t>Collecte d'eau de pluie dans les ecoles primaires avec une capacité de 5m3</a:t>
          </a:r>
        </a:p>
      </xdr:txBody>
    </xdr:sp>
    <xdr:clientData/>
  </xdr:oneCellAnchor>
  <xdr:oneCellAnchor>
    <xdr:from>
      <xdr:col>30</xdr:col>
      <xdr:colOff>42545</xdr:colOff>
      <xdr:row>30</xdr:row>
      <xdr:rowOff>116205</xdr:rowOff>
    </xdr:from>
    <xdr:ext cx="1425903" cy="405432"/>
    <xdr:sp macro="" textlink="">
      <xdr:nvSpPr>
        <xdr:cNvPr id="40" name="TextBox 58">
          <a:extLst>
            <a:ext uri="{FF2B5EF4-FFF2-40B4-BE49-F238E27FC236}">
              <a16:creationId xmlns="" xmlns:a16="http://schemas.microsoft.com/office/drawing/2014/main" id="{00000000-0008-0000-2300-000028000000}"/>
            </a:ext>
          </a:extLst>
        </xdr:cNvPr>
        <xdr:cNvSpPr txBox="1"/>
      </xdr:nvSpPr>
      <xdr:spPr>
        <a:xfrm>
          <a:off x="3471545" y="6021705"/>
          <a:ext cx="1425903"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GB" sz="2000" b="1"/>
            <a:t>Coupe A -</a:t>
          </a:r>
          <a:r>
            <a:rPr lang="en-GB" sz="2000" b="1" baseline="0"/>
            <a:t> A</a:t>
          </a:r>
          <a:endParaRPr lang="en-GB" sz="2000" b="1"/>
        </a:p>
      </xdr:txBody>
    </xdr:sp>
    <xdr:clientData/>
  </xdr:oneCellAnchor>
  <xdr:oneCellAnchor>
    <xdr:from>
      <xdr:col>18</xdr:col>
      <xdr:colOff>83820</xdr:colOff>
      <xdr:row>15</xdr:row>
      <xdr:rowOff>36830</xdr:rowOff>
    </xdr:from>
    <xdr:ext cx="992651" cy="298923"/>
    <xdr:sp macro="" textlink="">
      <xdr:nvSpPr>
        <xdr:cNvPr id="41" name="TextBox 60">
          <a:extLst>
            <a:ext uri="{FF2B5EF4-FFF2-40B4-BE49-F238E27FC236}">
              <a16:creationId xmlns="" xmlns:a16="http://schemas.microsoft.com/office/drawing/2014/main" id="{00000000-0008-0000-2300-000029000000}"/>
            </a:ext>
          </a:extLst>
        </xdr:cNvPr>
        <xdr:cNvSpPr txBox="1"/>
      </xdr:nvSpPr>
      <xdr:spPr>
        <a:xfrm>
          <a:off x="2124075" y="3048000"/>
          <a:ext cx="100016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r>
            <a:rPr lang="en-GB" sz="1100" b="1" i="1"/>
            <a:t>Ferrro ciment</a:t>
          </a:r>
        </a:p>
      </xdr:txBody>
    </xdr:sp>
    <xdr:clientData/>
  </xdr:oneCellAnchor>
  <xdr:twoCellAnchor>
    <xdr:from>
      <xdr:col>25</xdr:col>
      <xdr:colOff>0</xdr:colOff>
      <xdr:row>18</xdr:row>
      <xdr:rowOff>0</xdr:rowOff>
    </xdr:from>
    <xdr:to>
      <xdr:col>29</xdr:col>
      <xdr:colOff>60957</xdr:colOff>
      <xdr:row>18</xdr:row>
      <xdr:rowOff>2382</xdr:rowOff>
    </xdr:to>
    <xdr:cxnSp macro="">
      <xdr:nvCxnSpPr>
        <xdr:cNvPr id="42" name="Straight Arrow Connector 62">
          <a:extLst>
            <a:ext uri="{FF2B5EF4-FFF2-40B4-BE49-F238E27FC236}">
              <a16:creationId xmlns="" xmlns:a16="http://schemas.microsoft.com/office/drawing/2014/main" id="{00000000-0008-0000-2300-00002A000000}"/>
            </a:ext>
          </a:extLst>
        </xdr:cNvPr>
        <xdr:cNvCxnSpPr/>
      </xdr:nvCxnSpPr>
      <xdr:spPr>
        <a:xfrm>
          <a:off x="2971800" y="2524125"/>
          <a:ext cx="495300" cy="952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94616</xdr:colOff>
      <xdr:row>22</xdr:row>
      <xdr:rowOff>3175</xdr:rowOff>
    </xdr:from>
    <xdr:ext cx="406928" cy="383144"/>
    <xdr:sp macro="" textlink="">
      <xdr:nvSpPr>
        <xdr:cNvPr id="43" name="TextBox 64">
          <a:extLst>
            <a:ext uri="{FF2B5EF4-FFF2-40B4-BE49-F238E27FC236}">
              <a16:creationId xmlns="" xmlns:a16="http://schemas.microsoft.com/office/drawing/2014/main" id="{00000000-0008-0000-2300-00002B000000}"/>
            </a:ext>
          </a:extLst>
        </xdr:cNvPr>
        <xdr:cNvSpPr txBox="1"/>
      </xdr:nvSpPr>
      <xdr:spPr>
        <a:xfrm rot="16200000">
          <a:off x="2852740" y="3328986"/>
          <a:ext cx="380998" cy="4095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a:t>55</a:t>
          </a:r>
        </a:p>
      </xdr:txBody>
    </xdr:sp>
    <xdr:clientData/>
  </xdr:oneCellAnchor>
  <xdr:twoCellAnchor>
    <xdr:from>
      <xdr:col>25</xdr:col>
      <xdr:colOff>57785</xdr:colOff>
      <xdr:row>24</xdr:row>
      <xdr:rowOff>0</xdr:rowOff>
    </xdr:from>
    <xdr:to>
      <xdr:col>25</xdr:col>
      <xdr:colOff>95633</xdr:colOff>
      <xdr:row>25</xdr:row>
      <xdr:rowOff>40802</xdr:rowOff>
    </xdr:to>
    <xdr:cxnSp macro="">
      <xdr:nvCxnSpPr>
        <xdr:cNvPr id="44" name="Straight Arrow Connector 66">
          <a:extLst>
            <a:ext uri="{FF2B5EF4-FFF2-40B4-BE49-F238E27FC236}">
              <a16:creationId xmlns="" xmlns:a16="http://schemas.microsoft.com/office/drawing/2014/main" id="{00000000-0008-0000-2300-00002C000000}"/>
            </a:ext>
          </a:extLst>
        </xdr:cNvPr>
        <xdr:cNvCxnSpPr>
          <a:stCxn id="30" idx="2"/>
          <a:endCxn id="27" idx="0"/>
        </xdr:cNvCxnSpPr>
      </xdr:nvCxnSpPr>
      <xdr:spPr>
        <a:xfrm rot="5400000">
          <a:off x="2993231" y="3779044"/>
          <a:ext cx="123825" cy="14288"/>
        </a:xfrm>
        <a:prstGeom prst="straightConnector1">
          <a:avLst/>
        </a:prstGeom>
        <a:ln>
          <a:solidFill>
            <a:schemeClr val="tx1"/>
          </a:solidFill>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47625</xdr:colOff>
      <xdr:row>17</xdr:row>
      <xdr:rowOff>19685</xdr:rowOff>
    </xdr:from>
    <xdr:to>
      <xdr:col>49</xdr:col>
      <xdr:colOff>1351</xdr:colOff>
      <xdr:row>26</xdr:row>
      <xdr:rowOff>3318</xdr:rowOff>
    </xdr:to>
    <xdr:sp macro="" textlink="">
      <xdr:nvSpPr>
        <xdr:cNvPr id="45" name="Rectangle 44">
          <a:extLst>
            <a:ext uri="{FF2B5EF4-FFF2-40B4-BE49-F238E27FC236}">
              <a16:creationId xmlns="" xmlns:a16="http://schemas.microsoft.com/office/drawing/2014/main" id="{00000000-0008-0000-2300-00002D000000}"/>
            </a:ext>
          </a:extLst>
        </xdr:cNvPr>
        <xdr:cNvSpPr/>
      </xdr:nvSpPr>
      <xdr:spPr>
        <a:xfrm>
          <a:off x="5667375" y="2343150"/>
          <a:ext cx="45719" cy="1590675"/>
        </a:xfrm>
        <a:prstGeom prst="rect">
          <a:avLst/>
        </a:prstGeom>
        <a:gradFill flip="none" rotWithShape="1">
          <a:gsLst>
            <a:gs pos="0">
              <a:schemeClr val="lt1">
                <a:shade val="30000"/>
                <a:satMod val="115000"/>
              </a:schemeClr>
            </a:gs>
            <a:gs pos="50000">
              <a:schemeClr val="lt1">
                <a:shade val="67500"/>
                <a:satMod val="115000"/>
              </a:schemeClr>
            </a:gs>
            <a:gs pos="100000">
              <a:schemeClr val="lt1">
                <a:shade val="100000"/>
                <a:satMod val="115000"/>
              </a:schemeClr>
            </a:gs>
          </a:gsLst>
          <a:lin ang="2700000" scaled="1"/>
          <a:tileRect/>
        </a:grad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34</xdr:col>
      <xdr:colOff>2382</xdr:colOff>
      <xdr:row>13</xdr:row>
      <xdr:rowOff>71755</xdr:rowOff>
    </xdr:from>
    <xdr:to>
      <xdr:col>34</xdr:col>
      <xdr:colOff>3593</xdr:colOff>
      <xdr:row>24</xdr:row>
      <xdr:rowOff>847</xdr:rowOff>
    </xdr:to>
    <xdr:cxnSp macro="">
      <xdr:nvCxnSpPr>
        <xdr:cNvPr id="46" name="Straight Arrow Connector 53">
          <a:extLst>
            <a:ext uri="{FF2B5EF4-FFF2-40B4-BE49-F238E27FC236}">
              <a16:creationId xmlns="" xmlns:a16="http://schemas.microsoft.com/office/drawing/2014/main" id="{00000000-0008-0000-2300-00002E000000}"/>
            </a:ext>
          </a:extLst>
        </xdr:cNvPr>
        <xdr:cNvCxnSpPr/>
      </xdr:nvCxnSpPr>
      <xdr:spPr>
        <a:xfrm rot="5400000" flipH="1" flipV="1">
          <a:off x="2932907" y="2647950"/>
          <a:ext cx="2153446" cy="796"/>
        </a:xfrm>
        <a:prstGeom prst="straightConnector1">
          <a:avLst/>
        </a:prstGeom>
        <a:ln>
          <a:solidFill>
            <a:schemeClr val="tx1"/>
          </a:solidFill>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60963</xdr:colOff>
      <xdr:row>16</xdr:row>
      <xdr:rowOff>80026</xdr:rowOff>
    </xdr:from>
    <xdr:ext cx="250463" cy="379501"/>
    <xdr:sp macro="" textlink="">
      <xdr:nvSpPr>
        <xdr:cNvPr id="47" name="TextBox 56">
          <a:extLst>
            <a:ext uri="{FF2B5EF4-FFF2-40B4-BE49-F238E27FC236}">
              <a16:creationId xmlns="" xmlns:a16="http://schemas.microsoft.com/office/drawing/2014/main" id="{00000000-0008-0000-2300-00002F000000}"/>
            </a:ext>
          </a:extLst>
        </xdr:cNvPr>
        <xdr:cNvSpPr txBox="1"/>
      </xdr:nvSpPr>
      <xdr:spPr>
        <a:xfrm rot="16200000">
          <a:off x="3753304" y="2284930"/>
          <a:ext cx="399148"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a:t>170</a:t>
          </a:r>
        </a:p>
      </xdr:txBody>
    </xdr:sp>
    <xdr:clientData/>
  </xdr:oneCellAnchor>
  <xdr:twoCellAnchor>
    <xdr:from>
      <xdr:col>39</xdr:col>
      <xdr:colOff>0</xdr:colOff>
      <xdr:row>15</xdr:row>
      <xdr:rowOff>35560</xdr:rowOff>
    </xdr:from>
    <xdr:to>
      <xdr:col>41</xdr:col>
      <xdr:colOff>94455</xdr:colOff>
      <xdr:row>15</xdr:row>
      <xdr:rowOff>36354</xdr:rowOff>
    </xdr:to>
    <xdr:cxnSp macro="">
      <xdr:nvCxnSpPr>
        <xdr:cNvPr id="48" name="Connecteur droit 47">
          <a:extLst>
            <a:ext uri="{FF2B5EF4-FFF2-40B4-BE49-F238E27FC236}">
              <a16:creationId xmlns="" xmlns:a16="http://schemas.microsoft.com/office/drawing/2014/main" id="{00000000-0008-0000-2300-000030000000}"/>
            </a:ext>
          </a:extLst>
        </xdr:cNvPr>
        <xdr:cNvCxnSpPr/>
      </xdr:nvCxnSpPr>
      <xdr:spPr>
        <a:xfrm rot="10800000">
          <a:off x="4572000" y="1990725"/>
          <a:ext cx="323850"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0</xdr:colOff>
      <xdr:row>11</xdr:row>
      <xdr:rowOff>57785</xdr:rowOff>
    </xdr:from>
    <xdr:to>
      <xdr:col>50</xdr:col>
      <xdr:colOff>81820</xdr:colOff>
      <xdr:row>26</xdr:row>
      <xdr:rowOff>3110</xdr:rowOff>
    </xdr:to>
    <xdr:sp macro="" textlink="">
      <xdr:nvSpPr>
        <xdr:cNvPr id="49" name="Rectangle 48">
          <a:extLst>
            <a:ext uri="{FF2B5EF4-FFF2-40B4-BE49-F238E27FC236}">
              <a16:creationId xmlns="" xmlns:a16="http://schemas.microsoft.com/office/drawing/2014/main" id="{00000000-0008-0000-2300-000031000000}"/>
            </a:ext>
          </a:extLst>
        </xdr:cNvPr>
        <xdr:cNvSpPr/>
      </xdr:nvSpPr>
      <xdr:spPr>
        <a:xfrm>
          <a:off x="5829300" y="1428750"/>
          <a:ext cx="104775" cy="250507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63</xdr:col>
      <xdr:colOff>0</xdr:colOff>
      <xdr:row>11</xdr:row>
      <xdr:rowOff>56515</xdr:rowOff>
    </xdr:from>
    <xdr:to>
      <xdr:col>63</xdr:col>
      <xdr:colOff>81820</xdr:colOff>
      <xdr:row>26</xdr:row>
      <xdr:rowOff>18486</xdr:rowOff>
    </xdr:to>
    <xdr:sp macro="" textlink="">
      <xdr:nvSpPr>
        <xdr:cNvPr id="50" name="Rectangle 49">
          <a:extLst>
            <a:ext uri="{FF2B5EF4-FFF2-40B4-BE49-F238E27FC236}">
              <a16:creationId xmlns="" xmlns:a16="http://schemas.microsoft.com/office/drawing/2014/main" id="{00000000-0008-0000-2300-000032000000}"/>
            </a:ext>
          </a:extLst>
        </xdr:cNvPr>
        <xdr:cNvSpPr/>
      </xdr:nvSpPr>
      <xdr:spPr>
        <a:xfrm>
          <a:off x="7315200" y="1419225"/>
          <a:ext cx="95250" cy="250507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50</xdr:col>
      <xdr:colOff>61595</xdr:colOff>
      <xdr:row>13</xdr:row>
      <xdr:rowOff>19685</xdr:rowOff>
    </xdr:from>
    <xdr:to>
      <xdr:col>50</xdr:col>
      <xdr:colOff>57531</xdr:colOff>
      <xdr:row>26</xdr:row>
      <xdr:rowOff>3283</xdr:rowOff>
    </xdr:to>
    <xdr:sp macro="" textlink="">
      <xdr:nvSpPr>
        <xdr:cNvPr id="51" name="Rectangle 50">
          <a:extLst>
            <a:ext uri="{FF2B5EF4-FFF2-40B4-BE49-F238E27FC236}">
              <a16:creationId xmlns="" xmlns:a16="http://schemas.microsoft.com/office/drawing/2014/main" id="{00000000-0008-0000-2300-000033000000}"/>
            </a:ext>
          </a:extLst>
        </xdr:cNvPr>
        <xdr:cNvSpPr/>
      </xdr:nvSpPr>
      <xdr:spPr>
        <a:xfrm>
          <a:off x="5848350" y="1533525"/>
          <a:ext cx="45719" cy="2400300"/>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63</xdr:col>
      <xdr:colOff>30480</xdr:colOff>
      <xdr:row>13</xdr:row>
      <xdr:rowOff>0</xdr:rowOff>
    </xdr:from>
    <xdr:to>
      <xdr:col>63</xdr:col>
      <xdr:colOff>58984</xdr:colOff>
      <xdr:row>20</xdr:row>
      <xdr:rowOff>20423</xdr:rowOff>
    </xdr:to>
    <xdr:sp macro="" textlink="">
      <xdr:nvSpPr>
        <xdr:cNvPr id="52" name="Rectangle 51">
          <a:extLst>
            <a:ext uri="{FF2B5EF4-FFF2-40B4-BE49-F238E27FC236}">
              <a16:creationId xmlns="" xmlns:a16="http://schemas.microsoft.com/office/drawing/2014/main" id="{00000000-0008-0000-2300-000034000000}"/>
            </a:ext>
          </a:extLst>
        </xdr:cNvPr>
        <xdr:cNvSpPr/>
      </xdr:nvSpPr>
      <xdr:spPr>
        <a:xfrm flipH="1">
          <a:off x="7336155" y="1524000"/>
          <a:ext cx="45719" cy="1428750"/>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51</xdr:col>
      <xdr:colOff>47626</xdr:colOff>
      <xdr:row>14</xdr:row>
      <xdr:rowOff>60960</xdr:rowOff>
    </xdr:from>
    <xdr:to>
      <xdr:col>62</xdr:col>
      <xdr:colOff>57885</xdr:colOff>
      <xdr:row>18</xdr:row>
      <xdr:rowOff>80146</xdr:rowOff>
    </xdr:to>
    <xdr:sp macro="" textlink="">
      <xdr:nvSpPr>
        <xdr:cNvPr id="53" name="Rectangle 52">
          <a:extLst>
            <a:ext uri="{FF2B5EF4-FFF2-40B4-BE49-F238E27FC236}">
              <a16:creationId xmlns="" xmlns:a16="http://schemas.microsoft.com/office/drawing/2014/main" id="{00000000-0008-0000-2300-000035000000}"/>
            </a:ext>
          </a:extLst>
        </xdr:cNvPr>
        <xdr:cNvSpPr/>
      </xdr:nvSpPr>
      <xdr:spPr>
        <a:xfrm>
          <a:off x="6010276" y="1762125"/>
          <a:ext cx="1247775" cy="876300"/>
        </a:xfrm>
        <a:prstGeom prst="rect">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49</xdr:col>
      <xdr:colOff>635</xdr:colOff>
      <xdr:row>11</xdr:row>
      <xdr:rowOff>1906</xdr:rowOff>
    </xdr:from>
    <xdr:to>
      <xdr:col>65</xdr:col>
      <xdr:colOff>47657</xdr:colOff>
      <xdr:row>11</xdr:row>
      <xdr:rowOff>58484</xdr:rowOff>
    </xdr:to>
    <xdr:sp macro="" textlink="">
      <xdr:nvSpPr>
        <xdr:cNvPr id="54" name="Rectangle 53">
          <a:extLst>
            <a:ext uri="{FF2B5EF4-FFF2-40B4-BE49-F238E27FC236}">
              <a16:creationId xmlns="" xmlns:a16="http://schemas.microsoft.com/office/drawing/2014/main" id="{00000000-0008-0000-2300-000036000000}"/>
            </a:ext>
          </a:extLst>
        </xdr:cNvPr>
        <xdr:cNvSpPr/>
      </xdr:nvSpPr>
      <xdr:spPr>
        <a:xfrm>
          <a:off x="5724525" y="1344931"/>
          <a:ext cx="1885950" cy="74294"/>
        </a:xfrm>
        <a:prstGeom prst="rect">
          <a:avLst/>
        </a:prstGeom>
        <a:solidFill>
          <a:schemeClr val="accent6">
            <a:lumMod val="5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48</xdr:col>
      <xdr:colOff>61867</xdr:colOff>
      <xdr:row>7</xdr:row>
      <xdr:rowOff>37550</xdr:rowOff>
    </xdr:from>
    <xdr:to>
      <xdr:col>58</xdr:col>
      <xdr:colOff>103185</xdr:colOff>
      <xdr:row>7</xdr:row>
      <xdr:rowOff>76233</xdr:rowOff>
    </xdr:to>
    <xdr:sp macro="" textlink="">
      <xdr:nvSpPr>
        <xdr:cNvPr id="55" name="Rectangle 54">
          <a:extLst>
            <a:ext uri="{FF2B5EF4-FFF2-40B4-BE49-F238E27FC236}">
              <a16:creationId xmlns="" xmlns:a16="http://schemas.microsoft.com/office/drawing/2014/main" id="{00000000-0008-0000-2300-000037000000}"/>
            </a:ext>
          </a:extLst>
        </xdr:cNvPr>
        <xdr:cNvSpPr/>
      </xdr:nvSpPr>
      <xdr:spPr>
        <a:xfrm rot="19315796">
          <a:off x="5620022" y="1010370"/>
          <a:ext cx="1229267" cy="37194"/>
        </a:xfrm>
        <a:prstGeom prst="rect">
          <a:avLst/>
        </a:prstGeom>
        <a:solidFill>
          <a:schemeClr val="accent6">
            <a:lumMod val="5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56</xdr:col>
      <xdr:colOff>61231</xdr:colOff>
      <xdr:row>7</xdr:row>
      <xdr:rowOff>36281</xdr:rowOff>
    </xdr:from>
    <xdr:to>
      <xdr:col>67</xdr:col>
      <xdr:colOff>801</xdr:colOff>
      <xdr:row>8</xdr:row>
      <xdr:rowOff>1361</xdr:rowOff>
    </xdr:to>
    <xdr:sp macro="" textlink="">
      <xdr:nvSpPr>
        <xdr:cNvPr id="56" name="Rectangle 55">
          <a:extLst>
            <a:ext uri="{FF2B5EF4-FFF2-40B4-BE49-F238E27FC236}">
              <a16:creationId xmlns="" xmlns:a16="http://schemas.microsoft.com/office/drawing/2014/main" id="{00000000-0008-0000-2300-000038000000}"/>
            </a:ext>
          </a:extLst>
        </xdr:cNvPr>
        <xdr:cNvSpPr/>
      </xdr:nvSpPr>
      <xdr:spPr>
        <a:xfrm rot="13139724">
          <a:off x="6562996" y="1019896"/>
          <a:ext cx="1210217" cy="37194"/>
        </a:xfrm>
        <a:prstGeom prst="rect">
          <a:avLst/>
        </a:prstGeom>
        <a:solidFill>
          <a:schemeClr val="accent6">
            <a:lumMod val="5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57</xdr:col>
      <xdr:colOff>34649</xdr:colOff>
      <xdr:row>3</xdr:row>
      <xdr:rowOff>57149</xdr:rowOff>
    </xdr:from>
    <xdr:to>
      <xdr:col>57</xdr:col>
      <xdr:colOff>80517</xdr:colOff>
      <xdr:row>11</xdr:row>
      <xdr:rowOff>18986</xdr:rowOff>
    </xdr:to>
    <xdr:sp macro="" textlink="">
      <xdr:nvSpPr>
        <xdr:cNvPr id="57" name="Rectangle 56">
          <a:extLst>
            <a:ext uri="{FF2B5EF4-FFF2-40B4-BE49-F238E27FC236}">
              <a16:creationId xmlns="" xmlns:a16="http://schemas.microsoft.com/office/drawing/2014/main" id="{00000000-0008-0000-2300-000039000000}"/>
            </a:ext>
          </a:extLst>
        </xdr:cNvPr>
        <xdr:cNvSpPr/>
      </xdr:nvSpPr>
      <xdr:spPr>
        <a:xfrm rot="16200000">
          <a:off x="6353403" y="981840"/>
          <a:ext cx="676814" cy="46631"/>
        </a:xfrm>
        <a:prstGeom prst="rect">
          <a:avLst/>
        </a:prstGeom>
        <a:solidFill>
          <a:schemeClr val="accent6">
            <a:lumMod val="5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60</xdr:col>
      <xdr:colOff>1629</xdr:colOff>
      <xdr:row>6</xdr:row>
      <xdr:rowOff>3174</xdr:rowOff>
    </xdr:from>
    <xdr:to>
      <xdr:col>60</xdr:col>
      <xdr:colOff>60365</xdr:colOff>
      <xdr:row>11</xdr:row>
      <xdr:rowOff>35994</xdr:rowOff>
    </xdr:to>
    <xdr:sp macro="" textlink="">
      <xdr:nvSpPr>
        <xdr:cNvPr id="58" name="Rectangle 57">
          <a:extLst>
            <a:ext uri="{FF2B5EF4-FFF2-40B4-BE49-F238E27FC236}">
              <a16:creationId xmlns="" xmlns:a16="http://schemas.microsoft.com/office/drawing/2014/main" id="{00000000-0008-0000-2300-00003A000000}"/>
            </a:ext>
          </a:extLst>
        </xdr:cNvPr>
        <xdr:cNvSpPr/>
      </xdr:nvSpPr>
      <xdr:spPr>
        <a:xfrm rot="16200000">
          <a:off x="6743472" y="1115646"/>
          <a:ext cx="524413" cy="45719"/>
        </a:xfrm>
        <a:prstGeom prst="rect">
          <a:avLst/>
        </a:prstGeom>
        <a:solidFill>
          <a:schemeClr val="accent6">
            <a:lumMod val="5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53</xdr:col>
      <xdr:colOff>60684</xdr:colOff>
      <xdr:row>6</xdr:row>
      <xdr:rowOff>74929</xdr:rowOff>
    </xdr:from>
    <xdr:to>
      <xdr:col>53</xdr:col>
      <xdr:colOff>113820</xdr:colOff>
      <xdr:row>11</xdr:row>
      <xdr:rowOff>57136</xdr:rowOff>
    </xdr:to>
    <xdr:sp macro="" textlink="">
      <xdr:nvSpPr>
        <xdr:cNvPr id="59" name="Rectangle 58">
          <a:extLst>
            <a:ext uri="{FF2B5EF4-FFF2-40B4-BE49-F238E27FC236}">
              <a16:creationId xmlns="" xmlns:a16="http://schemas.microsoft.com/office/drawing/2014/main" id="{00000000-0008-0000-2300-00003B000000}"/>
            </a:ext>
          </a:extLst>
        </xdr:cNvPr>
        <xdr:cNvSpPr/>
      </xdr:nvSpPr>
      <xdr:spPr>
        <a:xfrm rot="16200000">
          <a:off x="6033859" y="1168034"/>
          <a:ext cx="467263" cy="36194"/>
        </a:xfrm>
        <a:prstGeom prst="rect">
          <a:avLst/>
        </a:prstGeom>
        <a:solidFill>
          <a:schemeClr val="accent6">
            <a:lumMod val="5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52</xdr:col>
      <xdr:colOff>94889</xdr:colOff>
      <xdr:row>8</xdr:row>
      <xdr:rowOff>97290</xdr:rowOff>
    </xdr:from>
    <xdr:to>
      <xdr:col>58</xdr:col>
      <xdr:colOff>680</xdr:colOff>
      <xdr:row>9</xdr:row>
      <xdr:rowOff>21947</xdr:rowOff>
    </xdr:to>
    <xdr:sp macro="" textlink="">
      <xdr:nvSpPr>
        <xdr:cNvPr id="60" name="Rectangle 59">
          <a:extLst>
            <a:ext uri="{FF2B5EF4-FFF2-40B4-BE49-F238E27FC236}">
              <a16:creationId xmlns="" xmlns:a16="http://schemas.microsoft.com/office/drawing/2014/main" id="{00000000-0008-0000-2300-00003C000000}"/>
            </a:ext>
          </a:extLst>
        </xdr:cNvPr>
        <xdr:cNvSpPr/>
      </xdr:nvSpPr>
      <xdr:spPr>
        <a:xfrm rot="13139724">
          <a:off x="6175014" y="1146945"/>
          <a:ext cx="582070" cy="36194"/>
        </a:xfrm>
        <a:prstGeom prst="rect">
          <a:avLst/>
        </a:prstGeom>
        <a:solidFill>
          <a:schemeClr val="accent6">
            <a:lumMod val="5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58</xdr:col>
      <xdr:colOff>94777</xdr:colOff>
      <xdr:row>5</xdr:row>
      <xdr:rowOff>37711</xdr:rowOff>
    </xdr:from>
    <xdr:to>
      <xdr:col>59</xdr:col>
      <xdr:colOff>980</xdr:colOff>
      <xdr:row>11</xdr:row>
      <xdr:rowOff>61620</xdr:rowOff>
    </xdr:to>
    <xdr:sp macro="" textlink="">
      <xdr:nvSpPr>
        <xdr:cNvPr id="61" name="Rectangle 60">
          <a:extLst>
            <a:ext uri="{FF2B5EF4-FFF2-40B4-BE49-F238E27FC236}">
              <a16:creationId xmlns="" xmlns:a16="http://schemas.microsoft.com/office/drawing/2014/main" id="{00000000-0008-0000-2300-00003D000000}"/>
            </a:ext>
          </a:extLst>
        </xdr:cNvPr>
        <xdr:cNvSpPr/>
      </xdr:nvSpPr>
      <xdr:spPr>
        <a:xfrm rot="17946705">
          <a:off x="6579826" y="1104082"/>
          <a:ext cx="572545" cy="17144"/>
        </a:xfrm>
        <a:prstGeom prst="rect">
          <a:avLst/>
        </a:prstGeom>
        <a:solidFill>
          <a:schemeClr val="accent6">
            <a:lumMod val="5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16</xdr:col>
      <xdr:colOff>57785</xdr:colOff>
      <xdr:row>7</xdr:row>
      <xdr:rowOff>4445</xdr:rowOff>
    </xdr:from>
    <xdr:to>
      <xdr:col>17</xdr:col>
      <xdr:colOff>94995</xdr:colOff>
      <xdr:row>8</xdr:row>
      <xdr:rowOff>1498</xdr:rowOff>
    </xdr:to>
    <xdr:cxnSp macro="">
      <xdr:nvCxnSpPr>
        <xdr:cNvPr id="62" name="Connecteur droit avec flèche 61">
          <a:extLst>
            <a:ext uri="{FF2B5EF4-FFF2-40B4-BE49-F238E27FC236}">
              <a16:creationId xmlns="" xmlns:a16="http://schemas.microsoft.com/office/drawing/2014/main" id="{00000000-0008-0000-2300-00003E000000}"/>
            </a:ext>
          </a:extLst>
        </xdr:cNvPr>
        <xdr:cNvCxnSpPr/>
      </xdr:nvCxnSpPr>
      <xdr:spPr>
        <a:xfrm rot="10800000" flipV="1">
          <a:off x="2019300" y="990600"/>
          <a:ext cx="142875" cy="66675"/>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47627</xdr:colOff>
      <xdr:row>8</xdr:row>
      <xdr:rowOff>41275</xdr:rowOff>
    </xdr:from>
    <xdr:to>
      <xdr:col>15</xdr:col>
      <xdr:colOff>60020</xdr:colOff>
      <xdr:row>9</xdr:row>
      <xdr:rowOff>3028</xdr:rowOff>
    </xdr:to>
    <xdr:cxnSp macro="">
      <xdr:nvCxnSpPr>
        <xdr:cNvPr id="63" name="Connecteur droit avec flèche 62">
          <a:extLst>
            <a:ext uri="{FF2B5EF4-FFF2-40B4-BE49-F238E27FC236}">
              <a16:creationId xmlns="" xmlns:a16="http://schemas.microsoft.com/office/drawing/2014/main" id="{00000000-0008-0000-2300-00003F000000}"/>
            </a:ext>
          </a:extLst>
        </xdr:cNvPr>
        <xdr:cNvCxnSpPr/>
      </xdr:nvCxnSpPr>
      <xdr:spPr>
        <a:xfrm flipV="1">
          <a:off x="1781177" y="1114425"/>
          <a:ext cx="123823" cy="38099"/>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48176</xdr:colOff>
      <xdr:row>5</xdr:row>
      <xdr:rowOff>36713</xdr:rowOff>
    </xdr:from>
    <xdr:to>
      <xdr:col>18</xdr:col>
      <xdr:colOff>85144</xdr:colOff>
      <xdr:row>7</xdr:row>
      <xdr:rowOff>36381</xdr:rowOff>
    </xdr:to>
    <xdr:sp macro="" textlink="">
      <xdr:nvSpPr>
        <xdr:cNvPr id="64" name="ZoneTexte 63">
          <a:extLst>
            <a:ext uri="{FF2B5EF4-FFF2-40B4-BE49-F238E27FC236}">
              <a16:creationId xmlns="" xmlns:a16="http://schemas.microsoft.com/office/drawing/2014/main" id="{00000000-0008-0000-2300-000040000000}"/>
            </a:ext>
          </a:extLst>
        </xdr:cNvPr>
        <xdr:cNvSpPr txBox="1"/>
      </xdr:nvSpPr>
      <xdr:spPr>
        <a:xfrm rot="19798003">
          <a:off x="1979211" y="845703"/>
          <a:ext cx="304800" cy="1634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t>5</a:t>
          </a:r>
        </a:p>
      </xdr:txBody>
    </xdr:sp>
    <xdr:clientData/>
  </xdr:twoCellAnchor>
  <xdr:twoCellAnchor>
    <xdr:from>
      <xdr:col>35</xdr:col>
      <xdr:colOff>61277</xdr:colOff>
      <xdr:row>9</xdr:row>
      <xdr:rowOff>94615</xdr:rowOff>
    </xdr:from>
    <xdr:to>
      <xdr:col>36</xdr:col>
      <xdr:colOff>58460</xdr:colOff>
      <xdr:row>12</xdr:row>
      <xdr:rowOff>57681</xdr:rowOff>
    </xdr:to>
    <xdr:cxnSp macro="">
      <xdr:nvCxnSpPr>
        <xdr:cNvPr id="65" name="Connecteur droit avec flèche 64">
          <a:extLst>
            <a:ext uri="{FF2B5EF4-FFF2-40B4-BE49-F238E27FC236}">
              <a16:creationId xmlns="" xmlns:a16="http://schemas.microsoft.com/office/drawing/2014/main" id="{00000000-0008-0000-2300-000041000000}"/>
            </a:ext>
          </a:extLst>
        </xdr:cNvPr>
        <xdr:cNvCxnSpPr>
          <a:endCxn id="35" idx="0"/>
        </xdr:cNvCxnSpPr>
      </xdr:nvCxnSpPr>
      <xdr:spPr>
        <a:xfrm rot="5400000">
          <a:off x="4112419" y="1312068"/>
          <a:ext cx="247650" cy="100013"/>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60960</xdr:colOff>
      <xdr:row>6</xdr:row>
      <xdr:rowOff>74929</xdr:rowOff>
    </xdr:from>
    <xdr:to>
      <xdr:col>40</xdr:col>
      <xdr:colOff>114292</xdr:colOff>
      <xdr:row>10</xdr:row>
      <xdr:rowOff>57677</xdr:rowOff>
    </xdr:to>
    <xdr:sp macro="" textlink="">
      <xdr:nvSpPr>
        <xdr:cNvPr id="66" name="ZoneTexte 65">
          <a:extLst>
            <a:ext uri="{FF2B5EF4-FFF2-40B4-BE49-F238E27FC236}">
              <a16:creationId xmlns="" xmlns:a16="http://schemas.microsoft.com/office/drawing/2014/main" id="{00000000-0008-0000-2300-000042000000}"/>
            </a:ext>
          </a:extLst>
        </xdr:cNvPr>
        <xdr:cNvSpPr txBox="1"/>
      </xdr:nvSpPr>
      <xdr:spPr>
        <a:xfrm>
          <a:off x="3810000" y="952499"/>
          <a:ext cx="990600" cy="342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GB" sz="1100"/>
            <a:t>Trou d'homme 45x45cm</a:t>
          </a:r>
        </a:p>
      </xdr:txBody>
    </xdr:sp>
    <xdr:clientData/>
  </xdr:twoCellAnchor>
  <xdr:oneCellAnchor>
    <xdr:from>
      <xdr:col>43</xdr:col>
      <xdr:colOff>28575</xdr:colOff>
      <xdr:row>23</xdr:row>
      <xdr:rowOff>22225</xdr:rowOff>
    </xdr:from>
    <xdr:ext cx="501484" cy="264560"/>
    <xdr:sp macro="" textlink="">
      <xdr:nvSpPr>
        <xdr:cNvPr id="67" name="ZoneTexte 66">
          <a:extLst>
            <a:ext uri="{FF2B5EF4-FFF2-40B4-BE49-F238E27FC236}">
              <a16:creationId xmlns="" xmlns:a16="http://schemas.microsoft.com/office/drawing/2014/main" id="{00000000-0008-0000-2300-000043000000}"/>
            </a:ext>
          </a:extLst>
        </xdr:cNvPr>
        <xdr:cNvSpPr txBox="1"/>
      </xdr:nvSpPr>
      <xdr:spPr>
        <a:xfrm>
          <a:off x="4943475" y="4549775"/>
          <a:ext cx="50148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GB" sz="1100" b="1"/>
            <a:t>10cm</a:t>
          </a:r>
        </a:p>
      </xdr:txBody>
    </xdr:sp>
    <xdr:clientData/>
  </xdr:oneCellAnchor>
  <xdr:oneCellAnchor>
    <xdr:from>
      <xdr:col>18</xdr:col>
      <xdr:colOff>45720</xdr:colOff>
      <xdr:row>23</xdr:row>
      <xdr:rowOff>57150</xdr:rowOff>
    </xdr:from>
    <xdr:ext cx="501484" cy="264560"/>
    <xdr:sp macro="" textlink="">
      <xdr:nvSpPr>
        <xdr:cNvPr id="68" name="ZoneTexte 67">
          <a:extLst>
            <a:ext uri="{FF2B5EF4-FFF2-40B4-BE49-F238E27FC236}">
              <a16:creationId xmlns="" xmlns:a16="http://schemas.microsoft.com/office/drawing/2014/main" id="{00000000-0008-0000-2300-000044000000}"/>
            </a:ext>
          </a:extLst>
        </xdr:cNvPr>
        <xdr:cNvSpPr txBox="1"/>
      </xdr:nvSpPr>
      <xdr:spPr>
        <a:xfrm>
          <a:off x="2103120" y="4584700"/>
          <a:ext cx="50148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GB" sz="1100" b="1"/>
            <a:t>10cm</a:t>
          </a:r>
        </a:p>
      </xdr:txBody>
    </xdr:sp>
    <xdr:clientData/>
  </xdr:oneCellAnchor>
  <xdr:oneCellAnchor>
    <xdr:from>
      <xdr:col>18</xdr:col>
      <xdr:colOff>45720</xdr:colOff>
      <xdr:row>26</xdr:row>
      <xdr:rowOff>0</xdr:rowOff>
    </xdr:from>
    <xdr:ext cx="501484" cy="264560"/>
    <xdr:sp macro="" textlink="">
      <xdr:nvSpPr>
        <xdr:cNvPr id="69" name="ZoneTexte 68">
          <a:extLst>
            <a:ext uri="{FF2B5EF4-FFF2-40B4-BE49-F238E27FC236}">
              <a16:creationId xmlns="" xmlns:a16="http://schemas.microsoft.com/office/drawing/2014/main" id="{00000000-0008-0000-2300-000045000000}"/>
            </a:ext>
          </a:extLst>
        </xdr:cNvPr>
        <xdr:cNvSpPr txBox="1"/>
      </xdr:nvSpPr>
      <xdr:spPr>
        <a:xfrm>
          <a:off x="2103120" y="5118100"/>
          <a:ext cx="50148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GB" sz="1100" b="1"/>
            <a:t>30cm</a:t>
          </a:r>
        </a:p>
      </xdr:txBody>
    </xdr:sp>
    <xdr:clientData/>
  </xdr:oneCellAnchor>
  <xdr:twoCellAnchor>
    <xdr:from>
      <xdr:col>41</xdr:col>
      <xdr:colOff>0</xdr:colOff>
      <xdr:row>19</xdr:row>
      <xdr:rowOff>2</xdr:rowOff>
    </xdr:from>
    <xdr:to>
      <xdr:col>42</xdr:col>
      <xdr:colOff>3334</xdr:colOff>
      <xdr:row>19</xdr:row>
      <xdr:rowOff>2383</xdr:rowOff>
    </xdr:to>
    <xdr:cxnSp macro="">
      <xdr:nvCxnSpPr>
        <xdr:cNvPr id="70" name="Connecteur droit avec flèche 69">
          <a:extLst>
            <a:ext uri="{FF2B5EF4-FFF2-40B4-BE49-F238E27FC236}">
              <a16:creationId xmlns="" xmlns:a16="http://schemas.microsoft.com/office/drawing/2014/main" id="{00000000-0008-0000-2300-000046000000}"/>
            </a:ext>
          </a:extLst>
        </xdr:cNvPr>
        <xdr:cNvCxnSpPr/>
      </xdr:nvCxnSpPr>
      <xdr:spPr>
        <a:xfrm flipV="1">
          <a:off x="4800600" y="2724152"/>
          <a:ext cx="123825" cy="9523"/>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0</xdr:colOff>
      <xdr:row>19</xdr:row>
      <xdr:rowOff>3174</xdr:rowOff>
    </xdr:from>
    <xdr:to>
      <xdr:col>44</xdr:col>
      <xdr:colOff>58614</xdr:colOff>
      <xdr:row>19</xdr:row>
      <xdr:rowOff>22233</xdr:rowOff>
    </xdr:to>
    <xdr:cxnSp macro="">
      <xdr:nvCxnSpPr>
        <xdr:cNvPr id="71" name="Connecteur droit avec flèche 70">
          <a:extLst>
            <a:ext uri="{FF2B5EF4-FFF2-40B4-BE49-F238E27FC236}">
              <a16:creationId xmlns="" xmlns:a16="http://schemas.microsoft.com/office/drawing/2014/main" id="{00000000-0008-0000-2300-000047000000}"/>
            </a:ext>
          </a:extLst>
        </xdr:cNvPr>
        <xdr:cNvCxnSpPr/>
      </xdr:nvCxnSpPr>
      <xdr:spPr>
        <a:xfrm rot="10800000" flipV="1">
          <a:off x="5029200" y="2733674"/>
          <a:ext cx="171450" cy="3"/>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0</xdr:colOff>
      <xdr:row>17</xdr:row>
      <xdr:rowOff>36830</xdr:rowOff>
    </xdr:from>
    <xdr:to>
      <xdr:col>45</xdr:col>
      <xdr:colOff>94455</xdr:colOff>
      <xdr:row>19</xdr:row>
      <xdr:rowOff>21221</xdr:rowOff>
    </xdr:to>
    <xdr:sp macro="" textlink="">
      <xdr:nvSpPr>
        <xdr:cNvPr id="72" name="ZoneTexte 71">
          <a:extLst>
            <a:ext uri="{FF2B5EF4-FFF2-40B4-BE49-F238E27FC236}">
              <a16:creationId xmlns="" xmlns:a16="http://schemas.microsoft.com/office/drawing/2014/main" id="{00000000-0008-0000-2300-000048000000}"/>
            </a:ext>
          </a:extLst>
        </xdr:cNvPr>
        <xdr:cNvSpPr txBox="1"/>
      </xdr:nvSpPr>
      <xdr:spPr>
        <a:xfrm>
          <a:off x="5029200" y="2381250"/>
          <a:ext cx="323850" cy="3730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t>5</a:t>
          </a:r>
        </a:p>
      </xdr:txBody>
    </xdr:sp>
    <xdr:clientData/>
  </xdr:twoCellAnchor>
  <xdr:twoCellAnchor>
    <xdr:from>
      <xdr:col>16</xdr:col>
      <xdr:colOff>57785</xdr:colOff>
      <xdr:row>26</xdr:row>
      <xdr:rowOff>4</xdr:rowOff>
    </xdr:from>
    <xdr:to>
      <xdr:col>49</xdr:col>
      <xdr:colOff>1373</xdr:colOff>
      <xdr:row>26</xdr:row>
      <xdr:rowOff>59604</xdr:rowOff>
    </xdr:to>
    <xdr:sp macro="" textlink="">
      <xdr:nvSpPr>
        <xdr:cNvPr id="73" name="Rectangle 72">
          <a:extLst>
            <a:ext uri="{FF2B5EF4-FFF2-40B4-BE49-F238E27FC236}">
              <a16:creationId xmlns="" xmlns:a16="http://schemas.microsoft.com/office/drawing/2014/main" id="{00000000-0008-0000-2300-000049000000}"/>
            </a:ext>
          </a:extLst>
        </xdr:cNvPr>
        <xdr:cNvSpPr/>
      </xdr:nvSpPr>
      <xdr:spPr>
        <a:xfrm rot="5400000">
          <a:off x="3830956" y="2103123"/>
          <a:ext cx="76197" cy="3699510"/>
        </a:xfrm>
        <a:prstGeom prst="rect">
          <a:avLst/>
        </a:prstGeom>
        <a:solidFill>
          <a:schemeClr val="tx1">
            <a:lumMod val="50000"/>
            <a:lumOff val="50000"/>
          </a:schemeClr>
        </a:solid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11</xdr:col>
      <xdr:colOff>57785</xdr:colOff>
      <xdr:row>25</xdr:row>
      <xdr:rowOff>35560</xdr:rowOff>
    </xdr:from>
    <xdr:to>
      <xdr:col>17</xdr:col>
      <xdr:colOff>94641</xdr:colOff>
      <xdr:row>34</xdr:row>
      <xdr:rowOff>57927</xdr:rowOff>
    </xdr:to>
    <xdr:sp macro="" textlink="">
      <xdr:nvSpPr>
        <xdr:cNvPr id="74" name="Trapèze 73">
          <a:extLst>
            <a:ext uri="{FF2B5EF4-FFF2-40B4-BE49-F238E27FC236}">
              <a16:creationId xmlns="" xmlns:a16="http://schemas.microsoft.com/office/drawing/2014/main" id="{00000000-0008-0000-2300-00004A000000}"/>
            </a:ext>
          </a:extLst>
        </xdr:cNvPr>
        <xdr:cNvSpPr/>
      </xdr:nvSpPr>
      <xdr:spPr>
        <a:xfrm rot="10800000">
          <a:off x="1428750" y="3886200"/>
          <a:ext cx="723900" cy="847725"/>
        </a:xfrm>
        <a:prstGeom prst="trapezoid">
          <a:avLst/>
        </a:prstGeom>
        <a:blipFill>
          <a:blip xmlns:r="http://schemas.openxmlformats.org/officeDocument/2006/relationships" r:embed="rId3"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12</xdr:col>
      <xdr:colOff>60960</xdr:colOff>
      <xdr:row>27</xdr:row>
      <xdr:rowOff>3174</xdr:rowOff>
    </xdr:from>
    <xdr:to>
      <xdr:col>17</xdr:col>
      <xdr:colOff>47628</xdr:colOff>
      <xdr:row>32</xdr:row>
      <xdr:rowOff>57801</xdr:rowOff>
    </xdr:to>
    <xdr:sp macro="" textlink="">
      <xdr:nvSpPr>
        <xdr:cNvPr id="75" name="ZoneTexte 74">
          <a:extLst>
            <a:ext uri="{FF2B5EF4-FFF2-40B4-BE49-F238E27FC236}">
              <a16:creationId xmlns="" xmlns:a16="http://schemas.microsoft.com/office/drawing/2014/main" id="{00000000-0008-0000-2300-00004B000000}"/>
            </a:ext>
          </a:extLst>
        </xdr:cNvPr>
        <xdr:cNvSpPr txBox="1"/>
      </xdr:nvSpPr>
      <xdr:spPr>
        <a:xfrm>
          <a:off x="1524000" y="4019549"/>
          <a:ext cx="600075" cy="52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000" b="1"/>
            <a:t>PUITS PERDU</a:t>
          </a:r>
        </a:p>
      </xdr:txBody>
    </xdr:sp>
    <xdr:clientData/>
  </xdr:twoCellAnchor>
  <xdr:twoCellAnchor>
    <xdr:from>
      <xdr:col>48</xdr:col>
      <xdr:colOff>61595</xdr:colOff>
      <xdr:row>19</xdr:row>
      <xdr:rowOff>18415</xdr:rowOff>
    </xdr:from>
    <xdr:to>
      <xdr:col>49</xdr:col>
      <xdr:colOff>22882</xdr:colOff>
      <xdr:row>21</xdr:row>
      <xdr:rowOff>37337</xdr:rowOff>
    </xdr:to>
    <xdr:sp macro="" textlink="">
      <xdr:nvSpPr>
        <xdr:cNvPr id="76" name="Organigramme : Joindre 75">
          <a:extLst>
            <a:ext uri="{FF2B5EF4-FFF2-40B4-BE49-F238E27FC236}">
              <a16:creationId xmlns="" xmlns:a16="http://schemas.microsoft.com/office/drawing/2014/main" id="{00000000-0008-0000-2300-00004C000000}"/>
            </a:ext>
          </a:extLst>
        </xdr:cNvPr>
        <xdr:cNvSpPr/>
      </xdr:nvSpPr>
      <xdr:spPr>
        <a:xfrm>
          <a:off x="5619750" y="2733675"/>
          <a:ext cx="123825" cy="447675"/>
        </a:xfrm>
        <a:prstGeom prst="flowChartCollate">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solidFill>
              <a:schemeClr val="tx1"/>
            </a:solidFill>
          </a:endParaRPr>
        </a:p>
      </xdr:txBody>
    </xdr:sp>
    <xdr:clientData/>
  </xdr:twoCellAnchor>
  <xdr:twoCellAnchor>
    <xdr:from>
      <xdr:col>44</xdr:col>
      <xdr:colOff>57786</xdr:colOff>
      <xdr:row>19</xdr:row>
      <xdr:rowOff>3809</xdr:rowOff>
    </xdr:from>
    <xdr:to>
      <xdr:col>49</xdr:col>
      <xdr:colOff>94677</xdr:colOff>
      <xdr:row>22</xdr:row>
      <xdr:rowOff>3362</xdr:rowOff>
    </xdr:to>
    <xdr:sp macro="" textlink="">
      <xdr:nvSpPr>
        <xdr:cNvPr id="77" name="ZoneTexte 76">
          <a:extLst>
            <a:ext uri="{FF2B5EF4-FFF2-40B4-BE49-F238E27FC236}">
              <a16:creationId xmlns="" xmlns:a16="http://schemas.microsoft.com/office/drawing/2014/main" id="{00000000-0008-0000-2300-00004D000000}"/>
            </a:ext>
          </a:extLst>
        </xdr:cNvPr>
        <xdr:cNvSpPr txBox="1"/>
      </xdr:nvSpPr>
      <xdr:spPr>
        <a:xfrm>
          <a:off x="5219701" y="2752724"/>
          <a:ext cx="590550" cy="590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800" b="1"/>
            <a:t>Vannne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90</xdr:col>
      <xdr:colOff>0</xdr:colOff>
      <xdr:row>89</xdr:row>
      <xdr:rowOff>323850</xdr:rowOff>
    </xdr:from>
    <xdr:to>
      <xdr:col>90</xdr:col>
      <xdr:colOff>82550</xdr:colOff>
      <xdr:row>120</xdr:row>
      <xdr:rowOff>50800</xdr:rowOff>
    </xdr:to>
    <xdr:sp macro="" textlink="">
      <xdr:nvSpPr>
        <xdr:cNvPr id="886947" name="Rectangle 343">
          <a:extLst>
            <a:ext uri="{FF2B5EF4-FFF2-40B4-BE49-F238E27FC236}">
              <a16:creationId xmlns="" xmlns:a16="http://schemas.microsoft.com/office/drawing/2014/main" id="{00000000-0008-0000-2400-0000A3880D00}"/>
            </a:ext>
          </a:extLst>
        </xdr:cNvPr>
        <xdr:cNvSpPr>
          <a:spLocks noChangeArrowheads="1"/>
        </xdr:cNvSpPr>
      </xdr:nvSpPr>
      <xdr:spPr bwMode="auto">
        <a:xfrm>
          <a:off x="12573000" y="8782050"/>
          <a:ext cx="82550" cy="290830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89</xdr:col>
      <xdr:colOff>57150</xdr:colOff>
      <xdr:row>87</xdr:row>
      <xdr:rowOff>38100</xdr:rowOff>
    </xdr:from>
    <xdr:to>
      <xdr:col>91</xdr:col>
      <xdr:colOff>19050</xdr:colOff>
      <xdr:row>89</xdr:row>
      <xdr:rowOff>76200</xdr:rowOff>
    </xdr:to>
    <xdr:sp macro="" textlink="">
      <xdr:nvSpPr>
        <xdr:cNvPr id="886948" name="Rectangle 354" descr="Outlined diamond">
          <a:extLst>
            <a:ext uri="{FF2B5EF4-FFF2-40B4-BE49-F238E27FC236}">
              <a16:creationId xmlns="" xmlns:a16="http://schemas.microsoft.com/office/drawing/2014/main" id="{00000000-0008-0000-2400-0000A4880D00}"/>
            </a:ext>
          </a:extLst>
        </xdr:cNvPr>
        <xdr:cNvSpPr>
          <a:spLocks noChangeArrowheads="1"/>
        </xdr:cNvSpPr>
      </xdr:nvSpPr>
      <xdr:spPr bwMode="auto">
        <a:xfrm flipV="1">
          <a:off x="12490450" y="8534400"/>
          <a:ext cx="241300" cy="2286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74</xdr:col>
      <xdr:colOff>25400</xdr:colOff>
      <xdr:row>89</xdr:row>
      <xdr:rowOff>50800</xdr:rowOff>
    </xdr:from>
    <xdr:to>
      <xdr:col>75</xdr:col>
      <xdr:colOff>38100</xdr:colOff>
      <xdr:row>120</xdr:row>
      <xdr:rowOff>57150</xdr:rowOff>
    </xdr:to>
    <xdr:sp macro="" textlink="">
      <xdr:nvSpPr>
        <xdr:cNvPr id="886949" name="Rectangle 343">
          <a:extLst>
            <a:ext uri="{FF2B5EF4-FFF2-40B4-BE49-F238E27FC236}">
              <a16:creationId xmlns="" xmlns:a16="http://schemas.microsoft.com/office/drawing/2014/main" id="{00000000-0008-0000-2400-0000A5880D00}"/>
            </a:ext>
          </a:extLst>
        </xdr:cNvPr>
        <xdr:cNvSpPr>
          <a:spLocks noChangeArrowheads="1"/>
        </xdr:cNvSpPr>
      </xdr:nvSpPr>
      <xdr:spPr bwMode="auto">
        <a:xfrm>
          <a:off x="10363200" y="8737600"/>
          <a:ext cx="152400" cy="295910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74</xdr:col>
      <xdr:colOff>19050</xdr:colOff>
      <xdr:row>89</xdr:row>
      <xdr:rowOff>273050</xdr:rowOff>
    </xdr:from>
    <xdr:to>
      <xdr:col>75</xdr:col>
      <xdr:colOff>57150</xdr:colOff>
      <xdr:row>89</xdr:row>
      <xdr:rowOff>438150</xdr:rowOff>
    </xdr:to>
    <xdr:sp macro="" textlink="">
      <xdr:nvSpPr>
        <xdr:cNvPr id="886950" name="Rectangle 354" descr="Outlined diamond">
          <a:extLst>
            <a:ext uri="{FF2B5EF4-FFF2-40B4-BE49-F238E27FC236}">
              <a16:creationId xmlns="" xmlns:a16="http://schemas.microsoft.com/office/drawing/2014/main" id="{00000000-0008-0000-2400-0000A6880D00}"/>
            </a:ext>
          </a:extLst>
        </xdr:cNvPr>
        <xdr:cNvSpPr>
          <a:spLocks noChangeArrowheads="1"/>
        </xdr:cNvSpPr>
      </xdr:nvSpPr>
      <xdr:spPr bwMode="auto">
        <a:xfrm>
          <a:off x="10356850" y="8782050"/>
          <a:ext cx="177800" cy="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41</xdr:col>
      <xdr:colOff>63500</xdr:colOff>
      <xdr:row>13</xdr:row>
      <xdr:rowOff>19050</xdr:rowOff>
    </xdr:from>
    <xdr:to>
      <xdr:col>43</xdr:col>
      <xdr:colOff>19050</xdr:colOff>
      <xdr:row>37</xdr:row>
      <xdr:rowOff>50800</xdr:rowOff>
    </xdr:to>
    <xdr:sp macro="" textlink="">
      <xdr:nvSpPr>
        <xdr:cNvPr id="886951" name="Rectangle 452">
          <a:extLst>
            <a:ext uri="{FF2B5EF4-FFF2-40B4-BE49-F238E27FC236}">
              <a16:creationId xmlns="" xmlns:a16="http://schemas.microsoft.com/office/drawing/2014/main" id="{00000000-0008-0000-2400-0000A7880D00}"/>
            </a:ext>
          </a:extLst>
        </xdr:cNvPr>
        <xdr:cNvSpPr>
          <a:spLocks noChangeArrowheads="1"/>
        </xdr:cNvSpPr>
      </xdr:nvSpPr>
      <xdr:spPr bwMode="auto">
        <a:xfrm>
          <a:off x="5791200" y="1466850"/>
          <a:ext cx="234950" cy="2317750"/>
        </a:xfrm>
        <a:prstGeom prst="rect">
          <a:avLst/>
        </a:prstGeom>
        <a:solidFill>
          <a:srgbClr val="FFFFFF"/>
        </a:solidFill>
        <a:ln w="9525">
          <a:solidFill>
            <a:srgbClr val="000000"/>
          </a:solidFill>
          <a:miter lim="800000"/>
          <a:headEnd/>
          <a:tailEnd/>
        </a:ln>
      </xdr:spPr>
    </xdr:sp>
    <xdr:clientData/>
  </xdr:twoCellAnchor>
  <xdr:twoCellAnchor>
    <xdr:from>
      <xdr:col>6</xdr:col>
      <xdr:colOff>19050</xdr:colOff>
      <xdr:row>13</xdr:row>
      <xdr:rowOff>19050</xdr:rowOff>
    </xdr:from>
    <xdr:to>
      <xdr:col>7</xdr:col>
      <xdr:colOff>82550</xdr:colOff>
      <xdr:row>37</xdr:row>
      <xdr:rowOff>50800</xdr:rowOff>
    </xdr:to>
    <xdr:sp macro="" textlink="">
      <xdr:nvSpPr>
        <xdr:cNvPr id="886952" name="Rectangle 451">
          <a:extLst>
            <a:ext uri="{FF2B5EF4-FFF2-40B4-BE49-F238E27FC236}">
              <a16:creationId xmlns="" xmlns:a16="http://schemas.microsoft.com/office/drawing/2014/main" id="{00000000-0008-0000-2400-0000A8880D00}"/>
            </a:ext>
          </a:extLst>
        </xdr:cNvPr>
        <xdr:cNvSpPr>
          <a:spLocks noChangeArrowheads="1"/>
        </xdr:cNvSpPr>
      </xdr:nvSpPr>
      <xdr:spPr bwMode="auto">
        <a:xfrm>
          <a:off x="857250" y="1466850"/>
          <a:ext cx="203200" cy="2317750"/>
        </a:xfrm>
        <a:prstGeom prst="rect">
          <a:avLst/>
        </a:prstGeom>
        <a:solidFill>
          <a:srgbClr val="FFFFFF"/>
        </a:solidFill>
        <a:ln w="12700">
          <a:solidFill>
            <a:srgbClr val="000000"/>
          </a:solidFill>
          <a:miter lim="800000"/>
          <a:headEnd/>
          <a:tailEnd/>
        </a:ln>
      </xdr:spPr>
    </xdr:sp>
    <xdr:clientData/>
  </xdr:twoCellAnchor>
  <xdr:twoCellAnchor>
    <xdr:from>
      <xdr:col>7</xdr:col>
      <xdr:colOff>82550</xdr:colOff>
      <xdr:row>13</xdr:row>
      <xdr:rowOff>19050</xdr:rowOff>
    </xdr:from>
    <xdr:to>
      <xdr:col>41</xdr:col>
      <xdr:colOff>82550</xdr:colOff>
      <xdr:row>15</xdr:row>
      <xdr:rowOff>0</xdr:rowOff>
    </xdr:to>
    <xdr:sp macro="" textlink="">
      <xdr:nvSpPr>
        <xdr:cNvPr id="886953" name="Rectangle 448">
          <a:extLst>
            <a:ext uri="{FF2B5EF4-FFF2-40B4-BE49-F238E27FC236}">
              <a16:creationId xmlns="" xmlns:a16="http://schemas.microsoft.com/office/drawing/2014/main" id="{00000000-0008-0000-2400-0000A9880D00}"/>
            </a:ext>
          </a:extLst>
        </xdr:cNvPr>
        <xdr:cNvSpPr>
          <a:spLocks noChangeArrowheads="1"/>
        </xdr:cNvSpPr>
      </xdr:nvSpPr>
      <xdr:spPr bwMode="auto">
        <a:xfrm>
          <a:off x="1060450" y="1466850"/>
          <a:ext cx="4749800" cy="171450"/>
        </a:xfrm>
        <a:prstGeom prst="rect">
          <a:avLst/>
        </a:prstGeom>
        <a:solidFill>
          <a:srgbClr val="FFFFFF"/>
        </a:solidFill>
        <a:ln w="9525">
          <a:solidFill>
            <a:srgbClr val="000000"/>
          </a:solidFill>
          <a:miter lim="800000"/>
          <a:headEnd/>
          <a:tailEnd/>
        </a:ln>
      </xdr:spPr>
    </xdr:sp>
    <xdr:clientData/>
  </xdr:twoCellAnchor>
  <xdr:twoCellAnchor>
    <xdr:from>
      <xdr:col>14</xdr:col>
      <xdr:colOff>0</xdr:colOff>
      <xdr:row>58</xdr:row>
      <xdr:rowOff>12700</xdr:rowOff>
    </xdr:from>
    <xdr:to>
      <xdr:col>48</xdr:col>
      <xdr:colOff>6350</xdr:colOff>
      <xdr:row>58</xdr:row>
      <xdr:rowOff>12700</xdr:rowOff>
    </xdr:to>
    <xdr:sp macro="" textlink="">
      <xdr:nvSpPr>
        <xdr:cNvPr id="886954" name="Line 44">
          <a:extLst>
            <a:ext uri="{FF2B5EF4-FFF2-40B4-BE49-F238E27FC236}">
              <a16:creationId xmlns="" xmlns:a16="http://schemas.microsoft.com/office/drawing/2014/main" id="{00000000-0008-0000-2400-0000AA880D00}"/>
            </a:ext>
          </a:extLst>
        </xdr:cNvPr>
        <xdr:cNvSpPr>
          <a:spLocks noChangeShapeType="1"/>
        </xdr:cNvSpPr>
      </xdr:nvSpPr>
      <xdr:spPr bwMode="auto">
        <a:xfrm>
          <a:off x="1955800" y="5746750"/>
          <a:ext cx="47561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65</xdr:col>
      <xdr:colOff>36830</xdr:colOff>
      <xdr:row>5</xdr:row>
      <xdr:rowOff>0</xdr:rowOff>
    </xdr:from>
    <xdr:to>
      <xdr:col>76</xdr:col>
      <xdr:colOff>61775</xdr:colOff>
      <xdr:row>5</xdr:row>
      <xdr:rowOff>0</xdr:rowOff>
    </xdr:to>
    <xdr:sp macro="" textlink="">
      <xdr:nvSpPr>
        <xdr:cNvPr id="375" name="Text Box 143">
          <a:extLst>
            <a:ext uri="{FF2B5EF4-FFF2-40B4-BE49-F238E27FC236}">
              <a16:creationId xmlns="" xmlns:a16="http://schemas.microsoft.com/office/drawing/2014/main" id="{00000000-0008-0000-2400-000077010000}"/>
            </a:ext>
          </a:extLst>
        </xdr:cNvPr>
        <xdr:cNvSpPr txBox="1">
          <a:spLocks noChangeArrowheads="1"/>
        </xdr:cNvSpPr>
      </xdr:nvSpPr>
      <xdr:spPr bwMode="auto">
        <a:xfrm>
          <a:off x="9344025" y="590550"/>
          <a:ext cx="1533525" cy="0"/>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fr-FR" sz="800" b="1" i="0" strike="noStrike">
              <a:solidFill>
                <a:srgbClr val="000000"/>
              </a:solidFill>
              <a:latin typeface="Arial"/>
              <a:cs typeface="Arial"/>
            </a:rPr>
            <a:t>Plastic Sheeting/paille</a:t>
          </a:r>
        </a:p>
      </xdr:txBody>
    </xdr:sp>
    <xdr:clientData/>
  </xdr:twoCellAnchor>
  <xdr:twoCellAnchor>
    <xdr:from>
      <xdr:col>69</xdr:col>
      <xdr:colOff>55880</xdr:colOff>
      <xdr:row>5</xdr:row>
      <xdr:rowOff>0</xdr:rowOff>
    </xdr:from>
    <xdr:to>
      <xdr:col>80</xdr:col>
      <xdr:colOff>682</xdr:colOff>
      <xdr:row>5</xdr:row>
      <xdr:rowOff>0</xdr:rowOff>
    </xdr:to>
    <xdr:sp macro="" textlink="">
      <xdr:nvSpPr>
        <xdr:cNvPr id="376" name="Text Box 167">
          <a:extLst>
            <a:ext uri="{FF2B5EF4-FFF2-40B4-BE49-F238E27FC236}">
              <a16:creationId xmlns="" xmlns:a16="http://schemas.microsoft.com/office/drawing/2014/main" id="{00000000-0008-0000-2400-000078010000}"/>
            </a:ext>
          </a:extLst>
        </xdr:cNvPr>
        <xdr:cNvSpPr txBox="1">
          <a:spLocks noChangeArrowheads="1"/>
        </xdr:cNvSpPr>
      </xdr:nvSpPr>
      <xdr:spPr bwMode="auto">
        <a:xfrm>
          <a:off x="9906000" y="590550"/>
          <a:ext cx="1533525" cy="0"/>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fr-FR" sz="800" b="1" i="0" strike="noStrike">
              <a:solidFill>
                <a:srgbClr val="000000"/>
              </a:solidFill>
              <a:latin typeface="Arial"/>
              <a:cs typeface="Arial"/>
            </a:rPr>
            <a:t>Plastic Sheeting/paille</a:t>
          </a:r>
        </a:p>
      </xdr:txBody>
    </xdr:sp>
    <xdr:clientData/>
  </xdr:twoCellAnchor>
  <xdr:twoCellAnchor>
    <xdr:from>
      <xdr:col>27</xdr:col>
      <xdr:colOff>76200</xdr:colOff>
      <xdr:row>58</xdr:row>
      <xdr:rowOff>60960</xdr:rowOff>
    </xdr:from>
    <xdr:to>
      <xdr:col>32</xdr:col>
      <xdr:colOff>61070</xdr:colOff>
      <xdr:row>60</xdr:row>
      <xdr:rowOff>57663</xdr:rowOff>
    </xdr:to>
    <xdr:sp macro="" textlink="">
      <xdr:nvSpPr>
        <xdr:cNvPr id="377" name="Text Box 171">
          <a:extLst>
            <a:ext uri="{FF2B5EF4-FFF2-40B4-BE49-F238E27FC236}">
              <a16:creationId xmlns="" xmlns:a16="http://schemas.microsoft.com/office/drawing/2014/main" id="{00000000-0008-0000-2400-000079010000}"/>
            </a:ext>
          </a:extLst>
        </xdr:cNvPr>
        <xdr:cNvSpPr txBox="1">
          <a:spLocks noChangeArrowheads="1"/>
        </xdr:cNvSpPr>
      </xdr:nvSpPr>
      <xdr:spPr bwMode="auto">
        <a:xfrm>
          <a:off x="3943350" y="5686425"/>
          <a:ext cx="666750" cy="200025"/>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3.60 m</a:t>
          </a:r>
        </a:p>
      </xdr:txBody>
    </xdr:sp>
    <xdr:clientData/>
  </xdr:twoCellAnchor>
  <xdr:twoCellAnchor>
    <xdr:from>
      <xdr:col>105</xdr:col>
      <xdr:colOff>82550</xdr:colOff>
      <xdr:row>5</xdr:row>
      <xdr:rowOff>0</xdr:rowOff>
    </xdr:from>
    <xdr:to>
      <xdr:col>105</xdr:col>
      <xdr:colOff>82550</xdr:colOff>
      <xdr:row>5</xdr:row>
      <xdr:rowOff>0</xdr:rowOff>
    </xdr:to>
    <xdr:sp macro="" textlink="">
      <xdr:nvSpPr>
        <xdr:cNvPr id="886958" name="Line 238">
          <a:extLst>
            <a:ext uri="{FF2B5EF4-FFF2-40B4-BE49-F238E27FC236}">
              <a16:creationId xmlns="" xmlns:a16="http://schemas.microsoft.com/office/drawing/2014/main" id="{00000000-0008-0000-2400-0000AE880D00}"/>
            </a:ext>
          </a:extLst>
        </xdr:cNvPr>
        <xdr:cNvSpPr>
          <a:spLocks noChangeShapeType="1"/>
        </xdr:cNvSpPr>
      </xdr:nvSpPr>
      <xdr:spPr bwMode="auto">
        <a:xfrm>
          <a:off x="14751050" y="685800"/>
          <a:ext cx="0"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64</xdr:row>
      <xdr:rowOff>12700</xdr:rowOff>
    </xdr:from>
    <xdr:to>
      <xdr:col>47</xdr:col>
      <xdr:colOff>76200</xdr:colOff>
      <xdr:row>82</xdr:row>
      <xdr:rowOff>57150</xdr:rowOff>
    </xdr:to>
    <xdr:sp macro="" textlink="">
      <xdr:nvSpPr>
        <xdr:cNvPr id="886959" name="Rectangle 259" descr="Cork">
          <a:extLst>
            <a:ext uri="{FF2B5EF4-FFF2-40B4-BE49-F238E27FC236}">
              <a16:creationId xmlns="" xmlns:a16="http://schemas.microsoft.com/office/drawing/2014/main" id="{00000000-0008-0000-2400-0000AF880D00}"/>
            </a:ext>
          </a:extLst>
        </xdr:cNvPr>
        <xdr:cNvSpPr>
          <a:spLocks noChangeArrowheads="1"/>
        </xdr:cNvSpPr>
      </xdr:nvSpPr>
      <xdr:spPr bwMode="auto">
        <a:xfrm>
          <a:off x="1955800" y="6318250"/>
          <a:ext cx="4686300" cy="1758950"/>
        </a:xfrm>
        <a:prstGeom prst="rect">
          <a:avLst/>
        </a:prstGeom>
        <a:blipFill dpi="0" rotWithShape="0">
          <a:blip xmlns:r="http://schemas.openxmlformats.org/officeDocument/2006/relationships" r:embed="rId2"/>
          <a:srcRect/>
          <a:tile tx="0" ty="0" sx="100000" sy="100000" flip="none" algn="tl"/>
        </a:blipFill>
        <a:ln w="9525">
          <a:solidFill>
            <a:srgbClr val="000000"/>
          </a:solidFill>
          <a:miter lim="800000"/>
          <a:headEnd/>
          <a:tailEnd/>
        </a:ln>
      </xdr:spPr>
    </xdr:sp>
    <xdr:clientData/>
  </xdr:twoCellAnchor>
  <xdr:twoCellAnchor>
    <xdr:from>
      <xdr:col>12</xdr:col>
      <xdr:colOff>6350</xdr:colOff>
      <xdr:row>61</xdr:row>
      <xdr:rowOff>57150</xdr:rowOff>
    </xdr:from>
    <xdr:to>
      <xdr:col>12</xdr:col>
      <xdr:colOff>6350</xdr:colOff>
      <xdr:row>85</xdr:row>
      <xdr:rowOff>12700</xdr:rowOff>
    </xdr:to>
    <xdr:sp macro="" textlink="">
      <xdr:nvSpPr>
        <xdr:cNvPr id="886960" name="Line 260">
          <a:extLst>
            <a:ext uri="{FF2B5EF4-FFF2-40B4-BE49-F238E27FC236}">
              <a16:creationId xmlns="" xmlns:a16="http://schemas.microsoft.com/office/drawing/2014/main" id="{00000000-0008-0000-2400-0000B0880D00}"/>
            </a:ext>
          </a:extLst>
        </xdr:cNvPr>
        <xdr:cNvSpPr>
          <a:spLocks noChangeShapeType="1"/>
        </xdr:cNvSpPr>
      </xdr:nvSpPr>
      <xdr:spPr bwMode="auto">
        <a:xfrm flipH="1">
          <a:off x="1682750" y="6076950"/>
          <a:ext cx="0" cy="22415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35560</xdr:colOff>
      <xdr:row>71</xdr:row>
      <xdr:rowOff>60960</xdr:rowOff>
    </xdr:from>
    <xdr:to>
      <xdr:col>11</xdr:col>
      <xdr:colOff>39537</xdr:colOff>
      <xdr:row>73</xdr:row>
      <xdr:rowOff>58759</xdr:rowOff>
    </xdr:to>
    <xdr:sp macro="" textlink="">
      <xdr:nvSpPr>
        <xdr:cNvPr id="381" name="Text Box 261">
          <a:extLst>
            <a:ext uri="{FF2B5EF4-FFF2-40B4-BE49-F238E27FC236}">
              <a16:creationId xmlns="" xmlns:a16="http://schemas.microsoft.com/office/drawing/2014/main" id="{00000000-0008-0000-2400-00007D010000}"/>
            </a:ext>
          </a:extLst>
        </xdr:cNvPr>
        <xdr:cNvSpPr txBox="1">
          <a:spLocks noChangeArrowheads="1"/>
        </xdr:cNvSpPr>
      </xdr:nvSpPr>
      <xdr:spPr bwMode="auto">
        <a:xfrm>
          <a:off x="1066800" y="6924675"/>
          <a:ext cx="552450" cy="2190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2.85m</a:t>
          </a:r>
        </a:p>
      </xdr:txBody>
    </xdr:sp>
    <xdr:clientData/>
  </xdr:twoCellAnchor>
  <xdr:twoCellAnchor>
    <xdr:from>
      <xdr:col>14</xdr:col>
      <xdr:colOff>0</xdr:colOff>
      <xdr:row>63</xdr:row>
      <xdr:rowOff>63500</xdr:rowOff>
    </xdr:from>
    <xdr:to>
      <xdr:col>15</xdr:col>
      <xdr:colOff>76200</xdr:colOff>
      <xdr:row>83</xdr:row>
      <xdr:rowOff>0</xdr:rowOff>
    </xdr:to>
    <xdr:sp macro="" textlink="">
      <xdr:nvSpPr>
        <xdr:cNvPr id="886962" name="Rectangle 262" descr="Horizontal brick">
          <a:extLst>
            <a:ext uri="{FF2B5EF4-FFF2-40B4-BE49-F238E27FC236}">
              <a16:creationId xmlns="" xmlns:a16="http://schemas.microsoft.com/office/drawing/2014/main" id="{00000000-0008-0000-2400-0000B2880D00}"/>
            </a:ext>
          </a:extLst>
        </xdr:cNvPr>
        <xdr:cNvSpPr>
          <a:spLocks noChangeArrowheads="1"/>
        </xdr:cNvSpPr>
      </xdr:nvSpPr>
      <xdr:spPr bwMode="auto">
        <a:xfrm>
          <a:off x="1955800" y="6273800"/>
          <a:ext cx="215900" cy="184150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36</xdr:col>
      <xdr:colOff>25400</xdr:colOff>
      <xdr:row>63</xdr:row>
      <xdr:rowOff>63500</xdr:rowOff>
    </xdr:from>
    <xdr:to>
      <xdr:col>38</xdr:col>
      <xdr:colOff>19050</xdr:colOff>
      <xdr:row>83</xdr:row>
      <xdr:rowOff>31750</xdr:rowOff>
    </xdr:to>
    <xdr:sp macro="" textlink="">
      <xdr:nvSpPr>
        <xdr:cNvPr id="886963" name="Rectangle 263" descr="Horizontal brick">
          <a:extLst>
            <a:ext uri="{FF2B5EF4-FFF2-40B4-BE49-F238E27FC236}">
              <a16:creationId xmlns="" xmlns:a16="http://schemas.microsoft.com/office/drawing/2014/main" id="{00000000-0008-0000-2400-0000B3880D00}"/>
            </a:ext>
          </a:extLst>
        </xdr:cNvPr>
        <xdr:cNvSpPr>
          <a:spLocks noChangeArrowheads="1"/>
        </xdr:cNvSpPr>
      </xdr:nvSpPr>
      <xdr:spPr bwMode="auto">
        <a:xfrm>
          <a:off x="5054600" y="6273800"/>
          <a:ext cx="273050" cy="187325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21</xdr:col>
      <xdr:colOff>82550</xdr:colOff>
      <xdr:row>64</xdr:row>
      <xdr:rowOff>0</xdr:rowOff>
    </xdr:from>
    <xdr:to>
      <xdr:col>23</xdr:col>
      <xdr:colOff>63500</xdr:colOff>
      <xdr:row>83</xdr:row>
      <xdr:rowOff>12700</xdr:rowOff>
    </xdr:to>
    <xdr:sp macro="" textlink="">
      <xdr:nvSpPr>
        <xdr:cNvPr id="886964" name="Rectangle 264" descr="Horizontal brick">
          <a:extLst>
            <a:ext uri="{FF2B5EF4-FFF2-40B4-BE49-F238E27FC236}">
              <a16:creationId xmlns="" xmlns:a16="http://schemas.microsoft.com/office/drawing/2014/main" id="{00000000-0008-0000-2400-0000B4880D00}"/>
            </a:ext>
          </a:extLst>
        </xdr:cNvPr>
        <xdr:cNvSpPr>
          <a:spLocks noChangeArrowheads="1"/>
        </xdr:cNvSpPr>
      </xdr:nvSpPr>
      <xdr:spPr bwMode="auto">
        <a:xfrm>
          <a:off x="3016250" y="6305550"/>
          <a:ext cx="260350" cy="182245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46</xdr:col>
      <xdr:colOff>0</xdr:colOff>
      <xdr:row>64</xdr:row>
      <xdr:rowOff>0</xdr:rowOff>
    </xdr:from>
    <xdr:to>
      <xdr:col>47</xdr:col>
      <xdr:colOff>76200</xdr:colOff>
      <xdr:row>83</xdr:row>
      <xdr:rowOff>12700</xdr:rowOff>
    </xdr:to>
    <xdr:sp macro="" textlink="">
      <xdr:nvSpPr>
        <xdr:cNvPr id="886965" name="Rectangle 265" descr="Horizontal brick">
          <a:extLst>
            <a:ext uri="{FF2B5EF4-FFF2-40B4-BE49-F238E27FC236}">
              <a16:creationId xmlns="" xmlns:a16="http://schemas.microsoft.com/office/drawing/2014/main" id="{00000000-0008-0000-2400-0000B5880D00}"/>
            </a:ext>
          </a:extLst>
        </xdr:cNvPr>
        <xdr:cNvSpPr>
          <a:spLocks noChangeArrowheads="1"/>
        </xdr:cNvSpPr>
      </xdr:nvSpPr>
      <xdr:spPr bwMode="auto">
        <a:xfrm>
          <a:off x="6426200" y="6305550"/>
          <a:ext cx="215900" cy="182245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13</xdr:col>
      <xdr:colOff>82550</xdr:colOff>
      <xdr:row>61</xdr:row>
      <xdr:rowOff>57150</xdr:rowOff>
    </xdr:from>
    <xdr:to>
      <xdr:col>47</xdr:col>
      <xdr:colOff>76200</xdr:colOff>
      <xdr:row>64</xdr:row>
      <xdr:rowOff>0</xdr:rowOff>
    </xdr:to>
    <xdr:sp macro="" textlink="">
      <xdr:nvSpPr>
        <xdr:cNvPr id="886966" name="Rectangle 266" descr="Horizontal brick">
          <a:extLst>
            <a:ext uri="{FF2B5EF4-FFF2-40B4-BE49-F238E27FC236}">
              <a16:creationId xmlns="" xmlns:a16="http://schemas.microsoft.com/office/drawing/2014/main" id="{00000000-0008-0000-2400-0000B6880D00}"/>
            </a:ext>
          </a:extLst>
        </xdr:cNvPr>
        <xdr:cNvSpPr>
          <a:spLocks noChangeArrowheads="1"/>
        </xdr:cNvSpPr>
      </xdr:nvSpPr>
      <xdr:spPr bwMode="auto">
        <a:xfrm rot="-5400000">
          <a:off x="4156075" y="3819525"/>
          <a:ext cx="228600" cy="474345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13</xdr:col>
      <xdr:colOff>82550</xdr:colOff>
      <xdr:row>82</xdr:row>
      <xdr:rowOff>57150</xdr:rowOff>
    </xdr:from>
    <xdr:to>
      <xdr:col>47</xdr:col>
      <xdr:colOff>76200</xdr:colOff>
      <xdr:row>85</xdr:row>
      <xdr:rowOff>0</xdr:rowOff>
    </xdr:to>
    <xdr:sp macro="" textlink="">
      <xdr:nvSpPr>
        <xdr:cNvPr id="886967" name="Rectangle 267" descr="Horizontal brick">
          <a:extLst>
            <a:ext uri="{FF2B5EF4-FFF2-40B4-BE49-F238E27FC236}">
              <a16:creationId xmlns="" xmlns:a16="http://schemas.microsoft.com/office/drawing/2014/main" id="{00000000-0008-0000-2400-0000B7880D00}"/>
            </a:ext>
          </a:extLst>
        </xdr:cNvPr>
        <xdr:cNvSpPr>
          <a:spLocks noChangeArrowheads="1"/>
        </xdr:cNvSpPr>
      </xdr:nvSpPr>
      <xdr:spPr bwMode="auto">
        <a:xfrm rot="-5400000">
          <a:off x="4156075" y="5819775"/>
          <a:ext cx="228600" cy="474345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23</xdr:col>
      <xdr:colOff>63500</xdr:colOff>
      <xdr:row>79</xdr:row>
      <xdr:rowOff>12700</xdr:rowOff>
    </xdr:from>
    <xdr:to>
      <xdr:col>36</xdr:col>
      <xdr:colOff>25400</xdr:colOff>
      <xdr:row>79</xdr:row>
      <xdr:rowOff>19050</xdr:rowOff>
    </xdr:to>
    <xdr:sp macro="" textlink="">
      <xdr:nvSpPr>
        <xdr:cNvPr id="886968" name="Line 268">
          <a:extLst>
            <a:ext uri="{FF2B5EF4-FFF2-40B4-BE49-F238E27FC236}">
              <a16:creationId xmlns="" xmlns:a16="http://schemas.microsoft.com/office/drawing/2014/main" id="{00000000-0008-0000-2400-0000B8880D00}"/>
            </a:ext>
          </a:extLst>
        </xdr:cNvPr>
        <xdr:cNvSpPr>
          <a:spLocks noChangeShapeType="1"/>
        </xdr:cNvSpPr>
      </xdr:nvSpPr>
      <xdr:spPr bwMode="auto">
        <a:xfrm>
          <a:off x="3276600" y="7747000"/>
          <a:ext cx="1778000" cy="63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57785</xdr:colOff>
      <xdr:row>77</xdr:row>
      <xdr:rowOff>0</xdr:rowOff>
    </xdr:from>
    <xdr:to>
      <xdr:col>31</xdr:col>
      <xdr:colOff>35715</xdr:colOff>
      <xdr:row>78</xdr:row>
      <xdr:rowOff>57143</xdr:rowOff>
    </xdr:to>
    <xdr:sp macro="" textlink="">
      <xdr:nvSpPr>
        <xdr:cNvPr id="389" name="Text Box 269">
          <a:extLst>
            <a:ext uri="{FF2B5EF4-FFF2-40B4-BE49-F238E27FC236}">
              <a16:creationId xmlns="" xmlns:a16="http://schemas.microsoft.com/office/drawing/2014/main" id="{00000000-0008-0000-2400-000085010000}"/>
            </a:ext>
          </a:extLst>
        </xdr:cNvPr>
        <xdr:cNvSpPr txBox="1">
          <a:spLocks noChangeArrowheads="1"/>
        </xdr:cNvSpPr>
      </xdr:nvSpPr>
      <xdr:spPr bwMode="auto">
        <a:xfrm>
          <a:off x="4076700" y="7448550"/>
          <a:ext cx="428625" cy="161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1.4m</a:t>
          </a:r>
        </a:p>
      </xdr:txBody>
    </xdr:sp>
    <xdr:clientData/>
  </xdr:twoCellAnchor>
  <xdr:twoCellAnchor>
    <xdr:from>
      <xdr:col>38</xdr:col>
      <xdr:colOff>19050</xdr:colOff>
      <xdr:row>79</xdr:row>
      <xdr:rowOff>19050</xdr:rowOff>
    </xdr:from>
    <xdr:to>
      <xdr:col>45</xdr:col>
      <xdr:colOff>76200</xdr:colOff>
      <xdr:row>79</xdr:row>
      <xdr:rowOff>19050</xdr:rowOff>
    </xdr:to>
    <xdr:sp macro="" textlink="">
      <xdr:nvSpPr>
        <xdr:cNvPr id="886970" name="Line 270">
          <a:extLst>
            <a:ext uri="{FF2B5EF4-FFF2-40B4-BE49-F238E27FC236}">
              <a16:creationId xmlns="" xmlns:a16="http://schemas.microsoft.com/office/drawing/2014/main" id="{00000000-0008-0000-2400-0000BA880D00}"/>
            </a:ext>
          </a:extLst>
        </xdr:cNvPr>
        <xdr:cNvSpPr>
          <a:spLocks noChangeShapeType="1"/>
        </xdr:cNvSpPr>
      </xdr:nvSpPr>
      <xdr:spPr bwMode="auto">
        <a:xfrm flipV="1">
          <a:off x="5327650" y="7753350"/>
          <a:ext cx="10350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35560</xdr:colOff>
      <xdr:row>72</xdr:row>
      <xdr:rowOff>9525</xdr:rowOff>
    </xdr:from>
    <xdr:to>
      <xdr:col>21</xdr:col>
      <xdr:colOff>35560</xdr:colOff>
      <xdr:row>74</xdr:row>
      <xdr:rowOff>56423</xdr:rowOff>
    </xdr:to>
    <xdr:sp macro="" textlink="">
      <xdr:nvSpPr>
        <xdr:cNvPr id="391" name="Text Box 272">
          <a:extLst>
            <a:ext uri="{FF2B5EF4-FFF2-40B4-BE49-F238E27FC236}">
              <a16:creationId xmlns="" xmlns:a16="http://schemas.microsoft.com/office/drawing/2014/main" id="{00000000-0008-0000-2400-000087010000}"/>
            </a:ext>
          </a:extLst>
        </xdr:cNvPr>
        <xdr:cNvSpPr txBox="1">
          <a:spLocks noChangeArrowheads="1"/>
        </xdr:cNvSpPr>
      </xdr:nvSpPr>
      <xdr:spPr bwMode="auto">
        <a:xfrm>
          <a:off x="2505075" y="6991350"/>
          <a:ext cx="571500" cy="2381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2.45m</a:t>
          </a:r>
        </a:p>
      </xdr:txBody>
    </xdr:sp>
    <xdr:clientData/>
  </xdr:twoCellAnchor>
  <xdr:twoCellAnchor>
    <xdr:from>
      <xdr:col>40</xdr:col>
      <xdr:colOff>60960</xdr:colOff>
      <xdr:row>76</xdr:row>
      <xdr:rowOff>57785</xdr:rowOff>
    </xdr:from>
    <xdr:to>
      <xdr:col>43</xdr:col>
      <xdr:colOff>136524</xdr:colOff>
      <xdr:row>78</xdr:row>
      <xdr:rowOff>56952</xdr:rowOff>
    </xdr:to>
    <xdr:sp macro="" textlink="">
      <xdr:nvSpPr>
        <xdr:cNvPr id="392" name="Text Box 273">
          <a:extLst>
            <a:ext uri="{FF2B5EF4-FFF2-40B4-BE49-F238E27FC236}">
              <a16:creationId xmlns="" xmlns:a16="http://schemas.microsoft.com/office/drawing/2014/main" id="{00000000-0008-0000-2400-000088010000}"/>
            </a:ext>
          </a:extLst>
        </xdr:cNvPr>
        <xdr:cNvSpPr txBox="1">
          <a:spLocks noChangeArrowheads="1"/>
        </xdr:cNvSpPr>
      </xdr:nvSpPr>
      <xdr:spPr bwMode="auto">
        <a:xfrm>
          <a:off x="5753100" y="7410450"/>
          <a:ext cx="533400" cy="2000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0.70m</a:t>
          </a:r>
        </a:p>
      </xdr:txBody>
    </xdr:sp>
    <xdr:clientData/>
  </xdr:twoCellAnchor>
  <xdr:twoCellAnchor>
    <xdr:from>
      <xdr:col>17</xdr:col>
      <xdr:colOff>44450</xdr:colOff>
      <xdr:row>64</xdr:row>
      <xdr:rowOff>12700</xdr:rowOff>
    </xdr:from>
    <xdr:to>
      <xdr:col>17</xdr:col>
      <xdr:colOff>44450</xdr:colOff>
      <xdr:row>82</xdr:row>
      <xdr:rowOff>63500</xdr:rowOff>
    </xdr:to>
    <xdr:sp macro="" textlink="">
      <xdr:nvSpPr>
        <xdr:cNvPr id="886973" name="Line 274">
          <a:extLst>
            <a:ext uri="{FF2B5EF4-FFF2-40B4-BE49-F238E27FC236}">
              <a16:creationId xmlns="" xmlns:a16="http://schemas.microsoft.com/office/drawing/2014/main" id="{00000000-0008-0000-2400-0000BD880D00}"/>
            </a:ext>
          </a:extLst>
        </xdr:cNvPr>
        <xdr:cNvSpPr>
          <a:spLocks noChangeShapeType="1"/>
        </xdr:cNvSpPr>
      </xdr:nvSpPr>
      <xdr:spPr bwMode="auto">
        <a:xfrm flipH="1">
          <a:off x="2419350" y="6318250"/>
          <a:ext cx="0" cy="17653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46</xdr:col>
      <xdr:colOff>82550</xdr:colOff>
      <xdr:row>62</xdr:row>
      <xdr:rowOff>38100</xdr:rowOff>
    </xdr:from>
    <xdr:to>
      <xdr:col>52</xdr:col>
      <xdr:colOff>57150</xdr:colOff>
      <xdr:row>64</xdr:row>
      <xdr:rowOff>19050</xdr:rowOff>
    </xdr:to>
    <xdr:sp macro="" textlink="">
      <xdr:nvSpPr>
        <xdr:cNvPr id="886974" name="Line 275">
          <a:extLst>
            <a:ext uri="{FF2B5EF4-FFF2-40B4-BE49-F238E27FC236}">
              <a16:creationId xmlns="" xmlns:a16="http://schemas.microsoft.com/office/drawing/2014/main" id="{00000000-0008-0000-2400-0000BE880D00}"/>
            </a:ext>
          </a:extLst>
        </xdr:cNvPr>
        <xdr:cNvSpPr>
          <a:spLocks noChangeShapeType="1"/>
        </xdr:cNvSpPr>
      </xdr:nvSpPr>
      <xdr:spPr bwMode="auto">
        <a:xfrm flipV="1">
          <a:off x="6508750" y="6153150"/>
          <a:ext cx="812800" cy="171450"/>
        </a:xfrm>
        <a:prstGeom prst="line">
          <a:avLst/>
        </a:prstGeom>
        <a:noFill/>
        <a:ln w="9525">
          <a:solidFill>
            <a:srgbClr val="00000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62</xdr:col>
      <xdr:colOff>38100</xdr:colOff>
      <xdr:row>77</xdr:row>
      <xdr:rowOff>12700</xdr:rowOff>
    </xdr:from>
    <xdr:to>
      <xdr:col>67</xdr:col>
      <xdr:colOff>6350</xdr:colOff>
      <xdr:row>79</xdr:row>
      <xdr:rowOff>57150</xdr:rowOff>
    </xdr:to>
    <xdr:sp macro="" textlink="">
      <xdr:nvSpPr>
        <xdr:cNvPr id="886975" name="Rectangle 277">
          <a:extLst>
            <a:ext uri="{FF2B5EF4-FFF2-40B4-BE49-F238E27FC236}">
              <a16:creationId xmlns="" xmlns:a16="http://schemas.microsoft.com/office/drawing/2014/main" id="{00000000-0008-0000-2400-0000BF880D00}"/>
            </a:ext>
          </a:extLst>
        </xdr:cNvPr>
        <xdr:cNvSpPr>
          <a:spLocks noChangeArrowheads="1"/>
        </xdr:cNvSpPr>
      </xdr:nvSpPr>
      <xdr:spPr bwMode="auto">
        <a:xfrm>
          <a:off x="8699500" y="7556500"/>
          <a:ext cx="666750" cy="234950"/>
        </a:xfrm>
        <a:prstGeom prst="rect">
          <a:avLst/>
        </a:prstGeom>
        <a:solidFill>
          <a:srgbClr val="FF6600"/>
        </a:solidFill>
        <a:ln w="9525">
          <a:miter lim="800000"/>
          <a:headEnd/>
          <a:tailEnd/>
        </a:ln>
        <a:scene3d>
          <a:camera prst="legacyObliqueTopLeft"/>
          <a:lightRig rig="legacyFlat3" dir="t"/>
        </a:scene3d>
        <a:sp3d extrusionH="430200" prstMaterial="legacyMatte">
          <a:bevelT w="13500" h="13500" prst="angle"/>
          <a:bevelB w="13500" h="13500" prst="angle"/>
          <a:extrusionClr>
            <a:srgbClr val="FF6600"/>
          </a:extrusionClr>
          <a:contourClr>
            <a:srgbClr val="FF6600"/>
          </a:contourClr>
        </a:sp3d>
      </xdr:spPr>
    </xdr:sp>
    <xdr:clientData/>
  </xdr:twoCellAnchor>
  <xdr:twoCellAnchor>
    <xdr:from>
      <xdr:col>62</xdr:col>
      <xdr:colOff>38100</xdr:colOff>
      <xdr:row>81</xdr:row>
      <xdr:rowOff>0</xdr:rowOff>
    </xdr:from>
    <xdr:to>
      <xdr:col>67</xdr:col>
      <xdr:colOff>19050</xdr:colOff>
      <xdr:row>81</xdr:row>
      <xdr:rowOff>0</xdr:rowOff>
    </xdr:to>
    <xdr:sp macro="" textlink="">
      <xdr:nvSpPr>
        <xdr:cNvPr id="886976" name="Line 278">
          <a:extLst>
            <a:ext uri="{FF2B5EF4-FFF2-40B4-BE49-F238E27FC236}">
              <a16:creationId xmlns="" xmlns:a16="http://schemas.microsoft.com/office/drawing/2014/main" id="{00000000-0008-0000-2400-0000C0880D00}"/>
            </a:ext>
          </a:extLst>
        </xdr:cNvPr>
        <xdr:cNvSpPr>
          <a:spLocks noChangeShapeType="1"/>
        </xdr:cNvSpPr>
      </xdr:nvSpPr>
      <xdr:spPr bwMode="auto">
        <a:xfrm>
          <a:off x="8699500" y="7924800"/>
          <a:ext cx="6794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59</xdr:col>
      <xdr:colOff>19050</xdr:colOff>
      <xdr:row>78</xdr:row>
      <xdr:rowOff>31750</xdr:rowOff>
    </xdr:from>
    <xdr:to>
      <xdr:col>61</xdr:col>
      <xdr:colOff>0</xdr:colOff>
      <xdr:row>80</xdr:row>
      <xdr:rowOff>57150</xdr:rowOff>
    </xdr:to>
    <xdr:sp macro="" textlink="">
      <xdr:nvSpPr>
        <xdr:cNvPr id="886977" name="Line 279">
          <a:extLst>
            <a:ext uri="{FF2B5EF4-FFF2-40B4-BE49-F238E27FC236}">
              <a16:creationId xmlns="" xmlns:a16="http://schemas.microsoft.com/office/drawing/2014/main" id="{00000000-0008-0000-2400-0000C1880D00}"/>
            </a:ext>
          </a:extLst>
        </xdr:cNvPr>
        <xdr:cNvSpPr>
          <a:spLocks noChangeShapeType="1"/>
        </xdr:cNvSpPr>
      </xdr:nvSpPr>
      <xdr:spPr bwMode="auto">
        <a:xfrm>
          <a:off x="8261350" y="7670800"/>
          <a:ext cx="260350" cy="2159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63</xdr:col>
      <xdr:colOff>39370</xdr:colOff>
      <xdr:row>81</xdr:row>
      <xdr:rowOff>75565</xdr:rowOff>
    </xdr:from>
    <xdr:to>
      <xdr:col>67</xdr:col>
      <xdr:colOff>40114</xdr:colOff>
      <xdr:row>84</xdr:row>
      <xdr:rowOff>8409</xdr:rowOff>
    </xdr:to>
    <xdr:sp macro="" textlink="">
      <xdr:nvSpPr>
        <xdr:cNvPr id="398" name="Text Box 280">
          <a:extLst>
            <a:ext uri="{FF2B5EF4-FFF2-40B4-BE49-F238E27FC236}">
              <a16:creationId xmlns="" xmlns:a16="http://schemas.microsoft.com/office/drawing/2014/main" id="{00000000-0008-0000-2400-00008E010000}"/>
            </a:ext>
          </a:extLst>
        </xdr:cNvPr>
        <xdr:cNvSpPr txBox="1">
          <a:spLocks noChangeArrowheads="1"/>
        </xdr:cNvSpPr>
      </xdr:nvSpPr>
      <xdr:spPr bwMode="auto">
        <a:xfrm>
          <a:off x="9048750" y="7915275"/>
          <a:ext cx="552450" cy="2095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10cm</a:t>
          </a:r>
        </a:p>
      </xdr:txBody>
    </xdr:sp>
    <xdr:clientData/>
  </xdr:twoCellAnchor>
  <xdr:twoCellAnchor>
    <xdr:from>
      <xdr:col>55</xdr:col>
      <xdr:colOff>35560</xdr:colOff>
      <xdr:row>79</xdr:row>
      <xdr:rowOff>47625</xdr:rowOff>
    </xdr:from>
    <xdr:to>
      <xdr:col>58</xdr:col>
      <xdr:colOff>96071</xdr:colOff>
      <xdr:row>81</xdr:row>
      <xdr:rowOff>61079</xdr:rowOff>
    </xdr:to>
    <xdr:sp macro="" textlink="">
      <xdr:nvSpPr>
        <xdr:cNvPr id="399" name="Text Box 281">
          <a:extLst>
            <a:ext uri="{FF2B5EF4-FFF2-40B4-BE49-F238E27FC236}">
              <a16:creationId xmlns="" xmlns:a16="http://schemas.microsoft.com/office/drawing/2014/main" id="{00000000-0008-0000-2400-00008F010000}"/>
            </a:ext>
          </a:extLst>
        </xdr:cNvPr>
        <xdr:cNvSpPr txBox="1">
          <a:spLocks noChangeArrowheads="1"/>
        </xdr:cNvSpPr>
      </xdr:nvSpPr>
      <xdr:spPr bwMode="auto">
        <a:xfrm>
          <a:off x="7924800" y="7705725"/>
          <a:ext cx="457200" cy="1714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20cm</a:t>
          </a:r>
        </a:p>
      </xdr:txBody>
    </xdr:sp>
    <xdr:clientData/>
  </xdr:twoCellAnchor>
  <xdr:twoCellAnchor>
    <xdr:from>
      <xdr:col>68</xdr:col>
      <xdr:colOff>19050</xdr:colOff>
      <xdr:row>76</xdr:row>
      <xdr:rowOff>63500</xdr:rowOff>
    </xdr:from>
    <xdr:to>
      <xdr:col>68</xdr:col>
      <xdr:colOff>19050</xdr:colOff>
      <xdr:row>79</xdr:row>
      <xdr:rowOff>57150</xdr:rowOff>
    </xdr:to>
    <xdr:sp macro="" textlink="">
      <xdr:nvSpPr>
        <xdr:cNvPr id="886980" name="Line 282">
          <a:extLst>
            <a:ext uri="{FF2B5EF4-FFF2-40B4-BE49-F238E27FC236}">
              <a16:creationId xmlns="" xmlns:a16="http://schemas.microsoft.com/office/drawing/2014/main" id="{00000000-0008-0000-2400-0000C4880D00}"/>
            </a:ext>
          </a:extLst>
        </xdr:cNvPr>
        <xdr:cNvSpPr>
          <a:spLocks noChangeShapeType="1"/>
        </xdr:cNvSpPr>
      </xdr:nvSpPr>
      <xdr:spPr bwMode="auto">
        <a:xfrm>
          <a:off x="9518650" y="7512050"/>
          <a:ext cx="0" cy="2794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69</xdr:col>
      <xdr:colOff>3175</xdr:colOff>
      <xdr:row>77</xdr:row>
      <xdr:rowOff>57785</xdr:rowOff>
    </xdr:from>
    <xdr:to>
      <xdr:col>72</xdr:col>
      <xdr:colOff>161</xdr:colOff>
      <xdr:row>80</xdr:row>
      <xdr:rowOff>509</xdr:rowOff>
    </xdr:to>
    <xdr:sp macro="" textlink="">
      <xdr:nvSpPr>
        <xdr:cNvPr id="401" name="Text Box 283">
          <a:extLst>
            <a:ext uri="{FF2B5EF4-FFF2-40B4-BE49-F238E27FC236}">
              <a16:creationId xmlns="" xmlns:a16="http://schemas.microsoft.com/office/drawing/2014/main" id="{00000000-0008-0000-2400-000091010000}"/>
            </a:ext>
          </a:extLst>
        </xdr:cNvPr>
        <xdr:cNvSpPr txBox="1">
          <a:spLocks noChangeArrowheads="1"/>
        </xdr:cNvSpPr>
      </xdr:nvSpPr>
      <xdr:spPr bwMode="auto">
        <a:xfrm>
          <a:off x="9886950" y="7505700"/>
          <a:ext cx="400050" cy="2286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7cm</a:t>
          </a:r>
        </a:p>
      </xdr:txBody>
    </xdr:sp>
    <xdr:clientData/>
  </xdr:twoCellAnchor>
  <xdr:twoCellAnchor>
    <xdr:from>
      <xdr:col>25</xdr:col>
      <xdr:colOff>38100</xdr:colOff>
      <xdr:row>82</xdr:row>
      <xdr:rowOff>57150</xdr:rowOff>
    </xdr:from>
    <xdr:to>
      <xdr:col>26</xdr:col>
      <xdr:colOff>38100</xdr:colOff>
      <xdr:row>84</xdr:row>
      <xdr:rowOff>63500</xdr:rowOff>
    </xdr:to>
    <xdr:sp macro="" textlink="">
      <xdr:nvSpPr>
        <xdr:cNvPr id="886982" name="Rectangle 314">
          <a:extLst>
            <a:ext uri="{FF2B5EF4-FFF2-40B4-BE49-F238E27FC236}">
              <a16:creationId xmlns="" xmlns:a16="http://schemas.microsoft.com/office/drawing/2014/main" id="{00000000-0008-0000-2400-0000C6880D00}"/>
            </a:ext>
          </a:extLst>
        </xdr:cNvPr>
        <xdr:cNvSpPr>
          <a:spLocks noChangeArrowheads="1"/>
        </xdr:cNvSpPr>
      </xdr:nvSpPr>
      <xdr:spPr bwMode="auto">
        <a:xfrm>
          <a:off x="3530600" y="8077200"/>
          <a:ext cx="139700" cy="196850"/>
        </a:xfrm>
        <a:prstGeom prst="rect">
          <a:avLst/>
        </a:prstGeom>
        <a:solidFill>
          <a:srgbClr val="969696"/>
        </a:solidFill>
        <a:ln w="9525">
          <a:solidFill>
            <a:srgbClr val="000000"/>
          </a:solidFill>
          <a:miter lim="800000"/>
          <a:headEnd/>
          <a:tailEnd/>
        </a:ln>
      </xdr:spPr>
    </xdr:sp>
    <xdr:clientData/>
  </xdr:twoCellAnchor>
  <xdr:twoCellAnchor>
    <xdr:from>
      <xdr:col>29</xdr:col>
      <xdr:colOff>19050</xdr:colOff>
      <xdr:row>82</xdr:row>
      <xdr:rowOff>57150</xdr:rowOff>
    </xdr:from>
    <xdr:to>
      <xdr:col>30</xdr:col>
      <xdr:colOff>19050</xdr:colOff>
      <xdr:row>84</xdr:row>
      <xdr:rowOff>63500</xdr:rowOff>
    </xdr:to>
    <xdr:sp macro="" textlink="">
      <xdr:nvSpPr>
        <xdr:cNvPr id="886983" name="Rectangle 315">
          <a:extLst>
            <a:ext uri="{FF2B5EF4-FFF2-40B4-BE49-F238E27FC236}">
              <a16:creationId xmlns="" xmlns:a16="http://schemas.microsoft.com/office/drawing/2014/main" id="{00000000-0008-0000-2400-0000C7880D00}"/>
            </a:ext>
          </a:extLst>
        </xdr:cNvPr>
        <xdr:cNvSpPr>
          <a:spLocks noChangeArrowheads="1"/>
        </xdr:cNvSpPr>
      </xdr:nvSpPr>
      <xdr:spPr bwMode="auto">
        <a:xfrm>
          <a:off x="4070350" y="8077200"/>
          <a:ext cx="139700" cy="196850"/>
        </a:xfrm>
        <a:prstGeom prst="rect">
          <a:avLst/>
        </a:prstGeom>
        <a:solidFill>
          <a:srgbClr val="969696"/>
        </a:solidFill>
        <a:ln w="9525">
          <a:solidFill>
            <a:srgbClr val="000000"/>
          </a:solidFill>
          <a:miter lim="800000"/>
          <a:headEnd/>
          <a:tailEnd/>
        </a:ln>
      </xdr:spPr>
    </xdr:sp>
    <xdr:clientData/>
  </xdr:twoCellAnchor>
  <xdr:twoCellAnchor>
    <xdr:from>
      <xdr:col>32</xdr:col>
      <xdr:colOff>57150</xdr:colOff>
      <xdr:row>82</xdr:row>
      <xdr:rowOff>57150</xdr:rowOff>
    </xdr:from>
    <xdr:to>
      <xdr:col>33</xdr:col>
      <xdr:colOff>57150</xdr:colOff>
      <xdr:row>84</xdr:row>
      <xdr:rowOff>63500</xdr:rowOff>
    </xdr:to>
    <xdr:sp macro="" textlink="">
      <xdr:nvSpPr>
        <xdr:cNvPr id="886984" name="Rectangle 316">
          <a:extLst>
            <a:ext uri="{FF2B5EF4-FFF2-40B4-BE49-F238E27FC236}">
              <a16:creationId xmlns="" xmlns:a16="http://schemas.microsoft.com/office/drawing/2014/main" id="{00000000-0008-0000-2400-0000C8880D00}"/>
            </a:ext>
          </a:extLst>
        </xdr:cNvPr>
        <xdr:cNvSpPr>
          <a:spLocks noChangeArrowheads="1"/>
        </xdr:cNvSpPr>
      </xdr:nvSpPr>
      <xdr:spPr bwMode="auto">
        <a:xfrm>
          <a:off x="4527550" y="8077200"/>
          <a:ext cx="139700" cy="196850"/>
        </a:xfrm>
        <a:prstGeom prst="rect">
          <a:avLst/>
        </a:prstGeom>
        <a:solidFill>
          <a:srgbClr val="969696"/>
        </a:solidFill>
        <a:ln w="9525">
          <a:solidFill>
            <a:srgbClr val="000000"/>
          </a:solidFill>
          <a:miter lim="800000"/>
          <a:headEnd/>
          <a:tailEnd/>
        </a:ln>
      </xdr:spPr>
    </xdr:sp>
    <xdr:clientData/>
  </xdr:twoCellAnchor>
  <xdr:twoCellAnchor>
    <xdr:from>
      <xdr:col>25</xdr:col>
      <xdr:colOff>6350</xdr:colOff>
      <xdr:row>61</xdr:row>
      <xdr:rowOff>63500</xdr:rowOff>
    </xdr:from>
    <xdr:to>
      <xdr:col>26</xdr:col>
      <xdr:colOff>6350</xdr:colOff>
      <xdr:row>64</xdr:row>
      <xdr:rowOff>0</xdr:rowOff>
    </xdr:to>
    <xdr:sp macro="" textlink="">
      <xdr:nvSpPr>
        <xdr:cNvPr id="886985" name="Rectangle 317">
          <a:extLst>
            <a:ext uri="{FF2B5EF4-FFF2-40B4-BE49-F238E27FC236}">
              <a16:creationId xmlns="" xmlns:a16="http://schemas.microsoft.com/office/drawing/2014/main" id="{00000000-0008-0000-2400-0000C9880D00}"/>
            </a:ext>
          </a:extLst>
        </xdr:cNvPr>
        <xdr:cNvSpPr>
          <a:spLocks noChangeArrowheads="1"/>
        </xdr:cNvSpPr>
      </xdr:nvSpPr>
      <xdr:spPr bwMode="auto">
        <a:xfrm>
          <a:off x="3498850" y="6083300"/>
          <a:ext cx="139700" cy="222250"/>
        </a:xfrm>
        <a:prstGeom prst="rect">
          <a:avLst/>
        </a:prstGeom>
        <a:solidFill>
          <a:srgbClr val="969696"/>
        </a:solidFill>
        <a:ln w="9525">
          <a:solidFill>
            <a:srgbClr val="000000"/>
          </a:solidFill>
          <a:miter lim="800000"/>
          <a:headEnd/>
          <a:tailEnd/>
        </a:ln>
      </xdr:spPr>
    </xdr:sp>
    <xdr:clientData/>
  </xdr:twoCellAnchor>
  <xdr:twoCellAnchor>
    <xdr:from>
      <xdr:col>28</xdr:col>
      <xdr:colOff>76200</xdr:colOff>
      <xdr:row>61</xdr:row>
      <xdr:rowOff>57150</xdr:rowOff>
    </xdr:from>
    <xdr:to>
      <xdr:col>29</xdr:col>
      <xdr:colOff>76200</xdr:colOff>
      <xdr:row>63</xdr:row>
      <xdr:rowOff>63500</xdr:rowOff>
    </xdr:to>
    <xdr:sp macro="" textlink="">
      <xdr:nvSpPr>
        <xdr:cNvPr id="886986" name="Rectangle 318">
          <a:extLst>
            <a:ext uri="{FF2B5EF4-FFF2-40B4-BE49-F238E27FC236}">
              <a16:creationId xmlns="" xmlns:a16="http://schemas.microsoft.com/office/drawing/2014/main" id="{00000000-0008-0000-2400-0000CA880D00}"/>
            </a:ext>
          </a:extLst>
        </xdr:cNvPr>
        <xdr:cNvSpPr>
          <a:spLocks noChangeArrowheads="1"/>
        </xdr:cNvSpPr>
      </xdr:nvSpPr>
      <xdr:spPr bwMode="auto">
        <a:xfrm>
          <a:off x="3987800" y="6076950"/>
          <a:ext cx="139700" cy="196850"/>
        </a:xfrm>
        <a:prstGeom prst="rect">
          <a:avLst/>
        </a:prstGeom>
        <a:solidFill>
          <a:srgbClr val="969696"/>
        </a:solidFill>
        <a:ln w="9525">
          <a:solidFill>
            <a:srgbClr val="000000"/>
          </a:solidFill>
          <a:miter lim="800000"/>
          <a:headEnd/>
          <a:tailEnd/>
        </a:ln>
      </xdr:spPr>
    </xdr:sp>
    <xdr:clientData/>
  </xdr:twoCellAnchor>
  <xdr:twoCellAnchor>
    <xdr:from>
      <xdr:col>32</xdr:col>
      <xdr:colOff>82550</xdr:colOff>
      <xdr:row>61</xdr:row>
      <xdr:rowOff>57150</xdr:rowOff>
    </xdr:from>
    <xdr:to>
      <xdr:col>33</xdr:col>
      <xdr:colOff>82550</xdr:colOff>
      <xdr:row>64</xdr:row>
      <xdr:rowOff>12700</xdr:rowOff>
    </xdr:to>
    <xdr:sp macro="" textlink="">
      <xdr:nvSpPr>
        <xdr:cNvPr id="886987" name="Rectangle 319">
          <a:extLst>
            <a:ext uri="{FF2B5EF4-FFF2-40B4-BE49-F238E27FC236}">
              <a16:creationId xmlns="" xmlns:a16="http://schemas.microsoft.com/office/drawing/2014/main" id="{00000000-0008-0000-2400-0000CB880D00}"/>
            </a:ext>
          </a:extLst>
        </xdr:cNvPr>
        <xdr:cNvSpPr>
          <a:spLocks noChangeArrowheads="1"/>
        </xdr:cNvSpPr>
      </xdr:nvSpPr>
      <xdr:spPr bwMode="auto">
        <a:xfrm>
          <a:off x="4552950" y="6076950"/>
          <a:ext cx="139700" cy="241300"/>
        </a:xfrm>
        <a:prstGeom prst="rect">
          <a:avLst/>
        </a:prstGeom>
        <a:solidFill>
          <a:srgbClr val="969696"/>
        </a:solidFill>
        <a:ln w="9525">
          <a:solidFill>
            <a:srgbClr val="000000"/>
          </a:solidFill>
          <a:miter lim="800000"/>
          <a:headEnd/>
          <a:tailEnd/>
        </a:ln>
      </xdr:spPr>
    </xdr:sp>
    <xdr:clientData/>
  </xdr:twoCellAnchor>
  <xdr:twoCellAnchor>
    <xdr:from>
      <xdr:col>25</xdr:col>
      <xdr:colOff>82550</xdr:colOff>
      <xdr:row>75</xdr:row>
      <xdr:rowOff>31750</xdr:rowOff>
    </xdr:from>
    <xdr:to>
      <xdr:col>26</xdr:col>
      <xdr:colOff>38100</xdr:colOff>
      <xdr:row>83</xdr:row>
      <xdr:rowOff>57150</xdr:rowOff>
    </xdr:to>
    <xdr:sp macro="" textlink="">
      <xdr:nvSpPr>
        <xdr:cNvPr id="886988" name="Line 322">
          <a:extLst>
            <a:ext uri="{FF2B5EF4-FFF2-40B4-BE49-F238E27FC236}">
              <a16:creationId xmlns="" xmlns:a16="http://schemas.microsoft.com/office/drawing/2014/main" id="{00000000-0008-0000-2400-0000CC880D00}"/>
            </a:ext>
          </a:extLst>
        </xdr:cNvPr>
        <xdr:cNvSpPr>
          <a:spLocks noChangeShapeType="1"/>
        </xdr:cNvSpPr>
      </xdr:nvSpPr>
      <xdr:spPr bwMode="auto">
        <a:xfrm flipH="1">
          <a:off x="3575050" y="7385050"/>
          <a:ext cx="95250" cy="787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61595</xdr:colOff>
      <xdr:row>71</xdr:row>
      <xdr:rowOff>60960</xdr:rowOff>
    </xdr:from>
    <xdr:to>
      <xdr:col>36</xdr:col>
      <xdr:colOff>61595</xdr:colOff>
      <xdr:row>75</xdr:row>
      <xdr:rowOff>60960</xdr:rowOff>
    </xdr:to>
    <xdr:sp macro="" textlink="">
      <xdr:nvSpPr>
        <xdr:cNvPr id="409" name="Text Box 323">
          <a:extLst>
            <a:ext uri="{FF2B5EF4-FFF2-40B4-BE49-F238E27FC236}">
              <a16:creationId xmlns="" xmlns:a16="http://schemas.microsoft.com/office/drawing/2014/main" id="{00000000-0008-0000-2400-000099010000}"/>
            </a:ext>
          </a:extLst>
        </xdr:cNvPr>
        <xdr:cNvSpPr txBox="1">
          <a:spLocks noChangeArrowheads="1"/>
        </xdr:cNvSpPr>
      </xdr:nvSpPr>
      <xdr:spPr bwMode="auto">
        <a:xfrm>
          <a:off x="3448050" y="6924675"/>
          <a:ext cx="1714500" cy="3714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Ouvertures/barbacane de 10cm chaque 0.5 m</a:t>
          </a:r>
        </a:p>
      </xdr:txBody>
    </xdr:sp>
    <xdr:clientData/>
  </xdr:twoCellAnchor>
  <xdr:twoCellAnchor>
    <xdr:from>
      <xdr:col>52</xdr:col>
      <xdr:colOff>57785</xdr:colOff>
      <xdr:row>60</xdr:row>
      <xdr:rowOff>57785</xdr:rowOff>
    </xdr:from>
    <xdr:to>
      <xdr:col>64</xdr:col>
      <xdr:colOff>135454</xdr:colOff>
      <xdr:row>63</xdr:row>
      <xdr:rowOff>47399</xdr:rowOff>
    </xdr:to>
    <xdr:sp macro="" textlink="">
      <xdr:nvSpPr>
        <xdr:cNvPr id="410" name="Text Box 324">
          <a:extLst>
            <a:ext uri="{FF2B5EF4-FFF2-40B4-BE49-F238E27FC236}">
              <a16:creationId xmlns="" xmlns:a16="http://schemas.microsoft.com/office/drawing/2014/main" id="{00000000-0008-0000-2400-00009A010000}"/>
            </a:ext>
          </a:extLst>
        </xdr:cNvPr>
        <xdr:cNvSpPr txBox="1">
          <a:spLocks noChangeArrowheads="1"/>
        </xdr:cNvSpPr>
      </xdr:nvSpPr>
      <xdr:spPr bwMode="auto">
        <a:xfrm>
          <a:off x="7477125" y="5905500"/>
          <a:ext cx="1809750" cy="2286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1" i="0" u="sng" strike="noStrike">
              <a:solidFill>
                <a:srgbClr val="000000"/>
              </a:solidFill>
              <a:latin typeface="Arial"/>
              <a:cs typeface="Arial"/>
            </a:rPr>
            <a:t>Mur en brique de 20cm</a:t>
          </a:r>
        </a:p>
      </xdr:txBody>
    </xdr:sp>
    <xdr:clientData/>
  </xdr:twoCellAnchor>
  <xdr:twoCellAnchor>
    <xdr:from>
      <xdr:col>15</xdr:col>
      <xdr:colOff>82550</xdr:colOff>
      <xdr:row>121</xdr:row>
      <xdr:rowOff>12700</xdr:rowOff>
    </xdr:from>
    <xdr:to>
      <xdr:col>17</xdr:col>
      <xdr:colOff>63500</xdr:colOff>
      <xdr:row>144</xdr:row>
      <xdr:rowOff>31750</xdr:rowOff>
    </xdr:to>
    <xdr:sp macro="" textlink="">
      <xdr:nvSpPr>
        <xdr:cNvPr id="886991" name="Rectangle 326" descr="Horizontal brick">
          <a:extLst>
            <a:ext uri="{FF2B5EF4-FFF2-40B4-BE49-F238E27FC236}">
              <a16:creationId xmlns="" xmlns:a16="http://schemas.microsoft.com/office/drawing/2014/main" id="{00000000-0008-0000-2400-0000CF880D00}"/>
            </a:ext>
          </a:extLst>
        </xdr:cNvPr>
        <xdr:cNvSpPr>
          <a:spLocks noChangeArrowheads="1"/>
        </xdr:cNvSpPr>
      </xdr:nvSpPr>
      <xdr:spPr bwMode="auto">
        <a:xfrm>
          <a:off x="2178050" y="11747500"/>
          <a:ext cx="260350" cy="220980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37</xdr:col>
      <xdr:colOff>6350</xdr:colOff>
      <xdr:row>120</xdr:row>
      <xdr:rowOff>57150</xdr:rowOff>
    </xdr:from>
    <xdr:to>
      <xdr:col>39</xdr:col>
      <xdr:colOff>19050</xdr:colOff>
      <xdr:row>143</xdr:row>
      <xdr:rowOff>63500</xdr:rowOff>
    </xdr:to>
    <xdr:sp macro="" textlink="">
      <xdr:nvSpPr>
        <xdr:cNvPr id="886992" name="Rectangle 327" descr="Horizontal brick">
          <a:extLst>
            <a:ext uri="{FF2B5EF4-FFF2-40B4-BE49-F238E27FC236}">
              <a16:creationId xmlns="" xmlns:a16="http://schemas.microsoft.com/office/drawing/2014/main" id="{00000000-0008-0000-2400-0000D0880D00}"/>
            </a:ext>
          </a:extLst>
        </xdr:cNvPr>
        <xdr:cNvSpPr>
          <a:spLocks noChangeArrowheads="1"/>
        </xdr:cNvSpPr>
      </xdr:nvSpPr>
      <xdr:spPr bwMode="auto">
        <a:xfrm>
          <a:off x="5175250" y="11696700"/>
          <a:ext cx="292100" cy="219710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15</xdr:col>
      <xdr:colOff>0</xdr:colOff>
      <xdr:row>143</xdr:row>
      <xdr:rowOff>57150</xdr:rowOff>
    </xdr:from>
    <xdr:to>
      <xdr:col>18</xdr:col>
      <xdr:colOff>57150</xdr:colOff>
      <xdr:row>146</xdr:row>
      <xdr:rowOff>0</xdr:rowOff>
    </xdr:to>
    <xdr:sp macro="" textlink="">
      <xdr:nvSpPr>
        <xdr:cNvPr id="886993" name="Rectangle 329">
          <a:extLst>
            <a:ext uri="{FF2B5EF4-FFF2-40B4-BE49-F238E27FC236}">
              <a16:creationId xmlns="" xmlns:a16="http://schemas.microsoft.com/office/drawing/2014/main" id="{00000000-0008-0000-2400-0000D1880D00}"/>
            </a:ext>
          </a:extLst>
        </xdr:cNvPr>
        <xdr:cNvSpPr>
          <a:spLocks noChangeArrowheads="1"/>
        </xdr:cNvSpPr>
      </xdr:nvSpPr>
      <xdr:spPr bwMode="auto">
        <a:xfrm>
          <a:off x="2095500" y="13887450"/>
          <a:ext cx="476250" cy="228600"/>
        </a:xfrm>
        <a:prstGeom prst="rect">
          <a:avLst/>
        </a:prstGeom>
        <a:solidFill>
          <a:srgbClr val="FFFFFF"/>
        </a:solidFill>
        <a:ln w="9525">
          <a:solidFill>
            <a:srgbClr val="000000"/>
          </a:solidFill>
          <a:miter lim="800000"/>
          <a:headEnd/>
          <a:tailEnd/>
        </a:ln>
      </xdr:spPr>
    </xdr:sp>
    <xdr:clientData/>
  </xdr:twoCellAnchor>
  <xdr:twoCellAnchor>
    <xdr:from>
      <xdr:col>35</xdr:col>
      <xdr:colOff>76200</xdr:colOff>
      <xdr:row>143</xdr:row>
      <xdr:rowOff>63500</xdr:rowOff>
    </xdr:from>
    <xdr:to>
      <xdr:col>39</xdr:col>
      <xdr:colOff>57150</xdr:colOff>
      <xdr:row>146</xdr:row>
      <xdr:rowOff>0</xdr:rowOff>
    </xdr:to>
    <xdr:sp macro="" textlink="">
      <xdr:nvSpPr>
        <xdr:cNvPr id="886994" name="Rectangle 330">
          <a:extLst>
            <a:ext uri="{FF2B5EF4-FFF2-40B4-BE49-F238E27FC236}">
              <a16:creationId xmlns="" xmlns:a16="http://schemas.microsoft.com/office/drawing/2014/main" id="{00000000-0008-0000-2400-0000D2880D00}"/>
            </a:ext>
          </a:extLst>
        </xdr:cNvPr>
        <xdr:cNvSpPr>
          <a:spLocks noChangeArrowheads="1"/>
        </xdr:cNvSpPr>
      </xdr:nvSpPr>
      <xdr:spPr bwMode="auto">
        <a:xfrm>
          <a:off x="4965700" y="13893800"/>
          <a:ext cx="539750" cy="222250"/>
        </a:xfrm>
        <a:prstGeom prst="rect">
          <a:avLst/>
        </a:prstGeom>
        <a:solidFill>
          <a:srgbClr val="FFFFFF"/>
        </a:solidFill>
        <a:ln w="9525">
          <a:solidFill>
            <a:srgbClr val="000000"/>
          </a:solidFill>
          <a:miter lim="800000"/>
          <a:headEnd/>
          <a:tailEnd/>
        </a:ln>
      </xdr:spPr>
    </xdr:sp>
    <xdr:clientData/>
  </xdr:twoCellAnchor>
  <xdr:twoCellAnchor>
    <xdr:from>
      <xdr:col>17</xdr:col>
      <xdr:colOff>57150</xdr:colOff>
      <xdr:row>143</xdr:row>
      <xdr:rowOff>57150</xdr:rowOff>
    </xdr:from>
    <xdr:to>
      <xdr:col>37</xdr:col>
      <xdr:colOff>19050</xdr:colOff>
      <xdr:row>143</xdr:row>
      <xdr:rowOff>57150</xdr:rowOff>
    </xdr:to>
    <xdr:sp macro="" textlink="">
      <xdr:nvSpPr>
        <xdr:cNvPr id="886995" name="Line 331">
          <a:extLst>
            <a:ext uri="{FF2B5EF4-FFF2-40B4-BE49-F238E27FC236}">
              <a16:creationId xmlns="" xmlns:a16="http://schemas.microsoft.com/office/drawing/2014/main" id="{00000000-0008-0000-2400-0000D3880D00}"/>
            </a:ext>
          </a:extLst>
        </xdr:cNvPr>
        <xdr:cNvSpPr>
          <a:spLocks noChangeShapeType="1"/>
        </xdr:cNvSpPr>
      </xdr:nvSpPr>
      <xdr:spPr bwMode="auto">
        <a:xfrm flipV="1">
          <a:off x="2432050" y="13887450"/>
          <a:ext cx="2755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82550</xdr:colOff>
      <xdr:row>119</xdr:row>
      <xdr:rowOff>31750</xdr:rowOff>
    </xdr:from>
    <xdr:to>
      <xdr:col>39</xdr:col>
      <xdr:colOff>19050</xdr:colOff>
      <xdr:row>120</xdr:row>
      <xdr:rowOff>57150</xdr:rowOff>
    </xdr:to>
    <xdr:sp macro="" textlink="">
      <xdr:nvSpPr>
        <xdr:cNvPr id="886996" name="Rectangle 332">
          <a:extLst>
            <a:ext uri="{FF2B5EF4-FFF2-40B4-BE49-F238E27FC236}">
              <a16:creationId xmlns="" xmlns:a16="http://schemas.microsoft.com/office/drawing/2014/main" id="{00000000-0008-0000-2400-0000D4880D00}"/>
            </a:ext>
          </a:extLst>
        </xdr:cNvPr>
        <xdr:cNvSpPr>
          <a:spLocks noChangeArrowheads="1"/>
        </xdr:cNvSpPr>
      </xdr:nvSpPr>
      <xdr:spPr bwMode="auto">
        <a:xfrm>
          <a:off x="2178050" y="11576050"/>
          <a:ext cx="3289300" cy="120650"/>
        </a:xfrm>
        <a:prstGeom prst="rect">
          <a:avLst/>
        </a:prstGeom>
        <a:solidFill>
          <a:srgbClr val="FFFFFF"/>
        </a:solidFill>
        <a:ln w="9525">
          <a:solidFill>
            <a:srgbClr val="000000"/>
          </a:solidFill>
          <a:miter lim="800000"/>
          <a:headEnd/>
          <a:tailEnd/>
        </a:ln>
      </xdr:spPr>
    </xdr:sp>
    <xdr:clientData/>
  </xdr:twoCellAnchor>
  <xdr:twoCellAnchor>
    <xdr:from>
      <xdr:col>16</xdr:col>
      <xdr:colOff>0</xdr:colOff>
      <xdr:row>100</xdr:row>
      <xdr:rowOff>19050</xdr:rowOff>
    </xdr:from>
    <xdr:to>
      <xdr:col>17</xdr:col>
      <xdr:colOff>44450</xdr:colOff>
      <xdr:row>119</xdr:row>
      <xdr:rowOff>50800</xdr:rowOff>
    </xdr:to>
    <xdr:sp macro="" textlink="">
      <xdr:nvSpPr>
        <xdr:cNvPr id="886997" name="Rectangle 334" descr="Horizontal brick">
          <a:extLst>
            <a:ext uri="{FF2B5EF4-FFF2-40B4-BE49-F238E27FC236}">
              <a16:creationId xmlns="" xmlns:a16="http://schemas.microsoft.com/office/drawing/2014/main" id="{00000000-0008-0000-2400-0000D5880D00}"/>
            </a:ext>
          </a:extLst>
        </xdr:cNvPr>
        <xdr:cNvSpPr>
          <a:spLocks noChangeArrowheads="1"/>
        </xdr:cNvSpPr>
      </xdr:nvSpPr>
      <xdr:spPr bwMode="auto">
        <a:xfrm>
          <a:off x="2235200" y="9753600"/>
          <a:ext cx="184150" cy="1841500"/>
        </a:xfrm>
        <a:prstGeom prst="rect">
          <a:avLst/>
        </a:prstGeom>
        <a:noFill/>
        <a:ln w="9525">
          <a:solidFill>
            <a:srgbClr val="0000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76200</xdr:colOff>
      <xdr:row>99</xdr:row>
      <xdr:rowOff>57150</xdr:rowOff>
    </xdr:from>
    <xdr:to>
      <xdr:col>29</xdr:col>
      <xdr:colOff>38100</xdr:colOff>
      <xdr:row>119</xdr:row>
      <xdr:rowOff>19050</xdr:rowOff>
    </xdr:to>
    <xdr:sp macro="" textlink="">
      <xdr:nvSpPr>
        <xdr:cNvPr id="886998" name="Rectangle 335" descr="Horizontal brick">
          <a:extLst>
            <a:ext uri="{FF2B5EF4-FFF2-40B4-BE49-F238E27FC236}">
              <a16:creationId xmlns="" xmlns:a16="http://schemas.microsoft.com/office/drawing/2014/main" id="{00000000-0008-0000-2400-0000D6880D00}"/>
            </a:ext>
          </a:extLst>
        </xdr:cNvPr>
        <xdr:cNvSpPr>
          <a:spLocks noChangeArrowheads="1"/>
        </xdr:cNvSpPr>
      </xdr:nvSpPr>
      <xdr:spPr bwMode="auto">
        <a:xfrm>
          <a:off x="3848100" y="9696450"/>
          <a:ext cx="241300" cy="18669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44450</xdr:colOff>
      <xdr:row>99</xdr:row>
      <xdr:rowOff>19050</xdr:rowOff>
    </xdr:from>
    <xdr:to>
      <xdr:col>29</xdr:col>
      <xdr:colOff>38100</xdr:colOff>
      <xdr:row>100</xdr:row>
      <xdr:rowOff>19050</xdr:rowOff>
    </xdr:to>
    <xdr:sp macro="" textlink="">
      <xdr:nvSpPr>
        <xdr:cNvPr id="886999" name="Rectangle 336">
          <a:extLst>
            <a:ext uri="{FF2B5EF4-FFF2-40B4-BE49-F238E27FC236}">
              <a16:creationId xmlns="" xmlns:a16="http://schemas.microsoft.com/office/drawing/2014/main" id="{00000000-0008-0000-2400-0000D7880D00}"/>
            </a:ext>
          </a:extLst>
        </xdr:cNvPr>
        <xdr:cNvSpPr>
          <a:spLocks noChangeArrowheads="1"/>
        </xdr:cNvSpPr>
      </xdr:nvSpPr>
      <xdr:spPr bwMode="auto">
        <a:xfrm flipV="1">
          <a:off x="1860550" y="9658350"/>
          <a:ext cx="2228850" cy="95250"/>
        </a:xfrm>
        <a:prstGeom prst="rect">
          <a:avLst/>
        </a:prstGeom>
        <a:solidFill>
          <a:srgbClr val="FFFFFF"/>
        </a:solidFill>
        <a:ln w="9525">
          <a:solidFill>
            <a:srgbClr val="000000"/>
          </a:solidFill>
          <a:miter lim="800000"/>
          <a:headEnd/>
          <a:tailEnd/>
        </a:ln>
      </xdr:spPr>
    </xdr:sp>
    <xdr:clientData/>
  </xdr:twoCellAnchor>
  <xdr:twoCellAnchor>
    <xdr:from>
      <xdr:col>30</xdr:col>
      <xdr:colOff>6350</xdr:colOff>
      <xdr:row>89</xdr:row>
      <xdr:rowOff>342900</xdr:rowOff>
    </xdr:from>
    <xdr:to>
      <xdr:col>31</xdr:col>
      <xdr:colOff>0</xdr:colOff>
      <xdr:row>120</xdr:row>
      <xdr:rowOff>63500</xdr:rowOff>
    </xdr:to>
    <xdr:sp macro="" textlink="">
      <xdr:nvSpPr>
        <xdr:cNvPr id="887000" name="Rectangle 343">
          <a:extLst>
            <a:ext uri="{FF2B5EF4-FFF2-40B4-BE49-F238E27FC236}">
              <a16:creationId xmlns="" xmlns:a16="http://schemas.microsoft.com/office/drawing/2014/main" id="{00000000-0008-0000-2400-0000D8880D00}"/>
            </a:ext>
          </a:extLst>
        </xdr:cNvPr>
        <xdr:cNvSpPr>
          <a:spLocks noChangeArrowheads="1"/>
        </xdr:cNvSpPr>
      </xdr:nvSpPr>
      <xdr:spPr bwMode="auto">
        <a:xfrm>
          <a:off x="4197350" y="8782050"/>
          <a:ext cx="133350" cy="292100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27</xdr:col>
      <xdr:colOff>25400</xdr:colOff>
      <xdr:row>120</xdr:row>
      <xdr:rowOff>57150</xdr:rowOff>
    </xdr:from>
    <xdr:to>
      <xdr:col>29</xdr:col>
      <xdr:colOff>63500</xdr:colOff>
      <xdr:row>122</xdr:row>
      <xdr:rowOff>57150</xdr:rowOff>
    </xdr:to>
    <xdr:sp macro="" textlink="">
      <xdr:nvSpPr>
        <xdr:cNvPr id="887001" name="Rectangle 344">
          <a:extLst>
            <a:ext uri="{FF2B5EF4-FFF2-40B4-BE49-F238E27FC236}">
              <a16:creationId xmlns="" xmlns:a16="http://schemas.microsoft.com/office/drawing/2014/main" id="{00000000-0008-0000-2400-0000D9880D00}"/>
            </a:ext>
          </a:extLst>
        </xdr:cNvPr>
        <xdr:cNvSpPr>
          <a:spLocks noChangeArrowheads="1"/>
        </xdr:cNvSpPr>
      </xdr:nvSpPr>
      <xdr:spPr bwMode="auto">
        <a:xfrm>
          <a:off x="3797300" y="11696700"/>
          <a:ext cx="317500" cy="190500"/>
        </a:xfrm>
        <a:prstGeom prst="rect">
          <a:avLst/>
        </a:prstGeom>
        <a:solidFill>
          <a:srgbClr val="FFFFFF"/>
        </a:solidFill>
        <a:ln w="9525">
          <a:solidFill>
            <a:srgbClr val="000000"/>
          </a:solidFill>
          <a:miter lim="800000"/>
          <a:headEnd/>
          <a:tailEnd/>
        </a:ln>
      </xdr:spPr>
    </xdr:sp>
    <xdr:clientData/>
  </xdr:twoCellAnchor>
  <xdr:twoCellAnchor>
    <xdr:from>
      <xdr:col>17</xdr:col>
      <xdr:colOff>57150</xdr:colOff>
      <xdr:row>135</xdr:row>
      <xdr:rowOff>31750</xdr:rowOff>
    </xdr:from>
    <xdr:to>
      <xdr:col>37</xdr:col>
      <xdr:colOff>38100</xdr:colOff>
      <xdr:row>135</xdr:row>
      <xdr:rowOff>38100</xdr:rowOff>
    </xdr:to>
    <xdr:sp macro="" textlink="">
      <xdr:nvSpPr>
        <xdr:cNvPr id="887002" name="Line 347">
          <a:extLst>
            <a:ext uri="{FF2B5EF4-FFF2-40B4-BE49-F238E27FC236}">
              <a16:creationId xmlns="" xmlns:a16="http://schemas.microsoft.com/office/drawing/2014/main" id="{00000000-0008-0000-2400-0000DA880D00}"/>
            </a:ext>
          </a:extLst>
        </xdr:cNvPr>
        <xdr:cNvSpPr>
          <a:spLocks noChangeShapeType="1"/>
        </xdr:cNvSpPr>
      </xdr:nvSpPr>
      <xdr:spPr bwMode="auto">
        <a:xfrm flipV="1">
          <a:off x="2432050" y="13100050"/>
          <a:ext cx="2774950" cy="63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29</xdr:col>
      <xdr:colOff>57150</xdr:colOff>
      <xdr:row>87</xdr:row>
      <xdr:rowOff>57150</xdr:rowOff>
    </xdr:from>
    <xdr:to>
      <xdr:col>31</xdr:col>
      <xdr:colOff>38100</xdr:colOff>
      <xdr:row>90</xdr:row>
      <xdr:rowOff>0</xdr:rowOff>
    </xdr:to>
    <xdr:sp macro="" textlink="">
      <xdr:nvSpPr>
        <xdr:cNvPr id="887003" name="Rectangle 354" descr="Outlined diamond">
          <a:extLst>
            <a:ext uri="{FF2B5EF4-FFF2-40B4-BE49-F238E27FC236}">
              <a16:creationId xmlns="" xmlns:a16="http://schemas.microsoft.com/office/drawing/2014/main" id="{00000000-0008-0000-2400-0000DB880D00}"/>
            </a:ext>
          </a:extLst>
        </xdr:cNvPr>
        <xdr:cNvSpPr>
          <a:spLocks noChangeArrowheads="1"/>
        </xdr:cNvSpPr>
      </xdr:nvSpPr>
      <xdr:spPr bwMode="auto">
        <a:xfrm flipV="1">
          <a:off x="4108450" y="8553450"/>
          <a:ext cx="260350" cy="2286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editAs="oneCell">
    <xdr:from>
      <xdr:col>25</xdr:col>
      <xdr:colOff>22860</xdr:colOff>
      <xdr:row>134</xdr:row>
      <xdr:rowOff>1</xdr:rowOff>
    </xdr:from>
    <xdr:to>
      <xdr:col>27</xdr:col>
      <xdr:colOff>71</xdr:colOff>
      <xdr:row>138</xdr:row>
      <xdr:rowOff>28571</xdr:rowOff>
    </xdr:to>
    <xdr:sp macro="" textlink="">
      <xdr:nvSpPr>
        <xdr:cNvPr id="424" name="Text Box 355">
          <a:extLst>
            <a:ext uri="{FF2B5EF4-FFF2-40B4-BE49-F238E27FC236}">
              <a16:creationId xmlns="" xmlns:a16="http://schemas.microsoft.com/office/drawing/2014/main" id="{00000000-0008-0000-2400-0000A8010000}"/>
            </a:ext>
          </a:extLst>
        </xdr:cNvPr>
        <xdr:cNvSpPr txBox="1">
          <a:spLocks noChangeArrowheads="1"/>
        </xdr:cNvSpPr>
      </xdr:nvSpPr>
      <xdr:spPr bwMode="auto">
        <a:xfrm>
          <a:off x="3581400" y="12877801"/>
          <a:ext cx="276225" cy="4000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245</a:t>
          </a:r>
        </a:p>
      </xdr:txBody>
    </xdr:sp>
    <xdr:clientData/>
  </xdr:twoCellAnchor>
  <xdr:twoCellAnchor>
    <xdr:from>
      <xdr:col>24</xdr:col>
      <xdr:colOff>6350</xdr:colOff>
      <xdr:row>120</xdr:row>
      <xdr:rowOff>50800</xdr:rowOff>
    </xdr:from>
    <xdr:to>
      <xdr:col>24</xdr:col>
      <xdr:colOff>6350</xdr:colOff>
      <xdr:row>143</xdr:row>
      <xdr:rowOff>50800</xdr:rowOff>
    </xdr:to>
    <xdr:sp macro="" textlink="">
      <xdr:nvSpPr>
        <xdr:cNvPr id="887005" name="Line 356">
          <a:extLst>
            <a:ext uri="{FF2B5EF4-FFF2-40B4-BE49-F238E27FC236}">
              <a16:creationId xmlns="" xmlns:a16="http://schemas.microsoft.com/office/drawing/2014/main" id="{00000000-0008-0000-2400-0000DD880D00}"/>
            </a:ext>
          </a:extLst>
        </xdr:cNvPr>
        <xdr:cNvSpPr>
          <a:spLocks noChangeShapeType="1"/>
        </xdr:cNvSpPr>
      </xdr:nvSpPr>
      <xdr:spPr bwMode="auto">
        <a:xfrm>
          <a:off x="3359150" y="11690350"/>
          <a:ext cx="0" cy="21907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21</xdr:col>
      <xdr:colOff>95885</xdr:colOff>
      <xdr:row>128</xdr:row>
      <xdr:rowOff>56516</xdr:rowOff>
    </xdr:from>
    <xdr:to>
      <xdr:col>23</xdr:col>
      <xdr:colOff>120352</xdr:colOff>
      <xdr:row>134</xdr:row>
      <xdr:rowOff>60958</xdr:rowOff>
    </xdr:to>
    <xdr:sp macro="" textlink="">
      <xdr:nvSpPr>
        <xdr:cNvPr id="426" name="Text Box 359">
          <a:extLst>
            <a:ext uri="{FF2B5EF4-FFF2-40B4-BE49-F238E27FC236}">
              <a16:creationId xmlns="" xmlns:a16="http://schemas.microsoft.com/office/drawing/2014/main" id="{00000000-0008-0000-2400-0000AA010000}"/>
            </a:ext>
          </a:extLst>
        </xdr:cNvPr>
        <xdr:cNvSpPr txBox="1">
          <a:spLocks noChangeArrowheads="1"/>
        </xdr:cNvSpPr>
      </xdr:nvSpPr>
      <xdr:spPr bwMode="auto">
        <a:xfrm>
          <a:off x="3105150" y="12372976"/>
          <a:ext cx="323850" cy="5429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160</a:t>
          </a:r>
        </a:p>
      </xdr:txBody>
    </xdr:sp>
    <xdr:clientData/>
  </xdr:twoCellAnchor>
  <xdr:twoCellAnchor>
    <xdr:from>
      <xdr:col>16</xdr:col>
      <xdr:colOff>6350</xdr:colOff>
      <xdr:row>102</xdr:row>
      <xdr:rowOff>0</xdr:rowOff>
    </xdr:from>
    <xdr:to>
      <xdr:col>17</xdr:col>
      <xdr:colOff>57150</xdr:colOff>
      <xdr:row>119</xdr:row>
      <xdr:rowOff>38100</xdr:rowOff>
    </xdr:to>
    <xdr:sp macro="" textlink="">
      <xdr:nvSpPr>
        <xdr:cNvPr id="887007" name="Rectangle 360">
          <a:extLst>
            <a:ext uri="{FF2B5EF4-FFF2-40B4-BE49-F238E27FC236}">
              <a16:creationId xmlns="" xmlns:a16="http://schemas.microsoft.com/office/drawing/2014/main" id="{00000000-0008-0000-2400-0000DF880D00}"/>
            </a:ext>
          </a:extLst>
        </xdr:cNvPr>
        <xdr:cNvSpPr>
          <a:spLocks noChangeArrowheads="1"/>
        </xdr:cNvSpPr>
      </xdr:nvSpPr>
      <xdr:spPr bwMode="auto">
        <a:xfrm>
          <a:off x="2241550" y="9925050"/>
          <a:ext cx="190500" cy="1657350"/>
        </a:xfrm>
        <a:prstGeom prst="rect">
          <a:avLst/>
        </a:prstGeom>
        <a:solidFill>
          <a:srgbClr val="FFFFFF"/>
        </a:solidFill>
        <a:ln w="9525">
          <a:solidFill>
            <a:srgbClr val="000000"/>
          </a:solidFill>
          <a:miter lim="800000"/>
          <a:headEnd/>
          <a:tailEnd/>
        </a:ln>
      </xdr:spPr>
    </xdr:sp>
    <xdr:clientData/>
  </xdr:twoCellAnchor>
  <xdr:twoCellAnchor>
    <xdr:from>
      <xdr:col>16</xdr:col>
      <xdr:colOff>82550</xdr:colOff>
      <xdr:row>101</xdr:row>
      <xdr:rowOff>63500</xdr:rowOff>
    </xdr:from>
    <xdr:to>
      <xdr:col>16</xdr:col>
      <xdr:colOff>82550</xdr:colOff>
      <xdr:row>119</xdr:row>
      <xdr:rowOff>38100</xdr:rowOff>
    </xdr:to>
    <xdr:sp macro="" textlink="">
      <xdr:nvSpPr>
        <xdr:cNvPr id="887008" name="Line 361">
          <a:extLst>
            <a:ext uri="{FF2B5EF4-FFF2-40B4-BE49-F238E27FC236}">
              <a16:creationId xmlns="" xmlns:a16="http://schemas.microsoft.com/office/drawing/2014/main" id="{00000000-0008-0000-2400-0000E0880D00}"/>
            </a:ext>
          </a:extLst>
        </xdr:cNvPr>
        <xdr:cNvSpPr>
          <a:spLocks noChangeShapeType="1"/>
        </xdr:cNvSpPr>
      </xdr:nvSpPr>
      <xdr:spPr bwMode="auto">
        <a:xfrm>
          <a:off x="2317750" y="9893300"/>
          <a:ext cx="0" cy="1689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100</xdr:row>
      <xdr:rowOff>38100</xdr:rowOff>
    </xdr:from>
    <xdr:to>
      <xdr:col>17</xdr:col>
      <xdr:colOff>57150</xdr:colOff>
      <xdr:row>102</xdr:row>
      <xdr:rowOff>0</xdr:rowOff>
    </xdr:to>
    <xdr:sp macro="" textlink="">
      <xdr:nvSpPr>
        <xdr:cNvPr id="887009" name="Rectangle 362">
          <a:extLst>
            <a:ext uri="{FF2B5EF4-FFF2-40B4-BE49-F238E27FC236}">
              <a16:creationId xmlns="" xmlns:a16="http://schemas.microsoft.com/office/drawing/2014/main" id="{00000000-0008-0000-2400-0000E1880D00}"/>
            </a:ext>
          </a:extLst>
        </xdr:cNvPr>
        <xdr:cNvSpPr>
          <a:spLocks noChangeArrowheads="1"/>
        </xdr:cNvSpPr>
      </xdr:nvSpPr>
      <xdr:spPr bwMode="auto">
        <a:xfrm>
          <a:off x="2235200" y="9772650"/>
          <a:ext cx="196850" cy="152400"/>
        </a:xfrm>
        <a:prstGeom prst="rect">
          <a:avLst/>
        </a:prstGeom>
        <a:solidFill>
          <a:srgbClr val="FFFFFF"/>
        </a:solidFill>
        <a:ln w="9525">
          <a:solidFill>
            <a:srgbClr val="000000"/>
          </a:solidFill>
          <a:miter lim="800000"/>
          <a:headEnd/>
          <a:tailEnd/>
        </a:ln>
      </xdr:spPr>
    </xdr:sp>
    <xdr:clientData/>
  </xdr:twoCellAnchor>
  <xdr:twoCellAnchor>
    <xdr:from>
      <xdr:col>12</xdr:col>
      <xdr:colOff>19050</xdr:colOff>
      <xdr:row>95</xdr:row>
      <xdr:rowOff>19050</xdr:rowOff>
    </xdr:from>
    <xdr:to>
      <xdr:col>33</xdr:col>
      <xdr:colOff>82550</xdr:colOff>
      <xdr:row>95</xdr:row>
      <xdr:rowOff>63500</xdr:rowOff>
    </xdr:to>
    <xdr:sp macro="" textlink="">
      <xdr:nvSpPr>
        <xdr:cNvPr id="887010" name="Rectangle 337">
          <a:extLst>
            <a:ext uri="{FF2B5EF4-FFF2-40B4-BE49-F238E27FC236}">
              <a16:creationId xmlns="" xmlns:a16="http://schemas.microsoft.com/office/drawing/2014/main" id="{00000000-0008-0000-2400-0000E2880D00}"/>
            </a:ext>
          </a:extLst>
        </xdr:cNvPr>
        <xdr:cNvSpPr>
          <a:spLocks noChangeArrowheads="1"/>
        </xdr:cNvSpPr>
      </xdr:nvSpPr>
      <xdr:spPr bwMode="auto">
        <a:xfrm rot="20642753" flipH="1">
          <a:off x="1695450" y="9277350"/>
          <a:ext cx="2997200" cy="44450"/>
        </a:xfrm>
        <a:prstGeom prst="rect">
          <a:avLst/>
        </a:prstGeom>
        <a:solidFill>
          <a:srgbClr val="FFFFFF"/>
        </a:solidFill>
        <a:ln w="9525">
          <a:solidFill>
            <a:srgbClr val="000000"/>
          </a:solidFill>
          <a:miter lim="800000"/>
          <a:headEnd/>
          <a:tailEnd/>
        </a:ln>
      </xdr:spPr>
    </xdr:sp>
    <xdr:clientData/>
  </xdr:twoCellAnchor>
  <xdr:twoCellAnchor>
    <xdr:from>
      <xdr:col>27</xdr:col>
      <xdr:colOff>0</xdr:colOff>
      <xdr:row>93</xdr:row>
      <xdr:rowOff>63500</xdr:rowOff>
    </xdr:from>
    <xdr:to>
      <xdr:col>27</xdr:col>
      <xdr:colOff>57150</xdr:colOff>
      <xdr:row>100</xdr:row>
      <xdr:rowOff>31750</xdr:rowOff>
    </xdr:to>
    <xdr:sp macro="" textlink="">
      <xdr:nvSpPr>
        <xdr:cNvPr id="887011" name="Rectangle 338">
          <a:extLst>
            <a:ext uri="{FF2B5EF4-FFF2-40B4-BE49-F238E27FC236}">
              <a16:creationId xmlns="" xmlns:a16="http://schemas.microsoft.com/office/drawing/2014/main" id="{00000000-0008-0000-2400-0000E3880D00}"/>
            </a:ext>
          </a:extLst>
        </xdr:cNvPr>
        <xdr:cNvSpPr>
          <a:spLocks noChangeArrowheads="1"/>
        </xdr:cNvSpPr>
      </xdr:nvSpPr>
      <xdr:spPr bwMode="auto">
        <a:xfrm>
          <a:off x="3771900" y="9131300"/>
          <a:ext cx="57150" cy="635000"/>
        </a:xfrm>
        <a:prstGeom prst="rect">
          <a:avLst/>
        </a:prstGeom>
        <a:solidFill>
          <a:srgbClr val="FFFFFF"/>
        </a:solidFill>
        <a:ln w="9525">
          <a:solidFill>
            <a:srgbClr val="000000"/>
          </a:solidFill>
          <a:miter lim="800000"/>
          <a:headEnd/>
          <a:tailEnd/>
        </a:ln>
      </xdr:spPr>
    </xdr:sp>
    <xdr:clientData/>
  </xdr:twoCellAnchor>
  <xdr:twoCellAnchor>
    <xdr:from>
      <xdr:col>24</xdr:col>
      <xdr:colOff>38100</xdr:colOff>
      <xdr:row>95</xdr:row>
      <xdr:rowOff>12700</xdr:rowOff>
    </xdr:from>
    <xdr:to>
      <xdr:col>25</xdr:col>
      <xdr:colOff>0</xdr:colOff>
      <xdr:row>100</xdr:row>
      <xdr:rowOff>19050</xdr:rowOff>
    </xdr:to>
    <xdr:sp macro="" textlink="">
      <xdr:nvSpPr>
        <xdr:cNvPr id="887012" name="Rectangle 339">
          <a:extLst>
            <a:ext uri="{FF2B5EF4-FFF2-40B4-BE49-F238E27FC236}">
              <a16:creationId xmlns="" xmlns:a16="http://schemas.microsoft.com/office/drawing/2014/main" id="{00000000-0008-0000-2400-0000E4880D00}"/>
            </a:ext>
          </a:extLst>
        </xdr:cNvPr>
        <xdr:cNvSpPr>
          <a:spLocks noChangeArrowheads="1"/>
        </xdr:cNvSpPr>
      </xdr:nvSpPr>
      <xdr:spPr bwMode="auto">
        <a:xfrm flipH="1">
          <a:off x="3390900" y="9271000"/>
          <a:ext cx="101600" cy="482600"/>
        </a:xfrm>
        <a:prstGeom prst="rect">
          <a:avLst/>
        </a:prstGeom>
        <a:solidFill>
          <a:srgbClr val="FFFFFF"/>
        </a:solidFill>
        <a:ln w="9525">
          <a:solidFill>
            <a:srgbClr val="000000"/>
          </a:solidFill>
          <a:miter lim="800000"/>
          <a:headEnd/>
          <a:tailEnd/>
        </a:ln>
      </xdr:spPr>
    </xdr:sp>
    <xdr:clientData/>
  </xdr:twoCellAnchor>
  <xdr:twoCellAnchor>
    <xdr:from>
      <xdr:col>21</xdr:col>
      <xdr:colOff>38100</xdr:colOff>
      <xdr:row>96</xdr:row>
      <xdr:rowOff>19050</xdr:rowOff>
    </xdr:from>
    <xdr:to>
      <xdr:col>21</xdr:col>
      <xdr:colOff>76200</xdr:colOff>
      <xdr:row>100</xdr:row>
      <xdr:rowOff>31750</xdr:rowOff>
    </xdr:to>
    <xdr:sp macro="" textlink="">
      <xdr:nvSpPr>
        <xdr:cNvPr id="887013" name="Rectangle 340">
          <a:extLst>
            <a:ext uri="{FF2B5EF4-FFF2-40B4-BE49-F238E27FC236}">
              <a16:creationId xmlns="" xmlns:a16="http://schemas.microsoft.com/office/drawing/2014/main" id="{00000000-0008-0000-2400-0000E5880D00}"/>
            </a:ext>
          </a:extLst>
        </xdr:cNvPr>
        <xdr:cNvSpPr>
          <a:spLocks noChangeArrowheads="1"/>
        </xdr:cNvSpPr>
      </xdr:nvSpPr>
      <xdr:spPr bwMode="auto">
        <a:xfrm flipH="1">
          <a:off x="2971800" y="9372600"/>
          <a:ext cx="38100" cy="393700"/>
        </a:xfrm>
        <a:prstGeom prst="rect">
          <a:avLst/>
        </a:prstGeom>
        <a:solidFill>
          <a:srgbClr val="FFFFFF"/>
        </a:solidFill>
        <a:ln w="9525">
          <a:solidFill>
            <a:srgbClr val="000000"/>
          </a:solidFill>
          <a:miter lim="800000"/>
          <a:headEnd/>
          <a:tailEnd/>
        </a:ln>
      </xdr:spPr>
    </xdr:sp>
    <xdr:clientData/>
  </xdr:twoCellAnchor>
  <xdr:twoCellAnchor>
    <xdr:from>
      <xdr:col>18</xdr:col>
      <xdr:colOff>76200</xdr:colOff>
      <xdr:row>97</xdr:row>
      <xdr:rowOff>19050</xdr:rowOff>
    </xdr:from>
    <xdr:to>
      <xdr:col>19</xdr:col>
      <xdr:colOff>38100</xdr:colOff>
      <xdr:row>100</xdr:row>
      <xdr:rowOff>31750</xdr:rowOff>
    </xdr:to>
    <xdr:sp macro="" textlink="">
      <xdr:nvSpPr>
        <xdr:cNvPr id="887014" name="Rectangle 341">
          <a:extLst>
            <a:ext uri="{FF2B5EF4-FFF2-40B4-BE49-F238E27FC236}">
              <a16:creationId xmlns="" xmlns:a16="http://schemas.microsoft.com/office/drawing/2014/main" id="{00000000-0008-0000-2400-0000E6880D00}"/>
            </a:ext>
          </a:extLst>
        </xdr:cNvPr>
        <xdr:cNvSpPr>
          <a:spLocks noChangeArrowheads="1"/>
        </xdr:cNvSpPr>
      </xdr:nvSpPr>
      <xdr:spPr bwMode="auto">
        <a:xfrm flipH="1">
          <a:off x="2590800" y="9467850"/>
          <a:ext cx="101600" cy="298450"/>
        </a:xfrm>
        <a:prstGeom prst="rect">
          <a:avLst/>
        </a:prstGeom>
        <a:solidFill>
          <a:srgbClr val="FFFFFF"/>
        </a:solidFill>
        <a:ln w="9525">
          <a:solidFill>
            <a:srgbClr val="000000"/>
          </a:solidFill>
          <a:miter lim="800000"/>
          <a:headEnd/>
          <a:tailEnd/>
        </a:ln>
      </xdr:spPr>
    </xdr:sp>
    <xdr:clientData/>
  </xdr:twoCellAnchor>
  <xdr:twoCellAnchor>
    <xdr:from>
      <xdr:col>11</xdr:col>
      <xdr:colOff>25400</xdr:colOff>
      <xdr:row>90</xdr:row>
      <xdr:rowOff>19050</xdr:rowOff>
    </xdr:from>
    <xdr:to>
      <xdr:col>34</xdr:col>
      <xdr:colOff>0</xdr:colOff>
      <xdr:row>100</xdr:row>
      <xdr:rowOff>31750</xdr:rowOff>
    </xdr:to>
    <xdr:sp macro="" textlink="">
      <xdr:nvSpPr>
        <xdr:cNvPr id="887015" name="Line 352">
          <a:extLst>
            <a:ext uri="{FF2B5EF4-FFF2-40B4-BE49-F238E27FC236}">
              <a16:creationId xmlns="" xmlns:a16="http://schemas.microsoft.com/office/drawing/2014/main" id="{00000000-0008-0000-2400-0000E7880D00}"/>
            </a:ext>
          </a:extLst>
        </xdr:cNvPr>
        <xdr:cNvSpPr>
          <a:spLocks noChangeShapeType="1"/>
        </xdr:cNvSpPr>
      </xdr:nvSpPr>
      <xdr:spPr bwMode="auto">
        <a:xfrm flipH="1">
          <a:off x="1562100" y="8801100"/>
          <a:ext cx="3187700" cy="96520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76200</xdr:colOff>
      <xdr:row>93</xdr:row>
      <xdr:rowOff>19050</xdr:rowOff>
    </xdr:from>
    <xdr:to>
      <xdr:col>29</xdr:col>
      <xdr:colOff>44450</xdr:colOff>
      <xdr:row>100</xdr:row>
      <xdr:rowOff>19050</xdr:rowOff>
    </xdr:to>
    <xdr:sp macro="" textlink="">
      <xdr:nvSpPr>
        <xdr:cNvPr id="887016" name="Rectangle 364" descr="Horizontal brick">
          <a:extLst>
            <a:ext uri="{FF2B5EF4-FFF2-40B4-BE49-F238E27FC236}">
              <a16:creationId xmlns="" xmlns:a16="http://schemas.microsoft.com/office/drawing/2014/main" id="{00000000-0008-0000-2400-0000E8880D00}"/>
            </a:ext>
          </a:extLst>
        </xdr:cNvPr>
        <xdr:cNvSpPr>
          <a:spLocks noChangeArrowheads="1"/>
        </xdr:cNvSpPr>
      </xdr:nvSpPr>
      <xdr:spPr bwMode="auto">
        <a:xfrm>
          <a:off x="3848100" y="9086850"/>
          <a:ext cx="247650" cy="66675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22</xdr:col>
      <xdr:colOff>76200</xdr:colOff>
      <xdr:row>100</xdr:row>
      <xdr:rowOff>31750</xdr:rowOff>
    </xdr:from>
    <xdr:to>
      <xdr:col>22</xdr:col>
      <xdr:colOff>82550</xdr:colOff>
      <xdr:row>119</xdr:row>
      <xdr:rowOff>31750</xdr:rowOff>
    </xdr:to>
    <xdr:sp macro="" textlink="">
      <xdr:nvSpPr>
        <xdr:cNvPr id="887017" name="Line 365">
          <a:extLst>
            <a:ext uri="{FF2B5EF4-FFF2-40B4-BE49-F238E27FC236}">
              <a16:creationId xmlns="" xmlns:a16="http://schemas.microsoft.com/office/drawing/2014/main" id="{00000000-0008-0000-2400-0000E9880D00}"/>
            </a:ext>
          </a:extLst>
        </xdr:cNvPr>
        <xdr:cNvSpPr>
          <a:spLocks noChangeShapeType="1"/>
        </xdr:cNvSpPr>
      </xdr:nvSpPr>
      <xdr:spPr bwMode="auto">
        <a:xfrm flipH="1">
          <a:off x="3149600" y="9766300"/>
          <a:ext cx="6350" cy="18097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23</xdr:col>
      <xdr:colOff>36830</xdr:colOff>
      <xdr:row>110</xdr:row>
      <xdr:rowOff>60960</xdr:rowOff>
    </xdr:from>
    <xdr:to>
      <xdr:col>35</xdr:col>
      <xdr:colOff>645</xdr:colOff>
      <xdr:row>119</xdr:row>
      <xdr:rowOff>61524</xdr:rowOff>
    </xdr:to>
    <xdr:sp macro="" textlink="">
      <xdr:nvSpPr>
        <xdr:cNvPr id="438" name="Text Box 366">
          <a:extLst>
            <a:ext uri="{FF2B5EF4-FFF2-40B4-BE49-F238E27FC236}">
              <a16:creationId xmlns="" xmlns:a16="http://schemas.microsoft.com/office/drawing/2014/main" id="{00000000-0008-0000-2400-0000B6010000}"/>
            </a:ext>
          </a:extLst>
        </xdr:cNvPr>
        <xdr:cNvSpPr txBox="1">
          <a:spLocks noChangeArrowheads="1"/>
        </xdr:cNvSpPr>
      </xdr:nvSpPr>
      <xdr:spPr bwMode="auto">
        <a:xfrm>
          <a:off x="3343275" y="10639425"/>
          <a:ext cx="1657350" cy="8191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220</a:t>
          </a:r>
        </a:p>
      </xdr:txBody>
    </xdr:sp>
    <xdr:clientData/>
  </xdr:twoCellAnchor>
  <xdr:twoCellAnchor>
    <xdr:from>
      <xdr:col>10</xdr:col>
      <xdr:colOff>6350</xdr:colOff>
      <xdr:row>91</xdr:row>
      <xdr:rowOff>0</xdr:rowOff>
    </xdr:from>
    <xdr:to>
      <xdr:col>10</xdr:col>
      <xdr:colOff>6350</xdr:colOff>
      <xdr:row>99</xdr:row>
      <xdr:rowOff>57150</xdr:rowOff>
    </xdr:to>
    <xdr:sp macro="" textlink="">
      <xdr:nvSpPr>
        <xdr:cNvPr id="887019" name="Line 367">
          <a:extLst>
            <a:ext uri="{FF2B5EF4-FFF2-40B4-BE49-F238E27FC236}">
              <a16:creationId xmlns="" xmlns:a16="http://schemas.microsoft.com/office/drawing/2014/main" id="{00000000-0008-0000-2400-0000EB880D00}"/>
            </a:ext>
          </a:extLst>
        </xdr:cNvPr>
        <xdr:cNvSpPr>
          <a:spLocks noChangeShapeType="1"/>
        </xdr:cNvSpPr>
      </xdr:nvSpPr>
      <xdr:spPr bwMode="auto">
        <a:xfrm>
          <a:off x="1403350" y="8877300"/>
          <a:ext cx="0" cy="8191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11</xdr:col>
      <xdr:colOff>6350</xdr:colOff>
      <xdr:row>96</xdr:row>
      <xdr:rowOff>19050</xdr:rowOff>
    </xdr:from>
    <xdr:to>
      <xdr:col>11</xdr:col>
      <xdr:colOff>63500</xdr:colOff>
      <xdr:row>104</xdr:row>
      <xdr:rowOff>63500</xdr:rowOff>
    </xdr:to>
    <xdr:sp macro="" textlink="">
      <xdr:nvSpPr>
        <xdr:cNvPr id="887020" name="Text Box 368">
          <a:extLst>
            <a:ext uri="{FF2B5EF4-FFF2-40B4-BE49-F238E27FC236}">
              <a16:creationId xmlns="" xmlns:a16="http://schemas.microsoft.com/office/drawing/2014/main" id="{00000000-0008-0000-2400-0000EC880D00}"/>
            </a:ext>
          </a:extLst>
        </xdr:cNvPr>
        <xdr:cNvSpPr txBox="1">
          <a:spLocks noChangeArrowheads="1"/>
        </xdr:cNvSpPr>
      </xdr:nvSpPr>
      <xdr:spPr bwMode="auto">
        <a:xfrm>
          <a:off x="1543050" y="9372600"/>
          <a:ext cx="57150" cy="806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6350</xdr:colOff>
      <xdr:row>96</xdr:row>
      <xdr:rowOff>12700</xdr:rowOff>
    </xdr:from>
    <xdr:to>
      <xdr:col>11</xdr:col>
      <xdr:colOff>63500</xdr:colOff>
      <xdr:row>104</xdr:row>
      <xdr:rowOff>57150</xdr:rowOff>
    </xdr:to>
    <xdr:sp macro="" textlink="">
      <xdr:nvSpPr>
        <xdr:cNvPr id="887021" name="Text Box 369">
          <a:extLst>
            <a:ext uri="{FF2B5EF4-FFF2-40B4-BE49-F238E27FC236}">
              <a16:creationId xmlns="" xmlns:a16="http://schemas.microsoft.com/office/drawing/2014/main" id="{00000000-0008-0000-2400-0000ED880D00}"/>
            </a:ext>
          </a:extLst>
        </xdr:cNvPr>
        <xdr:cNvSpPr txBox="1">
          <a:spLocks noChangeArrowheads="1"/>
        </xdr:cNvSpPr>
      </xdr:nvSpPr>
      <xdr:spPr bwMode="auto">
        <a:xfrm>
          <a:off x="1543050" y="9366250"/>
          <a:ext cx="57150" cy="806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11</xdr:col>
      <xdr:colOff>34925</xdr:colOff>
      <xdr:row>95</xdr:row>
      <xdr:rowOff>0</xdr:rowOff>
    </xdr:from>
    <xdr:ext cx="161070" cy="189511"/>
    <xdr:sp macro="" textlink="">
      <xdr:nvSpPr>
        <xdr:cNvPr id="442" name="Text Box 370">
          <a:extLst>
            <a:ext uri="{FF2B5EF4-FFF2-40B4-BE49-F238E27FC236}">
              <a16:creationId xmlns="" xmlns:a16="http://schemas.microsoft.com/office/drawing/2014/main" id="{00000000-0008-0000-2400-0000BA010000}"/>
            </a:ext>
          </a:extLst>
        </xdr:cNvPr>
        <xdr:cNvSpPr txBox="1">
          <a:spLocks noChangeArrowheads="1"/>
        </xdr:cNvSpPr>
      </xdr:nvSpPr>
      <xdr:spPr bwMode="auto">
        <a:xfrm>
          <a:off x="1606550" y="9258300"/>
          <a:ext cx="161070"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fr-FR" sz="1000" b="1" i="0" strike="noStrike">
              <a:solidFill>
                <a:srgbClr val="000000"/>
              </a:solidFill>
              <a:latin typeface="Arial"/>
              <a:cs typeface="Arial"/>
            </a:rPr>
            <a:t>40</a:t>
          </a:r>
        </a:p>
      </xdr:txBody>
    </xdr:sp>
    <xdr:clientData/>
  </xdr:oneCellAnchor>
  <xdr:twoCellAnchor editAs="oneCell">
    <xdr:from>
      <xdr:col>34</xdr:col>
      <xdr:colOff>1</xdr:colOff>
      <xdr:row>90</xdr:row>
      <xdr:rowOff>0</xdr:rowOff>
    </xdr:from>
    <xdr:to>
      <xdr:col>46</xdr:col>
      <xdr:colOff>37</xdr:colOff>
      <xdr:row>90</xdr:row>
      <xdr:rowOff>3175</xdr:rowOff>
    </xdr:to>
    <xdr:sp macro="" textlink="">
      <xdr:nvSpPr>
        <xdr:cNvPr id="443" name="Text Box 372">
          <a:extLst>
            <a:ext uri="{FF2B5EF4-FFF2-40B4-BE49-F238E27FC236}">
              <a16:creationId xmlns="" xmlns:a16="http://schemas.microsoft.com/office/drawing/2014/main" id="{00000000-0008-0000-2400-0000BB010000}"/>
            </a:ext>
          </a:extLst>
        </xdr:cNvPr>
        <xdr:cNvSpPr txBox="1">
          <a:spLocks noChangeArrowheads="1"/>
        </xdr:cNvSpPr>
      </xdr:nvSpPr>
      <xdr:spPr bwMode="auto">
        <a:xfrm>
          <a:off x="4867276" y="8686800"/>
          <a:ext cx="1704975" cy="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50cm</a:t>
          </a:r>
        </a:p>
      </xdr:txBody>
    </xdr:sp>
    <xdr:clientData/>
  </xdr:twoCellAnchor>
  <xdr:twoCellAnchor>
    <xdr:from>
      <xdr:col>9</xdr:col>
      <xdr:colOff>63500</xdr:colOff>
      <xdr:row>123</xdr:row>
      <xdr:rowOff>57150</xdr:rowOff>
    </xdr:from>
    <xdr:to>
      <xdr:col>15</xdr:col>
      <xdr:colOff>57150</xdr:colOff>
      <xdr:row>123</xdr:row>
      <xdr:rowOff>57150</xdr:rowOff>
    </xdr:to>
    <xdr:sp macro="" textlink="">
      <xdr:nvSpPr>
        <xdr:cNvPr id="887024" name="Line 377">
          <a:extLst>
            <a:ext uri="{FF2B5EF4-FFF2-40B4-BE49-F238E27FC236}">
              <a16:creationId xmlns="" xmlns:a16="http://schemas.microsoft.com/office/drawing/2014/main" id="{00000000-0008-0000-2400-0000F0880D00}"/>
            </a:ext>
          </a:extLst>
        </xdr:cNvPr>
        <xdr:cNvSpPr>
          <a:spLocks noChangeShapeType="1"/>
        </xdr:cNvSpPr>
      </xdr:nvSpPr>
      <xdr:spPr bwMode="auto">
        <a:xfrm>
          <a:off x="1320800" y="11982450"/>
          <a:ext cx="831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63500</xdr:colOff>
      <xdr:row>119</xdr:row>
      <xdr:rowOff>31750</xdr:rowOff>
    </xdr:from>
    <xdr:to>
      <xdr:col>35</xdr:col>
      <xdr:colOff>0</xdr:colOff>
      <xdr:row>120</xdr:row>
      <xdr:rowOff>57150</xdr:rowOff>
    </xdr:to>
    <xdr:sp macro="" textlink="">
      <xdr:nvSpPr>
        <xdr:cNvPr id="887025" name="Rectangle 379">
          <a:extLst>
            <a:ext uri="{FF2B5EF4-FFF2-40B4-BE49-F238E27FC236}">
              <a16:creationId xmlns="" xmlns:a16="http://schemas.microsoft.com/office/drawing/2014/main" id="{00000000-0008-0000-2400-0000F1880D00}"/>
            </a:ext>
          </a:extLst>
        </xdr:cNvPr>
        <xdr:cNvSpPr>
          <a:spLocks noChangeArrowheads="1"/>
        </xdr:cNvSpPr>
      </xdr:nvSpPr>
      <xdr:spPr bwMode="auto">
        <a:xfrm>
          <a:off x="4394200" y="11576050"/>
          <a:ext cx="495300" cy="120650"/>
        </a:xfrm>
        <a:prstGeom prst="rect">
          <a:avLst/>
        </a:prstGeom>
        <a:solidFill>
          <a:srgbClr val="FFFFFF"/>
        </a:solidFill>
        <a:ln w="9525">
          <a:solidFill>
            <a:srgbClr val="000000"/>
          </a:solidFill>
          <a:miter lim="800000"/>
          <a:headEnd/>
          <a:tailEnd/>
        </a:ln>
      </xdr:spPr>
    </xdr:sp>
    <xdr:clientData/>
  </xdr:twoCellAnchor>
  <xdr:twoCellAnchor>
    <xdr:from>
      <xdr:col>21</xdr:col>
      <xdr:colOff>0</xdr:colOff>
      <xdr:row>119</xdr:row>
      <xdr:rowOff>38100</xdr:rowOff>
    </xdr:from>
    <xdr:to>
      <xdr:col>24</xdr:col>
      <xdr:colOff>0</xdr:colOff>
      <xdr:row>120</xdr:row>
      <xdr:rowOff>63500</xdr:rowOff>
    </xdr:to>
    <xdr:sp macro="" textlink="">
      <xdr:nvSpPr>
        <xdr:cNvPr id="887026" name="Rectangle 380">
          <a:extLst>
            <a:ext uri="{FF2B5EF4-FFF2-40B4-BE49-F238E27FC236}">
              <a16:creationId xmlns="" xmlns:a16="http://schemas.microsoft.com/office/drawing/2014/main" id="{00000000-0008-0000-2400-0000F2880D00}"/>
            </a:ext>
          </a:extLst>
        </xdr:cNvPr>
        <xdr:cNvSpPr>
          <a:spLocks noChangeArrowheads="1"/>
        </xdr:cNvSpPr>
      </xdr:nvSpPr>
      <xdr:spPr bwMode="auto">
        <a:xfrm>
          <a:off x="2933700" y="11582400"/>
          <a:ext cx="419100" cy="120650"/>
        </a:xfrm>
        <a:prstGeom prst="rect">
          <a:avLst/>
        </a:prstGeom>
        <a:solidFill>
          <a:srgbClr val="FFFFFF"/>
        </a:solidFill>
        <a:ln w="9525">
          <a:solidFill>
            <a:srgbClr val="000000"/>
          </a:solidFill>
          <a:miter lim="800000"/>
          <a:headEnd/>
          <a:tailEnd/>
        </a:ln>
      </xdr:spPr>
    </xdr:sp>
    <xdr:clientData/>
  </xdr:twoCellAnchor>
  <xdr:twoCellAnchor>
    <xdr:from>
      <xdr:col>19</xdr:col>
      <xdr:colOff>0</xdr:colOff>
      <xdr:row>102</xdr:row>
      <xdr:rowOff>0</xdr:rowOff>
    </xdr:from>
    <xdr:to>
      <xdr:col>19</xdr:col>
      <xdr:colOff>0</xdr:colOff>
      <xdr:row>119</xdr:row>
      <xdr:rowOff>38100</xdr:rowOff>
    </xdr:to>
    <xdr:sp macro="" textlink="">
      <xdr:nvSpPr>
        <xdr:cNvPr id="887027" name="Line 381">
          <a:extLst>
            <a:ext uri="{FF2B5EF4-FFF2-40B4-BE49-F238E27FC236}">
              <a16:creationId xmlns="" xmlns:a16="http://schemas.microsoft.com/office/drawing/2014/main" id="{00000000-0008-0000-2400-0000F3880D00}"/>
            </a:ext>
          </a:extLst>
        </xdr:cNvPr>
        <xdr:cNvSpPr>
          <a:spLocks noChangeShapeType="1"/>
        </xdr:cNvSpPr>
      </xdr:nvSpPr>
      <xdr:spPr bwMode="auto">
        <a:xfrm>
          <a:off x="2654300" y="9925050"/>
          <a:ext cx="0" cy="16573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19</xdr:col>
      <xdr:colOff>0</xdr:colOff>
      <xdr:row>111</xdr:row>
      <xdr:rowOff>0</xdr:rowOff>
    </xdr:from>
    <xdr:to>
      <xdr:col>19</xdr:col>
      <xdr:colOff>57150</xdr:colOff>
      <xdr:row>119</xdr:row>
      <xdr:rowOff>57150</xdr:rowOff>
    </xdr:to>
    <xdr:sp macro="" textlink="">
      <xdr:nvSpPr>
        <xdr:cNvPr id="887028" name="Text Box 382">
          <a:extLst>
            <a:ext uri="{FF2B5EF4-FFF2-40B4-BE49-F238E27FC236}">
              <a16:creationId xmlns="" xmlns:a16="http://schemas.microsoft.com/office/drawing/2014/main" id="{00000000-0008-0000-2400-0000F4880D00}"/>
            </a:ext>
          </a:extLst>
        </xdr:cNvPr>
        <xdr:cNvSpPr txBox="1">
          <a:spLocks noChangeArrowheads="1"/>
        </xdr:cNvSpPr>
      </xdr:nvSpPr>
      <xdr:spPr bwMode="auto">
        <a:xfrm>
          <a:off x="2654300" y="10782300"/>
          <a:ext cx="571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35560</xdr:colOff>
      <xdr:row>110</xdr:row>
      <xdr:rowOff>60960</xdr:rowOff>
    </xdr:from>
    <xdr:to>
      <xdr:col>30</xdr:col>
      <xdr:colOff>113569</xdr:colOff>
      <xdr:row>118</xdr:row>
      <xdr:rowOff>57750</xdr:rowOff>
    </xdr:to>
    <xdr:sp macro="" textlink="">
      <xdr:nvSpPr>
        <xdr:cNvPr id="449" name="Text Box 383">
          <a:extLst>
            <a:ext uri="{FF2B5EF4-FFF2-40B4-BE49-F238E27FC236}">
              <a16:creationId xmlns="" xmlns:a16="http://schemas.microsoft.com/office/drawing/2014/main" id="{00000000-0008-0000-2400-0000C1010000}"/>
            </a:ext>
          </a:extLst>
        </xdr:cNvPr>
        <xdr:cNvSpPr txBox="1">
          <a:spLocks noChangeArrowheads="1"/>
        </xdr:cNvSpPr>
      </xdr:nvSpPr>
      <xdr:spPr bwMode="auto">
        <a:xfrm>
          <a:off x="2790825" y="10639425"/>
          <a:ext cx="1638300" cy="7715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200</a:t>
          </a:r>
        </a:p>
      </xdr:txBody>
    </xdr:sp>
    <xdr:clientData/>
  </xdr:twoCellAnchor>
  <xdr:twoCellAnchor>
    <xdr:from>
      <xdr:col>10</xdr:col>
      <xdr:colOff>6350</xdr:colOff>
      <xdr:row>109</xdr:row>
      <xdr:rowOff>0</xdr:rowOff>
    </xdr:from>
    <xdr:to>
      <xdr:col>15</xdr:col>
      <xdr:colOff>82550</xdr:colOff>
      <xdr:row>109</xdr:row>
      <xdr:rowOff>0</xdr:rowOff>
    </xdr:to>
    <xdr:sp macro="" textlink="">
      <xdr:nvSpPr>
        <xdr:cNvPr id="887030" name="Line 384">
          <a:extLst>
            <a:ext uri="{FF2B5EF4-FFF2-40B4-BE49-F238E27FC236}">
              <a16:creationId xmlns="" xmlns:a16="http://schemas.microsoft.com/office/drawing/2014/main" id="{00000000-0008-0000-2400-0000F6880D00}"/>
            </a:ext>
          </a:extLst>
        </xdr:cNvPr>
        <xdr:cNvSpPr>
          <a:spLocks noChangeShapeType="1"/>
        </xdr:cNvSpPr>
      </xdr:nvSpPr>
      <xdr:spPr bwMode="auto">
        <a:xfrm flipV="1">
          <a:off x="1403350" y="10591800"/>
          <a:ext cx="7747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0</xdr:colOff>
      <xdr:row>106</xdr:row>
      <xdr:rowOff>0</xdr:rowOff>
    </xdr:from>
    <xdr:to>
      <xdr:col>10</xdr:col>
      <xdr:colOff>3195</xdr:colOff>
      <xdr:row>110</xdr:row>
      <xdr:rowOff>0</xdr:rowOff>
    </xdr:to>
    <xdr:sp macro="" textlink="">
      <xdr:nvSpPr>
        <xdr:cNvPr id="451" name="Text Box 385">
          <a:extLst>
            <a:ext uri="{FF2B5EF4-FFF2-40B4-BE49-F238E27FC236}">
              <a16:creationId xmlns="" xmlns:a16="http://schemas.microsoft.com/office/drawing/2014/main" id="{00000000-0008-0000-2400-0000C3010000}"/>
            </a:ext>
          </a:extLst>
        </xdr:cNvPr>
        <xdr:cNvSpPr txBox="1">
          <a:spLocks noChangeArrowheads="1"/>
        </xdr:cNvSpPr>
      </xdr:nvSpPr>
      <xdr:spPr bwMode="auto">
        <a:xfrm>
          <a:off x="428625" y="10210800"/>
          <a:ext cx="1009650" cy="3810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porte en bois mulingati</a:t>
          </a:r>
        </a:p>
      </xdr:txBody>
    </xdr:sp>
    <xdr:clientData/>
  </xdr:twoCellAnchor>
  <xdr:twoCellAnchor>
    <xdr:from>
      <xdr:col>32</xdr:col>
      <xdr:colOff>44450</xdr:colOff>
      <xdr:row>112</xdr:row>
      <xdr:rowOff>38100</xdr:rowOff>
    </xdr:from>
    <xdr:to>
      <xdr:col>42</xdr:col>
      <xdr:colOff>0</xdr:colOff>
      <xdr:row>119</xdr:row>
      <xdr:rowOff>19050</xdr:rowOff>
    </xdr:to>
    <xdr:sp macro="" textlink="">
      <xdr:nvSpPr>
        <xdr:cNvPr id="887032" name="Line 386">
          <a:extLst>
            <a:ext uri="{FF2B5EF4-FFF2-40B4-BE49-F238E27FC236}">
              <a16:creationId xmlns="" xmlns:a16="http://schemas.microsoft.com/office/drawing/2014/main" id="{00000000-0008-0000-2400-0000F8880D00}"/>
            </a:ext>
          </a:extLst>
        </xdr:cNvPr>
        <xdr:cNvSpPr>
          <a:spLocks noChangeShapeType="1"/>
        </xdr:cNvSpPr>
      </xdr:nvSpPr>
      <xdr:spPr bwMode="auto">
        <a:xfrm rot="10800000" flipV="1">
          <a:off x="4514850" y="10915650"/>
          <a:ext cx="1352550" cy="6477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38</xdr:col>
      <xdr:colOff>57150</xdr:colOff>
      <xdr:row>112</xdr:row>
      <xdr:rowOff>57150</xdr:rowOff>
    </xdr:from>
    <xdr:to>
      <xdr:col>41</xdr:col>
      <xdr:colOff>82550</xdr:colOff>
      <xdr:row>119</xdr:row>
      <xdr:rowOff>19050</xdr:rowOff>
    </xdr:to>
    <xdr:sp macro="" textlink="">
      <xdr:nvSpPr>
        <xdr:cNvPr id="887033" name="Line 387">
          <a:extLst>
            <a:ext uri="{FF2B5EF4-FFF2-40B4-BE49-F238E27FC236}">
              <a16:creationId xmlns="" xmlns:a16="http://schemas.microsoft.com/office/drawing/2014/main" id="{00000000-0008-0000-2400-0000F9880D00}"/>
            </a:ext>
          </a:extLst>
        </xdr:cNvPr>
        <xdr:cNvSpPr>
          <a:spLocks noChangeShapeType="1"/>
        </xdr:cNvSpPr>
      </xdr:nvSpPr>
      <xdr:spPr bwMode="auto">
        <a:xfrm flipH="1">
          <a:off x="5365750" y="10934700"/>
          <a:ext cx="444500" cy="628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41</xdr:col>
      <xdr:colOff>96519</xdr:colOff>
      <xdr:row>111</xdr:row>
      <xdr:rowOff>12700</xdr:rowOff>
    </xdr:from>
    <xdr:to>
      <xdr:col>58</xdr:col>
      <xdr:colOff>57857</xdr:colOff>
      <xdr:row>114</xdr:row>
      <xdr:rowOff>61855</xdr:rowOff>
    </xdr:to>
    <xdr:sp macro="" textlink="">
      <xdr:nvSpPr>
        <xdr:cNvPr id="454" name="Text Box 388">
          <a:extLst>
            <a:ext uri="{FF2B5EF4-FFF2-40B4-BE49-F238E27FC236}">
              <a16:creationId xmlns="" xmlns:a16="http://schemas.microsoft.com/office/drawing/2014/main" id="{00000000-0008-0000-2400-0000C6010000}"/>
            </a:ext>
          </a:extLst>
        </xdr:cNvPr>
        <xdr:cNvSpPr txBox="1">
          <a:spLocks noChangeArrowheads="1"/>
        </xdr:cNvSpPr>
      </xdr:nvSpPr>
      <xdr:spPr bwMode="auto">
        <a:xfrm>
          <a:off x="5972174" y="10715625"/>
          <a:ext cx="2362200" cy="3429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dalle amovible armée</a:t>
          </a:r>
          <a:r>
            <a:rPr lang="fr-FR" sz="1000" b="0" i="0" strike="noStrike" baseline="0">
              <a:solidFill>
                <a:srgbClr val="000000"/>
              </a:solidFill>
              <a:latin typeface="Arial"/>
              <a:cs typeface="Arial"/>
            </a:rPr>
            <a:t> avec des </a:t>
          </a:r>
          <a:r>
            <a:rPr lang="az-Cyrl-AZ" sz="1000" b="0" i="0" baseline="0">
              <a:latin typeface="+mn-lt"/>
              <a:ea typeface="+mn-ea"/>
              <a:cs typeface="+mn-cs"/>
            </a:rPr>
            <a:t>ф</a:t>
          </a:r>
          <a:r>
            <a:rPr lang="fr-FR" sz="1000" b="0" i="0" baseline="0">
              <a:latin typeface="+mn-lt"/>
              <a:ea typeface="+mn-ea"/>
              <a:cs typeface="+mn-cs"/>
            </a:rPr>
            <a:t> 8mm</a:t>
          </a:r>
          <a:r>
            <a:rPr lang="fr-FR" sz="1000" b="0" i="0" strike="noStrike">
              <a:solidFill>
                <a:srgbClr val="000000"/>
              </a:solidFill>
              <a:latin typeface="Arial"/>
              <a:cs typeface="Arial"/>
            </a:rPr>
            <a:t> avec</a:t>
          </a:r>
          <a:r>
            <a:rPr lang="fr-FR" sz="1000" b="0" i="0" strike="noStrike" baseline="0">
              <a:solidFill>
                <a:srgbClr val="000000"/>
              </a:solidFill>
              <a:latin typeface="Arial"/>
              <a:cs typeface="Arial"/>
            </a:rPr>
            <a:t> 2crochets </a:t>
          </a:r>
          <a:endParaRPr lang="fr-FR" sz="1000" b="0" i="0" strike="noStrike">
            <a:solidFill>
              <a:srgbClr val="000000"/>
            </a:solidFill>
            <a:latin typeface="Arial"/>
            <a:cs typeface="Arial"/>
          </a:endParaRPr>
        </a:p>
      </xdr:txBody>
    </xdr:sp>
    <xdr:clientData/>
  </xdr:twoCellAnchor>
  <xdr:twoCellAnchor>
    <xdr:from>
      <xdr:col>27</xdr:col>
      <xdr:colOff>76200</xdr:colOff>
      <xdr:row>100</xdr:row>
      <xdr:rowOff>19050</xdr:rowOff>
    </xdr:from>
    <xdr:to>
      <xdr:col>29</xdr:col>
      <xdr:colOff>38100</xdr:colOff>
      <xdr:row>101</xdr:row>
      <xdr:rowOff>57150</xdr:rowOff>
    </xdr:to>
    <xdr:sp macro="" textlink="">
      <xdr:nvSpPr>
        <xdr:cNvPr id="887035" name="Rectangle 389">
          <a:extLst>
            <a:ext uri="{FF2B5EF4-FFF2-40B4-BE49-F238E27FC236}">
              <a16:creationId xmlns="" xmlns:a16="http://schemas.microsoft.com/office/drawing/2014/main" id="{00000000-0008-0000-2400-0000FB880D00}"/>
            </a:ext>
          </a:extLst>
        </xdr:cNvPr>
        <xdr:cNvSpPr>
          <a:spLocks noChangeArrowheads="1"/>
        </xdr:cNvSpPr>
      </xdr:nvSpPr>
      <xdr:spPr bwMode="auto">
        <a:xfrm>
          <a:off x="3848100" y="9753600"/>
          <a:ext cx="241300" cy="133350"/>
        </a:xfrm>
        <a:prstGeom prst="rect">
          <a:avLst/>
        </a:prstGeom>
        <a:solidFill>
          <a:srgbClr val="FFFFFF"/>
        </a:solidFill>
        <a:ln w="9525">
          <a:solidFill>
            <a:srgbClr val="000000"/>
          </a:solidFill>
          <a:miter lim="800000"/>
          <a:headEnd/>
          <a:tailEnd/>
        </a:ln>
      </xdr:spPr>
    </xdr:sp>
    <xdr:clientData/>
  </xdr:twoCellAnchor>
  <xdr:twoCellAnchor>
    <xdr:from>
      <xdr:col>27</xdr:col>
      <xdr:colOff>76200</xdr:colOff>
      <xdr:row>102</xdr:row>
      <xdr:rowOff>0</xdr:rowOff>
    </xdr:from>
    <xdr:to>
      <xdr:col>29</xdr:col>
      <xdr:colOff>38100</xdr:colOff>
      <xdr:row>119</xdr:row>
      <xdr:rowOff>19050</xdr:rowOff>
    </xdr:to>
    <xdr:sp macro="" textlink="">
      <xdr:nvSpPr>
        <xdr:cNvPr id="887036" name="Rectangle 390" descr="Horizontal brick">
          <a:extLst>
            <a:ext uri="{FF2B5EF4-FFF2-40B4-BE49-F238E27FC236}">
              <a16:creationId xmlns="" xmlns:a16="http://schemas.microsoft.com/office/drawing/2014/main" id="{00000000-0008-0000-2400-0000FC880D00}"/>
            </a:ext>
          </a:extLst>
        </xdr:cNvPr>
        <xdr:cNvSpPr>
          <a:spLocks noChangeArrowheads="1"/>
        </xdr:cNvSpPr>
      </xdr:nvSpPr>
      <xdr:spPr bwMode="auto">
        <a:xfrm flipH="1">
          <a:off x="3848100" y="9925050"/>
          <a:ext cx="241300" cy="163830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31</xdr:col>
      <xdr:colOff>6350</xdr:colOff>
      <xdr:row>94</xdr:row>
      <xdr:rowOff>0</xdr:rowOff>
    </xdr:from>
    <xdr:to>
      <xdr:col>37</xdr:col>
      <xdr:colOff>0</xdr:colOff>
      <xdr:row>94</xdr:row>
      <xdr:rowOff>12700</xdr:rowOff>
    </xdr:to>
    <xdr:sp macro="" textlink="">
      <xdr:nvSpPr>
        <xdr:cNvPr id="887037" name="Line 391">
          <a:extLst>
            <a:ext uri="{FF2B5EF4-FFF2-40B4-BE49-F238E27FC236}">
              <a16:creationId xmlns="" xmlns:a16="http://schemas.microsoft.com/office/drawing/2014/main" id="{00000000-0008-0000-2400-0000FD880D00}"/>
            </a:ext>
          </a:extLst>
        </xdr:cNvPr>
        <xdr:cNvSpPr>
          <a:spLocks noChangeShapeType="1"/>
        </xdr:cNvSpPr>
      </xdr:nvSpPr>
      <xdr:spPr bwMode="auto">
        <a:xfrm rot="10701805">
          <a:off x="4337050" y="9163050"/>
          <a:ext cx="831850" cy="127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38</xdr:col>
      <xdr:colOff>0</xdr:colOff>
      <xdr:row>94</xdr:row>
      <xdr:rowOff>12700</xdr:rowOff>
    </xdr:from>
    <xdr:to>
      <xdr:col>38</xdr:col>
      <xdr:colOff>57150</xdr:colOff>
      <xdr:row>102</xdr:row>
      <xdr:rowOff>57150</xdr:rowOff>
    </xdr:to>
    <xdr:sp macro="" textlink="">
      <xdr:nvSpPr>
        <xdr:cNvPr id="887038" name="Text Box 392">
          <a:extLst>
            <a:ext uri="{FF2B5EF4-FFF2-40B4-BE49-F238E27FC236}">
              <a16:creationId xmlns="" xmlns:a16="http://schemas.microsoft.com/office/drawing/2014/main" id="{00000000-0008-0000-2400-0000FE880D00}"/>
            </a:ext>
          </a:extLst>
        </xdr:cNvPr>
        <xdr:cNvSpPr txBox="1">
          <a:spLocks noChangeArrowheads="1"/>
        </xdr:cNvSpPr>
      </xdr:nvSpPr>
      <xdr:spPr bwMode="auto">
        <a:xfrm>
          <a:off x="5308600" y="9175750"/>
          <a:ext cx="57150" cy="806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37</xdr:col>
      <xdr:colOff>35560</xdr:colOff>
      <xdr:row>91</xdr:row>
      <xdr:rowOff>60960</xdr:rowOff>
    </xdr:from>
    <xdr:to>
      <xdr:col>43</xdr:col>
      <xdr:colOff>114197</xdr:colOff>
      <xdr:row>95</xdr:row>
      <xdr:rowOff>2563</xdr:rowOff>
    </xdr:to>
    <xdr:sp macro="" textlink="">
      <xdr:nvSpPr>
        <xdr:cNvPr id="459" name="Text Box 393">
          <a:extLst>
            <a:ext uri="{FF2B5EF4-FFF2-40B4-BE49-F238E27FC236}">
              <a16:creationId xmlns="" xmlns:a16="http://schemas.microsoft.com/office/drawing/2014/main" id="{00000000-0008-0000-2400-0000CB010000}"/>
            </a:ext>
          </a:extLst>
        </xdr:cNvPr>
        <xdr:cNvSpPr txBox="1">
          <a:spLocks noChangeArrowheads="1"/>
        </xdr:cNvSpPr>
      </xdr:nvSpPr>
      <xdr:spPr bwMode="auto">
        <a:xfrm>
          <a:off x="5353050" y="8820150"/>
          <a:ext cx="933450" cy="3714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tuyau PVC 160</a:t>
          </a:r>
        </a:p>
      </xdr:txBody>
    </xdr:sp>
    <xdr:clientData/>
  </xdr:twoCellAnchor>
  <xdr:twoCellAnchor>
    <xdr:from>
      <xdr:col>31</xdr:col>
      <xdr:colOff>63500</xdr:colOff>
      <xdr:row>99</xdr:row>
      <xdr:rowOff>63500</xdr:rowOff>
    </xdr:from>
    <xdr:to>
      <xdr:col>40</xdr:col>
      <xdr:colOff>57150</xdr:colOff>
      <xdr:row>100</xdr:row>
      <xdr:rowOff>0</xdr:rowOff>
    </xdr:to>
    <xdr:sp macro="" textlink="">
      <xdr:nvSpPr>
        <xdr:cNvPr id="887040" name="Line 394">
          <a:extLst>
            <a:ext uri="{FF2B5EF4-FFF2-40B4-BE49-F238E27FC236}">
              <a16:creationId xmlns="" xmlns:a16="http://schemas.microsoft.com/office/drawing/2014/main" id="{00000000-0008-0000-2400-000000890D00}"/>
            </a:ext>
          </a:extLst>
        </xdr:cNvPr>
        <xdr:cNvSpPr>
          <a:spLocks noChangeShapeType="1"/>
        </xdr:cNvSpPr>
      </xdr:nvSpPr>
      <xdr:spPr bwMode="auto">
        <a:xfrm rot="10701805">
          <a:off x="4394200" y="9702800"/>
          <a:ext cx="1250950" cy="317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41</xdr:col>
      <xdr:colOff>0</xdr:colOff>
      <xdr:row>98</xdr:row>
      <xdr:rowOff>28575</xdr:rowOff>
    </xdr:from>
    <xdr:to>
      <xdr:col>52</xdr:col>
      <xdr:colOff>0</xdr:colOff>
      <xdr:row>101</xdr:row>
      <xdr:rowOff>91431</xdr:rowOff>
    </xdr:to>
    <xdr:sp macro="" textlink="">
      <xdr:nvSpPr>
        <xdr:cNvPr id="461" name="Text Box 395">
          <a:extLst>
            <a:ext uri="{FF2B5EF4-FFF2-40B4-BE49-F238E27FC236}">
              <a16:creationId xmlns="" xmlns:a16="http://schemas.microsoft.com/office/drawing/2014/main" id="{00000000-0008-0000-2400-0000CD010000}"/>
            </a:ext>
          </a:extLst>
        </xdr:cNvPr>
        <xdr:cNvSpPr txBox="1">
          <a:spLocks noChangeArrowheads="1"/>
        </xdr:cNvSpPr>
      </xdr:nvSpPr>
      <xdr:spPr bwMode="auto">
        <a:xfrm>
          <a:off x="5857875" y="9467850"/>
          <a:ext cx="1571625" cy="3619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charpente en bois linzo 7cmx7cm</a:t>
          </a:r>
        </a:p>
      </xdr:txBody>
    </xdr:sp>
    <xdr:clientData/>
  </xdr:twoCellAnchor>
  <xdr:twoCellAnchor>
    <xdr:from>
      <xdr:col>29</xdr:col>
      <xdr:colOff>19050</xdr:colOff>
      <xdr:row>101</xdr:row>
      <xdr:rowOff>0</xdr:rowOff>
    </xdr:from>
    <xdr:to>
      <xdr:col>43</xdr:col>
      <xdr:colOff>0</xdr:colOff>
      <xdr:row>104</xdr:row>
      <xdr:rowOff>19050</xdr:rowOff>
    </xdr:to>
    <xdr:sp macro="" textlink="">
      <xdr:nvSpPr>
        <xdr:cNvPr id="887042" name="Line 396">
          <a:extLst>
            <a:ext uri="{FF2B5EF4-FFF2-40B4-BE49-F238E27FC236}">
              <a16:creationId xmlns="" xmlns:a16="http://schemas.microsoft.com/office/drawing/2014/main" id="{00000000-0008-0000-2400-000002890D00}"/>
            </a:ext>
          </a:extLst>
        </xdr:cNvPr>
        <xdr:cNvSpPr>
          <a:spLocks noChangeShapeType="1"/>
        </xdr:cNvSpPr>
      </xdr:nvSpPr>
      <xdr:spPr bwMode="auto">
        <a:xfrm rot="10800000">
          <a:off x="4070350" y="9829800"/>
          <a:ext cx="1936750" cy="3048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43</xdr:col>
      <xdr:colOff>0</xdr:colOff>
      <xdr:row>104</xdr:row>
      <xdr:rowOff>0</xdr:rowOff>
    </xdr:from>
    <xdr:to>
      <xdr:col>54</xdr:col>
      <xdr:colOff>0</xdr:colOff>
      <xdr:row>109</xdr:row>
      <xdr:rowOff>0</xdr:rowOff>
    </xdr:to>
    <xdr:sp macro="" textlink="">
      <xdr:nvSpPr>
        <xdr:cNvPr id="463" name="Text Box 397">
          <a:extLst>
            <a:ext uri="{FF2B5EF4-FFF2-40B4-BE49-F238E27FC236}">
              <a16:creationId xmlns="" xmlns:a16="http://schemas.microsoft.com/office/drawing/2014/main" id="{00000000-0008-0000-2400-0000CF010000}"/>
            </a:ext>
          </a:extLst>
        </xdr:cNvPr>
        <xdr:cNvSpPr txBox="1">
          <a:spLocks noChangeArrowheads="1"/>
        </xdr:cNvSpPr>
      </xdr:nvSpPr>
      <xdr:spPr bwMode="auto">
        <a:xfrm>
          <a:off x="6143625" y="10020300"/>
          <a:ext cx="1571625" cy="4762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Chainage en beton arme 350kg/m3 avec Fb 8mm HA</a:t>
          </a:r>
        </a:p>
      </xdr:txBody>
    </xdr:sp>
    <xdr:clientData/>
  </xdr:twoCellAnchor>
  <xdr:twoCellAnchor>
    <xdr:from>
      <xdr:col>42</xdr:col>
      <xdr:colOff>57150</xdr:colOff>
      <xdr:row>118</xdr:row>
      <xdr:rowOff>19050</xdr:rowOff>
    </xdr:from>
    <xdr:to>
      <xdr:col>49</xdr:col>
      <xdr:colOff>57150</xdr:colOff>
      <xdr:row>120</xdr:row>
      <xdr:rowOff>50800</xdr:rowOff>
    </xdr:to>
    <xdr:sp macro="" textlink="">
      <xdr:nvSpPr>
        <xdr:cNvPr id="887044" name="Line 398">
          <a:extLst>
            <a:ext uri="{FF2B5EF4-FFF2-40B4-BE49-F238E27FC236}">
              <a16:creationId xmlns="" xmlns:a16="http://schemas.microsoft.com/office/drawing/2014/main" id="{00000000-0008-0000-2400-000004890D00}"/>
            </a:ext>
          </a:extLst>
        </xdr:cNvPr>
        <xdr:cNvSpPr>
          <a:spLocks noChangeShapeType="1"/>
        </xdr:cNvSpPr>
      </xdr:nvSpPr>
      <xdr:spPr bwMode="auto">
        <a:xfrm rot="10971210" flipV="1">
          <a:off x="5924550" y="11468100"/>
          <a:ext cx="977900" cy="2222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48</xdr:col>
      <xdr:colOff>57784</xdr:colOff>
      <xdr:row>118</xdr:row>
      <xdr:rowOff>0</xdr:rowOff>
    </xdr:from>
    <xdr:to>
      <xdr:col>60</xdr:col>
      <xdr:colOff>96493</xdr:colOff>
      <xdr:row>123</xdr:row>
      <xdr:rowOff>0</xdr:rowOff>
    </xdr:to>
    <xdr:sp macro="" textlink="">
      <xdr:nvSpPr>
        <xdr:cNvPr id="465" name="Text Box 399">
          <a:extLst>
            <a:ext uri="{FF2B5EF4-FFF2-40B4-BE49-F238E27FC236}">
              <a16:creationId xmlns="" xmlns:a16="http://schemas.microsoft.com/office/drawing/2014/main" id="{00000000-0008-0000-2400-0000D1010000}"/>
            </a:ext>
          </a:extLst>
        </xdr:cNvPr>
        <xdr:cNvSpPr txBox="1">
          <a:spLocks noChangeArrowheads="1"/>
        </xdr:cNvSpPr>
      </xdr:nvSpPr>
      <xdr:spPr bwMode="auto">
        <a:xfrm>
          <a:off x="6924674" y="11353800"/>
          <a:ext cx="1762125" cy="4762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drainage en brique cuite au</a:t>
          </a:r>
          <a:r>
            <a:rPr lang="fr-FR" sz="1000" b="0" i="0" strike="noStrike" baseline="0">
              <a:solidFill>
                <a:srgbClr val="000000"/>
              </a:solidFill>
              <a:latin typeface="Arial"/>
              <a:cs typeface="Arial"/>
            </a:rPr>
            <a:t> MC</a:t>
          </a:r>
          <a:r>
            <a:rPr lang="fr-FR" sz="1000" b="0" i="0" strike="noStrike">
              <a:solidFill>
                <a:srgbClr val="000000"/>
              </a:solidFill>
              <a:latin typeface="Arial"/>
              <a:cs typeface="Arial"/>
            </a:rPr>
            <a:t> 300kg/m3 </a:t>
          </a:r>
        </a:p>
      </xdr:txBody>
    </xdr:sp>
    <xdr:clientData/>
  </xdr:twoCellAnchor>
  <xdr:twoCellAnchor>
    <xdr:from>
      <xdr:col>37</xdr:col>
      <xdr:colOff>0</xdr:colOff>
      <xdr:row>136</xdr:row>
      <xdr:rowOff>31750</xdr:rowOff>
    </xdr:from>
    <xdr:to>
      <xdr:col>39</xdr:col>
      <xdr:colOff>19050</xdr:colOff>
      <xdr:row>137</xdr:row>
      <xdr:rowOff>31750</xdr:rowOff>
    </xdr:to>
    <xdr:sp macro="" textlink="">
      <xdr:nvSpPr>
        <xdr:cNvPr id="887046" name="Rectangle 401">
          <a:extLst>
            <a:ext uri="{FF2B5EF4-FFF2-40B4-BE49-F238E27FC236}">
              <a16:creationId xmlns="" xmlns:a16="http://schemas.microsoft.com/office/drawing/2014/main" id="{00000000-0008-0000-2400-000006890D00}"/>
            </a:ext>
          </a:extLst>
        </xdr:cNvPr>
        <xdr:cNvSpPr>
          <a:spLocks noChangeArrowheads="1"/>
        </xdr:cNvSpPr>
      </xdr:nvSpPr>
      <xdr:spPr bwMode="auto">
        <a:xfrm>
          <a:off x="5168900" y="13195300"/>
          <a:ext cx="298450" cy="95250"/>
        </a:xfrm>
        <a:prstGeom prst="rect">
          <a:avLst/>
        </a:prstGeom>
        <a:solidFill>
          <a:srgbClr val="FFFFFF"/>
        </a:solidFill>
        <a:ln w="9525">
          <a:solidFill>
            <a:srgbClr val="000000"/>
          </a:solidFill>
          <a:miter lim="800000"/>
          <a:headEnd/>
          <a:tailEnd/>
        </a:ln>
      </xdr:spPr>
    </xdr:sp>
    <xdr:clientData/>
  </xdr:twoCellAnchor>
  <xdr:twoCellAnchor>
    <xdr:from>
      <xdr:col>37</xdr:col>
      <xdr:colOff>6350</xdr:colOff>
      <xdr:row>132</xdr:row>
      <xdr:rowOff>0</xdr:rowOff>
    </xdr:from>
    <xdr:to>
      <xdr:col>39</xdr:col>
      <xdr:colOff>6350</xdr:colOff>
      <xdr:row>133</xdr:row>
      <xdr:rowOff>0</xdr:rowOff>
    </xdr:to>
    <xdr:sp macro="" textlink="">
      <xdr:nvSpPr>
        <xdr:cNvPr id="887047" name="Rectangle 402">
          <a:extLst>
            <a:ext uri="{FF2B5EF4-FFF2-40B4-BE49-F238E27FC236}">
              <a16:creationId xmlns="" xmlns:a16="http://schemas.microsoft.com/office/drawing/2014/main" id="{00000000-0008-0000-2400-000007890D00}"/>
            </a:ext>
          </a:extLst>
        </xdr:cNvPr>
        <xdr:cNvSpPr>
          <a:spLocks noChangeArrowheads="1"/>
        </xdr:cNvSpPr>
      </xdr:nvSpPr>
      <xdr:spPr bwMode="auto">
        <a:xfrm>
          <a:off x="5175250" y="12782550"/>
          <a:ext cx="279400" cy="95250"/>
        </a:xfrm>
        <a:prstGeom prst="rect">
          <a:avLst/>
        </a:prstGeom>
        <a:solidFill>
          <a:srgbClr val="FFFFFF"/>
        </a:solidFill>
        <a:ln w="9525">
          <a:solidFill>
            <a:srgbClr val="000000"/>
          </a:solidFill>
          <a:miter lim="800000"/>
          <a:headEnd/>
          <a:tailEnd/>
        </a:ln>
      </xdr:spPr>
    </xdr:sp>
    <xdr:clientData/>
  </xdr:twoCellAnchor>
  <xdr:twoCellAnchor>
    <xdr:from>
      <xdr:col>37</xdr:col>
      <xdr:colOff>0</xdr:colOff>
      <xdr:row>127</xdr:row>
      <xdr:rowOff>0</xdr:rowOff>
    </xdr:from>
    <xdr:to>
      <xdr:col>39</xdr:col>
      <xdr:colOff>19050</xdr:colOff>
      <xdr:row>128</xdr:row>
      <xdr:rowOff>0</xdr:rowOff>
    </xdr:to>
    <xdr:sp macro="" textlink="">
      <xdr:nvSpPr>
        <xdr:cNvPr id="887048" name="Rectangle 403">
          <a:extLst>
            <a:ext uri="{FF2B5EF4-FFF2-40B4-BE49-F238E27FC236}">
              <a16:creationId xmlns="" xmlns:a16="http://schemas.microsoft.com/office/drawing/2014/main" id="{00000000-0008-0000-2400-000008890D00}"/>
            </a:ext>
          </a:extLst>
        </xdr:cNvPr>
        <xdr:cNvSpPr>
          <a:spLocks noChangeArrowheads="1"/>
        </xdr:cNvSpPr>
      </xdr:nvSpPr>
      <xdr:spPr bwMode="auto">
        <a:xfrm>
          <a:off x="5168900" y="12306300"/>
          <a:ext cx="298450" cy="95250"/>
        </a:xfrm>
        <a:prstGeom prst="rect">
          <a:avLst/>
        </a:prstGeom>
        <a:solidFill>
          <a:srgbClr val="FFFFFF"/>
        </a:solidFill>
        <a:ln w="9525">
          <a:solidFill>
            <a:srgbClr val="000000"/>
          </a:solidFill>
          <a:miter lim="800000"/>
          <a:headEnd/>
          <a:tailEnd/>
        </a:ln>
      </xdr:spPr>
    </xdr:sp>
    <xdr:clientData/>
  </xdr:twoCellAnchor>
  <xdr:twoCellAnchor>
    <xdr:from>
      <xdr:col>15</xdr:col>
      <xdr:colOff>82550</xdr:colOff>
      <xdr:row>136</xdr:row>
      <xdr:rowOff>31750</xdr:rowOff>
    </xdr:from>
    <xdr:to>
      <xdr:col>17</xdr:col>
      <xdr:colOff>63500</xdr:colOff>
      <xdr:row>137</xdr:row>
      <xdr:rowOff>31750</xdr:rowOff>
    </xdr:to>
    <xdr:sp macro="" textlink="">
      <xdr:nvSpPr>
        <xdr:cNvPr id="887049" name="Rectangle 405">
          <a:extLst>
            <a:ext uri="{FF2B5EF4-FFF2-40B4-BE49-F238E27FC236}">
              <a16:creationId xmlns="" xmlns:a16="http://schemas.microsoft.com/office/drawing/2014/main" id="{00000000-0008-0000-2400-000009890D00}"/>
            </a:ext>
          </a:extLst>
        </xdr:cNvPr>
        <xdr:cNvSpPr>
          <a:spLocks noChangeArrowheads="1"/>
        </xdr:cNvSpPr>
      </xdr:nvSpPr>
      <xdr:spPr bwMode="auto">
        <a:xfrm>
          <a:off x="2178050" y="13195300"/>
          <a:ext cx="260350" cy="95250"/>
        </a:xfrm>
        <a:prstGeom prst="rect">
          <a:avLst/>
        </a:prstGeom>
        <a:solidFill>
          <a:srgbClr val="FFFFFF"/>
        </a:solidFill>
        <a:ln w="9525">
          <a:solidFill>
            <a:srgbClr val="000000"/>
          </a:solidFill>
          <a:miter lim="800000"/>
          <a:headEnd/>
          <a:tailEnd/>
        </a:ln>
      </xdr:spPr>
    </xdr:sp>
    <xdr:clientData/>
  </xdr:twoCellAnchor>
  <xdr:twoCellAnchor>
    <xdr:from>
      <xdr:col>16</xdr:col>
      <xdr:colOff>0</xdr:colOff>
      <xdr:row>132</xdr:row>
      <xdr:rowOff>0</xdr:rowOff>
    </xdr:from>
    <xdr:to>
      <xdr:col>17</xdr:col>
      <xdr:colOff>63500</xdr:colOff>
      <xdr:row>133</xdr:row>
      <xdr:rowOff>0</xdr:rowOff>
    </xdr:to>
    <xdr:sp macro="" textlink="">
      <xdr:nvSpPr>
        <xdr:cNvPr id="887050" name="Rectangle 406">
          <a:extLst>
            <a:ext uri="{FF2B5EF4-FFF2-40B4-BE49-F238E27FC236}">
              <a16:creationId xmlns="" xmlns:a16="http://schemas.microsoft.com/office/drawing/2014/main" id="{00000000-0008-0000-2400-00000A890D00}"/>
            </a:ext>
          </a:extLst>
        </xdr:cNvPr>
        <xdr:cNvSpPr>
          <a:spLocks noChangeArrowheads="1"/>
        </xdr:cNvSpPr>
      </xdr:nvSpPr>
      <xdr:spPr bwMode="auto">
        <a:xfrm>
          <a:off x="2235200" y="12782550"/>
          <a:ext cx="203200" cy="95250"/>
        </a:xfrm>
        <a:prstGeom prst="rect">
          <a:avLst/>
        </a:prstGeom>
        <a:solidFill>
          <a:srgbClr val="FFFFFF"/>
        </a:solidFill>
        <a:ln w="9525">
          <a:solidFill>
            <a:srgbClr val="000000"/>
          </a:solidFill>
          <a:miter lim="800000"/>
          <a:headEnd/>
          <a:tailEnd/>
        </a:ln>
      </xdr:spPr>
    </xdr:sp>
    <xdr:clientData/>
  </xdr:twoCellAnchor>
  <xdr:twoCellAnchor>
    <xdr:from>
      <xdr:col>15</xdr:col>
      <xdr:colOff>82550</xdr:colOff>
      <xdr:row>127</xdr:row>
      <xdr:rowOff>0</xdr:rowOff>
    </xdr:from>
    <xdr:to>
      <xdr:col>17</xdr:col>
      <xdr:colOff>63500</xdr:colOff>
      <xdr:row>128</xdr:row>
      <xdr:rowOff>0</xdr:rowOff>
    </xdr:to>
    <xdr:sp macro="" textlink="">
      <xdr:nvSpPr>
        <xdr:cNvPr id="887051" name="Rectangle 407">
          <a:extLst>
            <a:ext uri="{FF2B5EF4-FFF2-40B4-BE49-F238E27FC236}">
              <a16:creationId xmlns="" xmlns:a16="http://schemas.microsoft.com/office/drawing/2014/main" id="{00000000-0008-0000-2400-00000B890D00}"/>
            </a:ext>
          </a:extLst>
        </xdr:cNvPr>
        <xdr:cNvSpPr>
          <a:spLocks noChangeArrowheads="1"/>
        </xdr:cNvSpPr>
      </xdr:nvSpPr>
      <xdr:spPr bwMode="auto">
        <a:xfrm>
          <a:off x="2178050" y="12306300"/>
          <a:ext cx="260350" cy="95250"/>
        </a:xfrm>
        <a:prstGeom prst="rect">
          <a:avLst/>
        </a:prstGeom>
        <a:solidFill>
          <a:srgbClr val="FFFFFF"/>
        </a:solidFill>
        <a:ln w="9525">
          <a:solidFill>
            <a:srgbClr val="000000"/>
          </a:solidFill>
          <a:miter lim="800000"/>
          <a:headEnd/>
          <a:tailEnd/>
        </a:ln>
      </xdr:spPr>
    </xdr:sp>
    <xdr:clientData/>
  </xdr:twoCellAnchor>
  <xdr:twoCellAnchor>
    <xdr:from>
      <xdr:col>17</xdr:col>
      <xdr:colOff>57150</xdr:colOff>
      <xdr:row>116</xdr:row>
      <xdr:rowOff>0</xdr:rowOff>
    </xdr:from>
    <xdr:to>
      <xdr:col>28</xdr:col>
      <xdr:colOff>0</xdr:colOff>
      <xdr:row>116</xdr:row>
      <xdr:rowOff>0</xdr:rowOff>
    </xdr:to>
    <xdr:sp macro="" textlink="">
      <xdr:nvSpPr>
        <xdr:cNvPr id="887052" name="Line 410">
          <a:extLst>
            <a:ext uri="{FF2B5EF4-FFF2-40B4-BE49-F238E27FC236}">
              <a16:creationId xmlns="" xmlns:a16="http://schemas.microsoft.com/office/drawing/2014/main" id="{00000000-0008-0000-2400-00000C890D00}"/>
            </a:ext>
          </a:extLst>
        </xdr:cNvPr>
        <xdr:cNvSpPr>
          <a:spLocks noChangeShapeType="1"/>
        </xdr:cNvSpPr>
      </xdr:nvSpPr>
      <xdr:spPr bwMode="auto">
        <a:xfrm>
          <a:off x="2432050" y="11258550"/>
          <a:ext cx="14795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20</xdr:col>
      <xdr:colOff>0</xdr:colOff>
      <xdr:row>113</xdr:row>
      <xdr:rowOff>75565</xdr:rowOff>
    </xdr:from>
    <xdr:to>
      <xdr:col>21</xdr:col>
      <xdr:colOff>0</xdr:colOff>
      <xdr:row>116</xdr:row>
      <xdr:rowOff>3722</xdr:rowOff>
    </xdr:to>
    <xdr:sp macro="" textlink="">
      <xdr:nvSpPr>
        <xdr:cNvPr id="473" name="Text Box 411">
          <a:extLst>
            <a:ext uri="{FF2B5EF4-FFF2-40B4-BE49-F238E27FC236}">
              <a16:creationId xmlns="" xmlns:a16="http://schemas.microsoft.com/office/drawing/2014/main" id="{00000000-0008-0000-2400-0000D9010000}"/>
            </a:ext>
          </a:extLst>
        </xdr:cNvPr>
        <xdr:cNvSpPr txBox="1">
          <a:spLocks noChangeArrowheads="1"/>
        </xdr:cNvSpPr>
      </xdr:nvSpPr>
      <xdr:spPr bwMode="auto">
        <a:xfrm flipV="1">
          <a:off x="2857500" y="10963275"/>
          <a:ext cx="142875" cy="200025"/>
        </a:xfrm>
        <a:prstGeom prst="rect">
          <a:avLst/>
        </a:prstGeom>
        <a:noFill/>
        <a:ln w="9525">
          <a:noFill/>
          <a:miter lim="800000"/>
          <a:headEnd/>
          <a:tailEnd/>
        </a:ln>
      </xdr:spPr>
      <xdr:txBody>
        <a:bodyPr vertOverflow="clip" wrap="square" lIns="27432" tIns="22860" rIns="0" bIns="0" anchor="t" upright="1"/>
        <a:lstStyle/>
        <a:p>
          <a:pPr algn="l" rtl="0">
            <a:lnSpc>
              <a:spcPts val="800"/>
            </a:lnSpc>
            <a:defRPr sz="1000"/>
          </a:pPr>
          <a:r>
            <a:rPr lang="fr-FR" sz="1000" b="0" i="0" strike="noStrike">
              <a:solidFill>
                <a:srgbClr val="000000"/>
              </a:solidFill>
              <a:latin typeface="Arial"/>
              <a:cs typeface="Arial"/>
            </a:rPr>
            <a:t>120</a:t>
          </a:r>
        </a:p>
      </xdr:txBody>
    </xdr:sp>
    <xdr:clientData/>
  </xdr:twoCellAnchor>
  <xdr:twoCellAnchor>
    <xdr:from>
      <xdr:col>18</xdr:col>
      <xdr:colOff>57150</xdr:colOff>
      <xdr:row>143</xdr:row>
      <xdr:rowOff>57150</xdr:rowOff>
    </xdr:from>
    <xdr:to>
      <xdr:col>35</xdr:col>
      <xdr:colOff>76200</xdr:colOff>
      <xdr:row>145</xdr:row>
      <xdr:rowOff>0</xdr:rowOff>
    </xdr:to>
    <xdr:sp macro="" textlink="">
      <xdr:nvSpPr>
        <xdr:cNvPr id="887054" name="Rectangle 412">
          <a:extLst>
            <a:ext uri="{FF2B5EF4-FFF2-40B4-BE49-F238E27FC236}">
              <a16:creationId xmlns="" xmlns:a16="http://schemas.microsoft.com/office/drawing/2014/main" id="{00000000-0008-0000-2400-00000E890D00}"/>
            </a:ext>
          </a:extLst>
        </xdr:cNvPr>
        <xdr:cNvSpPr>
          <a:spLocks noChangeArrowheads="1"/>
        </xdr:cNvSpPr>
      </xdr:nvSpPr>
      <xdr:spPr bwMode="auto">
        <a:xfrm>
          <a:off x="2571750" y="13887450"/>
          <a:ext cx="2393950" cy="133350"/>
        </a:xfrm>
        <a:prstGeom prst="rect">
          <a:avLst/>
        </a:prstGeom>
        <a:solidFill>
          <a:srgbClr val="FFFFFF"/>
        </a:solidFill>
        <a:ln w="9525">
          <a:solidFill>
            <a:srgbClr val="000000"/>
          </a:solidFill>
          <a:miter lim="800000"/>
          <a:headEnd/>
          <a:tailEnd/>
        </a:ln>
      </xdr:spPr>
    </xdr:sp>
    <xdr:clientData/>
  </xdr:twoCellAnchor>
  <xdr:twoCellAnchor>
    <xdr:from>
      <xdr:col>15</xdr:col>
      <xdr:colOff>19050</xdr:colOff>
      <xdr:row>148</xdr:row>
      <xdr:rowOff>0</xdr:rowOff>
    </xdr:from>
    <xdr:to>
      <xdr:col>18</xdr:col>
      <xdr:colOff>63500</xdr:colOff>
      <xdr:row>148</xdr:row>
      <xdr:rowOff>0</xdr:rowOff>
    </xdr:to>
    <xdr:sp macro="" textlink="">
      <xdr:nvSpPr>
        <xdr:cNvPr id="887055" name="Line 413">
          <a:extLst>
            <a:ext uri="{FF2B5EF4-FFF2-40B4-BE49-F238E27FC236}">
              <a16:creationId xmlns="" xmlns:a16="http://schemas.microsoft.com/office/drawing/2014/main" id="{00000000-0008-0000-2400-00000F890D00}"/>
            </a:ext>
          </a:extLst>
        </xdr:cNvPr>
        <xdr:cNvSpPr>
          <a:spLocks noChangeShapeType="1"/>
        </xdr:cNvSpPr>
      </xdr:nvSpPr>
      <xdr:spPr bwMode="auto">
        <a:xfrm>
          <a:off x="2114550" y="14306550"/>
          <a:ext cx="4635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35</xdr:col>
      <xdr:colOff>38100</xdr:colOff>
      <xdr:row>148</xdr:row>
      <xdr:rowOff>0</xdr:rowOff>
    </xdr:from>
    <xdr:to>
      <xdr:col>39</xdr:col>
      <xdr:colOff>57150</xdr:colOff>
      <xdr:row>148</xdr:row>
      <xdr:rowOff>0</xdr:rowOff>
    </xdr:to>
    <xdr:sp macro="" textlink="">
      <xdr:nvSpPr>
        <xdr:cNvPr id="887056" name="Line 416">
          <a:extLst>
            <a:ext uri="{FF2B5EF4-FFF2-40B4-BE49-F238E27FC236}">
              <a16:creationId xmlns="" xmlns:a16="http://schemas.microsoft.com/office/drawing/2014/main" id="{00000000-0008-0000-2400-000010890D00}"/>
            </a:ext>
          </a:extLst>
        </xdr:cNvPr>
        <xdr:cNvSpPr>
          <a:spLocks noChangeShapeType="1"/>
        </xdr:cNvSpPr>
      </xdr:nvSpPr>
      <xdr:spPr bwMode="auto">
        <a:xfrm>
          <a:off x="4927600" y="14306550"/>
          <a:ext cx="5778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15</xdr:col>
      <xdr:colOff>95885</xdr:colOff>
      <xdr:row>146</xdr:row>
      <xdr:rowOff>0</xdr:rowOff>
    </xdr:from>
    <xdr:to>
      <xdr:col>18</xdr:col>
      <xdr:colOff>2465</xdr:colOff>
      <xdr:row>149</xdr:row>
      <xdr:rowOff>0</xdr:rowOff>
    </xdr:to>
    <xdr:sp macro="" textlink="">
      <xdr:nvSpPr>
        <xdr:cNvPr id="477" name="Text Box 417">
          <a:extLst>
            <a:ext uri="{FF2B5EF4-FFF2-40B4-BE49-F238E27FC236}">
              <a16:creationId xmlns="" xmlns:a16="http://schemas.microsoft.com/office/drawing/2014/main" id="{00000000-0008-0000-2400-0000DD010000}"/>
            </a:ext>
          </a:extLst>
        </xdr:cNvPr>
        <xdr:cNvSpPr txBox="1">
          <a:spLocks noChangeArrowheads="1"/>
        </xdr:cNvSpPr>
      </xdr:nvSpPr>
      <xdr:spPr bwMode="auto">
        <a:xfrm flipV="1">
          <a:off x="2247900" y="14020800"/>
          <a:ext cx="323850" cy="2857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30</a:t>
          </a:r>
        </a:p>
      </xdr:txBody>
    </xdr:sp>
    <xdr:clientData/>
  </xdr:twoCellAnchor>
  <xdr:twoCellAnchor editAs="oneCell">
    <xdr:from>
      <xdr:col>36</xdr:col>
      <xdr:colOff>96520</xdr:colOff>
      <xdr:row>146</xdr:row>
      <xdr:rowOff>0</xdr:rowOff>
    </xdr:from>
    <xdr:to>
      <xdr:col>37</xdr:col>
      <xdr:colOff>114644</xdr:colOff>
      <xdr:row>149</xdr:row>
      <xdr:rowOff>0</xdr:rowOff>
    </xdr:to>
    <xdr:sp macro="" textlink="">
      <xdr:nvSpPr>
        <xdr:cNvPr id="478" name="Text Box 419">
          <a:extLst>
            <a:ext uri="{FF2B5EF4-FFF2-40B4-BE49-F238E27FC236}">
              <a16:creationId xmlns="" xmlns:a16="http://schemas.microsoft.com/office/drawing/2014/main" id="{00000000-0008-0000-2400-0000DE010000}"/>
            </a:ext>
          </a:extLst>
        </xdr:cNvPr>
        <xdr:cNvSpPr txBox="1">
          <a:spLocks noChangeArrowheads="1"/>
        </xdr:cNvSpPr>
      </xdr:nvSpPr>
      <xdr:spPr bwMode="auto">
        <a:xfrm>
          <a:off x="5248275" y="14020800"/>
          <a:ext cx="180975" cy="2857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30</a:t>
          </a:r>
        </a:p>
      </xdr:txBody>
    </xdr:sp>
    <xdr:clientData/>
  </xdr:twoCellAnchor>
  <xdr:twoCellAnchor>
    <xdr:from>
      <xdr:col>13</xdr:col>
      <xdr:colOff>63500</xdr:colOff>
      <xdr:row>143</xdr:row>
      <xdr:rowOff>19050</xdr:rowOff>
    </xdr:from>
    <xdr:to>
      <xdr:col>13</xdr:col>
      <xdr:colOff>63500</xdr:colOff>
      <xdr:row>146</xdr:row>
      <xdr:rowOff>38100</xdr:rowOff>
    </xdr:to>
    <xdr:sp macro="" textlink="">
      <xdr:nvSpPr>
        <xdr:cNvPr id="887059" name="Line 420">
          <a:extLst>
            <a:ext uri="{FF2B5EF4-FFF2-40B4-BE49-F238E27FC236}">
              <a16:creationId xmlns="" xmlns:a16="http://schemas.microsoft.com/office/drawing/2014/main" id="{00000000-0008-0000-2400-000013890D00}"/>
            </a:ext>
          </a:extLst>
        </xdr:cNvPr>
        <xdr:cNvSpPr>
          <a:spLocks noChangeShapeType="1"/>
        </xdr:cNvSpPr>
      </xdr:nvSpPr>
      <xdr:spPr bwMode="auto">
        <a:xfrm>
          <a:off x="1879600" y="13849350"/>
          <a:ext cx="0" cy="3048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11</xdr:col>
      <xdr:colOff>95886</xdr:colOff>
      <xdr:row>143</xdr:row>
      <xdr:rowOff>57785</xdr:rowOff>
    </xdr:from>
    <xdr:to>
      <xdr:col>13</xdr:col>
      <xdr:colOff>4353</xdr:colOff>
      <xdr:row>147</xdr:row>
      <xdr:rowOff>47959</xdr:rowOff>
    </xdr:to>
    <xdr:sp macro="" textlink="">
      <xdr:nvSpPr>
        <xdr:cNvPr id="480" name="Text Box 421">
          <a:extLst>
            <a:ext uri="{FF2B5EF4-FFF2-40B4-BE49-F238E27FC236}">
              <a16:creationId xmlns="" xmlns:a16="http://schemas.microsoft.com/office/drawing/2014/main" id="{00000000-0008-0000-2400-0000E0010000}"/>
            </a:ext>
          </a:extLst>
        </xdr:cNvPr>
        <xdr:cNvSpPr txBox="1">
          <a:spLocks noChangeArrowheads="1"/>
        </xdr:cNvSpPr>
      </xdr:nvSpPr>
      <xdr:spPr bwMode="auto">
        <a:xfrm>
          <a:off x="1676401" y="13811250"/>
          <a:ext cx="180974" cy="3714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12</a:t>
          </a:r>
        </a:p>
      </xdr:txBody>
    </xdr:sp>
    <xdr:clientData/>
  </xdr:twoCellAnchor>
  <xdr:twoCellAnchor>
    <xdr:from>
      <xdr:col>39</xdr:col>
      <xdr:colOff>57150</xdr:colOff>
      <xdr:row>145</xdr:row>
      <xdr:rowOff>0</xdr:rowOff>
    </xdr:from>
    <xdr:to>
      <xdr:col>48</xdr:col>
      <xdr:colOff>0</xdr:colOff>
      <xdr:row>145</xdr:row>
      <xdr:rowOff>12700</xdr:rowOff>
    </xdr:to>
    <xdr:sp macro="" textlink="">
      <xdr:nvSpPr>
        <xdr:cNvPr id="887061" name="Line 422">
          <a:extLst>
            <a:ext uri="{FF2B5EF4-FFF2-40B4-BE49-F238E27FC236}">
              <a16:creationId xmlns="" xmlns:a16="http://schemas.microsoft.com/office/drawing/2014/main" id="{00000000-0008-0000-2400-000015890D00}"/>
            </a:ext>
          </a:extLst>
        </xdr:cNvPr>
        <xdr:cNvSpPr>
          <a:spLocks noChangeShapeType="1"/>
        </xdr:cNvSpPr>
      </xdr:nvSpPr>
      <xdr:spPr bwMode="auto">
        <a:xfrm rot="-10731254">
          <a:off x="5505450" y="14020800"/>
          <a:ext cx="1200150" cy="127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43</xdr:col>
      <xdr:colOff>96519</xdr:colOff>
      <xdr:row>144</xdr:row>
      <xdr:rowOff>0</xdr:rowOff>
    </xdr:from>
    <xdr:to>
      <xdr:col>54</xdr:col>
      <xdr:colOff>18467</xdr:colOff>
      <xdr:row>150</xdr:row>
      <xdr:rowOff>9636</xdr:rowOff>
    </xdr:to>
    <xdr:sp macro="" textlink="">
      <xdr:nvSpPr>
        <xdr:cNvPr id="482" name="Text Box 424">
          <a:extLst>
            <a:ext uri="{FF2B5EF4-FFF2-40B4-BE49-F238E27FC236}">
              <a16:creationId xmlns="" xmlns:a16="http://schemas.microsoft.com/office/drawing/2014/main" id="{00000000-0008-0000-2400-0000E2010000}"/>
            </a:ext>
          </a:extLst>
        </xdr:cNvPr>
        <xdr:cNvSpPr txBox="1">
          <a:spLocks noChangeArrowheads="1"/>
        </xdr:cNvSpPr>
      </xdr:nvSpPr>
      <xdr:spPr bwMode="auto">
        <a:xfrm>
          <a:off x="6257924" y="13830300"/>
          <a:ext cx="1466850" cy="5810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Semelle en beton 250kg/m3</a:t>
          </a:r>
          <a:r>
            <a:rPr lang="fr-FR" sz="1000" b="0" i="0" strike="noStrike" baseline="0">
              <a:solidFill>
                <a:srgbClr val="000000"/>
              </a:solidFill>
              <a:latin typeface="Arial"/>
              <a:cs typeface="Arial"/>
            </a:rPr>
            <a:t> avec coffrage en briques</a:t>
          </a:r>
          <a:endParaRPr lang="fr-FR" sz="1000" b="0" i="0" strike="noStrike">
            <a:solidFill>
              <a:srgbClr val="000000"/>
            </a:solidFill>
            <a:latin typeface="Arial"/>
            <a:cs typeface="Arial"/>
          </a:endParaRPr>
        </a:p>
      </xdr:txBody>
    </xdr:sp>
    <xdr:clientData/>
  </xdr:twoCellAnchor>
  <xdr:twoCellAnchor>
    <xdr:from>
      <xdr:col>24</xdr:col>
      <xdr:colOff>0</xdr:colOff>
      <xdr:row>119</xdr:row>
      <xdr:rowOff>19050</xdr:rowOff>
    </xdr:from>
    <xdr:to>
      <xdr:col>30</xdr:col>
      <xdr:colOff>0</xdr:colOff>
      <xdr:row>120</xdr:row>
      <xdr:rowOff>63500</xdr:rowOff>
    </xdr:to>
    <xdr:sp macro="" textlink="">
      <xdr:nvSpPr>
        <xdr:cNvPr id="887063" name="Rectangle 425" descr="Recycled paper">
          <a:extLst>
            <a:ext uri="{FF2B5EF4-FFF2-40B4-BE49-F238E27FC236}">
              <a16:creationId xmlns="" xmlns:a16="http://schemas.microsoft.com/office/drawing/2014/main" id="{00000000-0008-0000-2400-000017890D00}"/>
            </a:ext>
          </a:extLst>
        </xdr:cNvPr>
        <xdr:cNvSpPr>
          <a:spLocks noChangeArrowheads="1"/>
        </xdr:cNvSpPr>
      </xdr:nvSpPr>
      <xdr:spPr bwMode="auto">
        <a:xfrm>
          <a:off x="3352800" y="11563350"/>
          <a:ext cx="838200" cy="139700"/>
        </a:xfrm>
        <a:prstGeom prst="rect">
          <a:avLst/>
        </a:prstGeom>
        <a:blipFill dpi="0" rotWithShape="0">
          <a:blip xmlns:r="http://schemas.openxmlformats.org/officeDocument/2006/relationships" r:embed="rId4"/>
          <a:srcRect/>
          <a:tile tx="0" ty="0" sx="100000" sy="100000" flip="none" algn="tl"/>
        </a:blipFill>
        <a:ln w="9525">
          <a:solidFill>
            <a:srgbClr val="000000"/>
          </a:solidFill>
          <a:miter lim="800000"/>
          <a:headEnd/>
          <a:tailEnd/>
        </a:ln>
      </xdr:spPr>
    </xdr:sp>
    <xdr:clientData/>
  </xdr:twoCellAnchor>
  <xdr:twoCellAnchor>
    <xdr:from>
      <xdr:col>35</xdr:col>
      <xdr:colOff>63500</xdr:colOff>
      <xdr:row>143</xdr:row>
      <xdr:rowOff>0</xdr:rowOff>
    </xdr:from>
    <xdr:to>
      <xdr:col>39</xdr:col>
      <xdr:colOff>57150</xdr:colOff>
      <xdr:row>146</xdr:row>
      <xdr:rowOff>0</xdr:rowOff>
    </xdr:to>
    <xdr:sp macro="" textlink="">
      <xdr:nvSpPr>
        <xdr:cNvPr id="887064" name="Rectangle 426" descr="Recycled paper">
          <a:extLst>
            <a:ext uri="{FF2B5EF4-FFF2-40B4-BE49-F238E27FC236}">
              <a16:creationId xmlns="" xmlns:a16="http://schemas.microsoft.com/office/drawing/2014/main" id="{00000000-0008-0000-2400-000018890D00}"/>
            </a:ext>
          </a:extLst>
        </xdr:cNvPr>
        <xdr:cNvSpPr>
          <a:spLocks noChangeArrowheads="1"/>
        </xdr:cNvSpPr>
      </xdr:nvSpPr>
      <xdr:spPr bwMode="auto">
        <a:xfrm>
          <a:off x="4953000" y="13830300"/>
          <a:ext cx="552450" cy="285750"/>
        </a:xfrm>
        <a:prstGeom prst="rect">
          <a:avLst/>
        </a:prstGeom>
        <a:blipFill dpi="0" rotWithShape="0">
          <a:blip xmlns:r="http://schemas.openxmlformats.org/officeDocument/2006/relationships" r:embed="rId4"/>
          <a:srcRect/>
          <a:tile tx="0" ty="0" sx="100000" sy="100000" flip="none" algn="tl"/>
        </a:blipFill>
        <a:ln w="9525">
          <a:solidFill>
            <a:srgbClr val="000000"/>
          </a:solidFill>
          <a:miter lim="800000"/>
          <a:headEnd/>
          <a:tailEnd/>
        </a:ln>
      </xdr:spPr>
    </xdr:sp>
    <xdr:clientData/>
  </xdr:twoCellAnchor>
  <xdr:twoCellAnchor>
    <xdr:from>
      <xdr:col>15</xdr:col>
      <xdr:colOff>0</xdr:colOff>
      <xdr:row>143</xdr:row>
      <xdr:rowOff>19050</xdr:rowOff>
    </xdr:from>
    <xdr:to>
      <xdr:col>18</xdr:col>
      <xdr:colOff>76200</xdr:colOff>
      <xdr:row>146</xdr:row>
      <xdr:rowOff>0</xdr:rowOff>
    </xdr:to>
    <xdr:sp macro="" textlink="">
      <xdr:nvSpPr>
        <xdr:cNvPr id="887065" name="Rectangle 427" descr="Recycled paper">
          <a:extLst>
            <a:ext uri="{FF2B5EF4-FFF2-40B4-BE49-F238E27FC236}">
              <a16:creationId xmlns="" xmlns:a16="http://schemas.microsoft.com/office/drawing/2014/main" id="{00000000-0008-0000-2400-000019890D00}"/>
            </a:ext>
          </a:extLst>
        </xdr:cNvPr>
        <xdr:cNvSpPr>
          <a:spLocks noChangeArrowheads="1"/>
        </xdr:cNvSpPr>
      </xdr:nvSpPr>
      <xdr:spPr bwMode="auto">
        <a:xfrm>
          <a:off x="2095500" y="13849350"/>
          <a:ext cx="495300" cy="266700"/>
        </a:xfrm>
        <a:prstGeom prst="rect">
          <a:avLst/>
        </a:prstGeom>
        <a:blipFill dpi="0" rotWithShape="0">
          <a:blip xmlns:r="http://schemas.openxmlformats.org/officeDocument/2006/relationships" r:embed="rId4"/>
          <a:srcRect/>
          <a:tile tx="0" ty="0" sx="100000" sy="100000" flip="none" algn="tl"/>
        </a:blipFill>
        <a:ln w="9525">
          <a:solidFill>
            <a:srgbClr val="000000"/>
          </a:solidFill>
          <a:miter lim="800000"/>
          <a:headEnd/>
          <a:tailEnd/>
        </a:ln>
      </xdr:spPr>
    </xdr:sp>
    <xdr:clientData/>
  </xdr:twoCellAnchor>
  <xdr:twoCellAnchor>
    <xdr:from>
      <xdr:col>16</xdr:col>
      <xdr:colOff>0</xdr:colOff>
      <xdr:row>119</xdr:row>
      <xdr:rowOff>38100</xdr:rowOff>
    </xdr:from>
    <xdr:to>
      <xdr:col>22</xdr:col>
      <xdr:colOff>0</xdr:colOff>
      <xdr:row>121</xdr:row>
      <xdr:rowOff>0</xdr:rowOff>
    </xdr:to>
    <xdr:sp macro="" textlink="">
      <xdr:nvSpPr>
        <xdr:cNvPr id="887066" name="Rectangle 428" descr="Recycled paper">
          <a:extLst>
            <a:ext uri="{FF2B5EF4-FFF2-40B4-BE49-F238E27FC236}">
              <a16:creationId xmlns="" xmlns:a16="http://schemas.microsoft.com/office/drawing/2014/main" id="{00000000-0008-0000-2400-00001A890D00}"/>
            </a:ext>
          </a:extLst>
        </xdr:cNvPr>
        <xdr:cNvSpPr>
          <a:spLocks noChangeArrowheads="1"/>
        </xdr:cNvSpPr>
      </xdr:nvSpPr>
      <xdr:spPr bwMode="auto">
        <a:xfrm>
          <a:off x="2235200" y="11582400"/>
          <a:ext cx="838200" cy="152400"/>
        </a:xfrm>
        <a:prstGeom prst="rect">
          <a:avLst/>
        </a:prstGeom>
        <a:blipFill dpi="0" rotWithShape="0">
          <a:blip xmlns:r="http://schemas.openxmlformats.org/officeDocument/2006/relationships" r:embed="rId4"/>
          <a:srcRect/>
          <a:tile tx="0" ty="0" sx="100000" sy="100000" flip="none" algn="tl"/>
        </a:blipFill>
        <a:ln w="9525">
          <a:solidFill>
            <a:srgbClr val="000000"/>
          </a:solidFill>
          <a:miter lim="800000"/>
          <a:headEnd/>
          <a:tailEnd/>
        </a:ln>
      </xdr:spPr>
    </xdr:sp>
    <xdr:clientData/>
  </xdr:twoCellAnchor>
  <xdr:twoCellAnchor>
    <xdr:from>
      <xdr:col>31</xdr:col>
      <xdr:colOff>0</xdr:colOff>
      <xdr:row>119</xdr:row>
      <xdr:rowOff>31750</xdr:rowOff>
    </xdr:from>
    <xdr:to>
      <xdr:col>39</xdr:col>
      <xdr:colOff>0</xdr:colOff>
      <xdr:row>120</xdr:row>
      <xdr:rowOff>57150</xdr:rowOff>
    </xdr:to>
    <xdr:sp macro="" textlink="">
      <xdr:nvSpPr>
        <xdr:cNvPr id="887067" name="Rectangle 429" descr="Recycled paper">
          <a:extLst>
            <a:ext uri="{FF2B5EF4-FFF2-40B4-BE49-F238E27FC236}">
              <a16:creationId xmlns="" xmlns:a16="http://schemas.microsoft.com/office/drawing/2014/main" id="{00000000-0008-0000-2400-00001B890D00}"/>
            </a:ext>
          </a:extLst>
        </xdr:cNvPr>
        <xdr:cNvSpPr>
          <a:spLocks noChangeArrowheads="1"/>
        </xdr:cNvSpPr>
      </xdr:nvSpPr>
      <xdr:spPr bwMode="auto">
        <a:xfrm>
          <a:off x="4330700" y="11576050"/>
          <a:ext cx="1117600" cy="120650"/>
        </a:xfrm>
        <a:prstGeom prst="rect">
          <a:avLst/>
        </a:prstGeom>
        <a:blipFill dpi="0" rotWithShape="0">
          <a:blip xmlns:r="http://schemas.openxmlformats.org/officeDocument/2006/relationships" r:embed="rId4"/>
          <a:srcRect/>
          <a:tile tx="0" ty="0" sx="100000" sy="100000" flip="none" algn="tl"/>
        </a:blipFill>
        <a:ln w="9525">
          <a:solidFill>
            <a:srgbClr val="000000"/>
          </a:solidFill>
          <a:miter lim="800000"/>
          <a:headEnd/>
          <a:tailEnd/>
        </a:ln>
      </xdr:spPr>
    </xdr:sp>
    <xdr:clientData/>
  </xdr:twoCellAnchor>
  <xdr:twoCellAnchor>
    <xdr:from>
      <xdr:col>27</xdr:col>
      <xdr:colOff>38100</xdr:colOff>
      <xdr:row>120</xdr:row>
      <xdr:rowOff>63500</xdr:rowOff>
    </xdr:from>
    <xdr:to>
      <xdr:col>29</xdr:col>
      <xdr:colOff>57150</xdr:colOff>
      <xdr:row>123</xdr:row>
      <xdr:rowOff>0</xdr:rowOff>
    </xdr:to>
    <xdr:sp macro="" textlink="">
      <xdr:nvSpPr>
        <xdr:cNvPr id="887068" name="Rectangle 430" descr="Recycled paper">
          <a:extLst>
            <a:ext uri="{FF2B5EF4-FFF2-40B4-BE49-F238E27FC236}">
              <a16:creationId xmlns="" xmlns:a16="http://schemas.microsoft.com/office/drawing/2014/main" id="{00000000-0008-0000-2400-00001C890D00}"/>
            </a:ext>
          </a:extLst>
        </xdr:cNvPr>
        <xdr:cNvSpPr>
          <a:spLocks noChangeArrowheads="1"/>
        </xdr:cNvSpPr>
      </xdr:nvSpPr>
      <xdr:spPr bwMode="auto">
        <a:xfrm>
          <a:off x="3810000" y="11703050"/>
          <a:ext cx="298450" cy="2222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100</xdr:row>
      <xdr:rowOff>19050</xdr:rowOff>
    </xdr:from>
    <xdr:to>
      <xdr:col>17</xdr:col>
      <xdr:colOff>57150</xdr:colOff>
      <xdr:row>101</xdr:row>
      <xdr:rowOff>63500</xdr:rowOff>
    </xdr:to>
    <xdr:sp macro="" textlink="">
      <xdr:nvSpPr>
        <xdr:cNvPr id="887069" name="Rectangle 431" descr="Recycled paper">
          <a:extLst>
            <a:ext uri="{FF2B5EF4-FFF2-40B4-BE49-F238E27FC236}">
              <a16:creationId xmlns="" xmlns:a16="http://schemas.microsoft.com/office/drawing/2014/main" id="{00000000-0008-0000-2400-00001D890D00}"/>
            </a:ext>
          </a:extLst>
        </xdr:cNvPr>
        <xdr:cNvSpPr>
          <a:spLocks noChangeArrowheads="1"/>
        </xdr:cNvSpPr>
      </xdr:nvSpPr>
      <xdr:spPr bwMode="auto">
        <a:xfrm>
          <a:off x="2235200" y="9753600"/>
          <a:ext cx="196850" cy="139700"/>
        </a:xfrm>
        <a:prstGeom prst="rect">
          <a:avLst/>
        </a:prstGeom>
        <a:blipFill dpi="0" rotWithShape="0">
          <a:blip xmlns:r="http://schemas.openxmlformats.org/officeDocument/2006/relationships" r:embed="rId4"/>
          <a:srcRect/>
          <a:tile tx="0" ty="0" sx="100000" sy="100000" flip="none" algn="tl"/>
        </a:blipFill>
        <a:ln w="9525">
          <a:solidFill>
            <a:srgbClr val="000000"/>
          </a:solidFill>
          <a:miter lim="800000"/>
          <a:headEnd/>
          <a:tailEnd/>
        </a:ln>
      </xdr:spPr>
    </xdr:sp>
    <xdr:clientData/>
  </xdr:twoCellAnchor>
  <xdr:twoCellAnchor>
    <xdr:from>
      <xdr:col>27</xdr:col>
      <xdr:colOff>76200</xdr:colOff>
      <xdr:row>100</xdr:row>
      <xdr:rowOff>19050</xdr:rowOff>
    </xdr:from>
    <xdr:to>
      <xdr:col>29</xdr:col>
      <xdr:colOff>38100</xdr:colOff>
      <xdr:row>101</xdr:row>
      <xdr:rowOff>63500</xdr:rowOff>
    </xdr:to>
    <xdr:sp macro="" textlink="">
      <xdr:nvSpPr>
        <xdr:cNvPr id="887070" name="Rectangle 432" descr="Recycled paper">
          <a:extLst>
            <a:ext uri="{FF2B5EF4-FFF2-40B4-BE49-F238E27FC236}">
              <a16:creationId xmlns="" xmlns:a16="http://schemas.microsoft.com/office/drawing/2014/main" id="{00000000-0008-0000-2400-00001E890D00}"/>
            </a:ext>
          </a:extLst>
        </xdr:cNvPr>
        <xdr:cNvSpPr>
          <a:spLocks noChangeArrowheads="1"/>
        </xdr:cNvSpPr>
      </xdr:nvSpPr>
      <xdr:spPr bwMode="auto">
        <a:xfrm>
          <a:off x="3848100" y="9753600"/>
          <a:ext cx="241300" cy="139700"/>
        </a:xfrm>
        <a:prstGeom prst="rect">
          <a:avLst/>
        </a:prstGeom>
        <a:blipFill dpi="0" rotWithShape="0">
          <a:blip xmlns:r="http://schemas.openxmlformats.org/officeDocument/2006/relationships" r:embed="rId4"/>
          <a:srcRect/>
          <a:tile tx="0" ty="0" sx="100000" sy="100000" flip="none" algn="tl"/>
        </a:blipFill>
        <a:ln w="9525">
          <a:solidFill>
            <a:srgbClr val="000000"/>
          </a:solidFill>
          <a:miter lim="800000"/>
          <a:headEnd/>
          <a:tailEnd/>
        </a:ln>
      </xdr:spPr>
    </xdr:sp>
    <xdr:clientData/>
  </xdr:twoCellAnchor>
  <xdr:twoCellAnchor>
    <xdr:from>
      <xdr:col>18</xdr:col>
      <xdr:colOff>76200</xdr:colOff>
      <xdr:row>143</xdr:row>
      <xdr:rowOff>63500</xdr:rowOff>
    </xdr:from>
    <xdr:to>
      <xdr:col>35</xdr:col>
      <xdr:colOff>63500</xdr:colOff>
      <xdr:row>144</xdr:row>
      <xdr:rowOff>63500</xdr:rowOff>
    </xdr:to>
    <xdr:sp macro="" textlink="">
      <xdr:nvSpPr>
        <xdr:cNvPr id="887071" name="Rectangle 433" descr="Sphere">
          <a:extLst>
            <a:ext uri="{FF2B5EF4-FFF2-40B4-BE49-F238E27FC236}">
              <a16:creationId xmlns="" xmlns:a16="http://schemas.microsoft.com/office/drawing/2014/main" id="{00000000-0008-0000-2400-00001F890D00}"/>
            </a:ext>
          </a:extLst>
        </xdr:cNvPr>
        <xdr:cNvSpPr>
          <a:spLocks noChangeArrowheads="1"/>
        </xdr:cNvSpPr>
      </xdr:nvSpPr>
      <xdr:spPr bwMode="auto">
        <a:xfrm>
          <a:off x="2590800" y="13893800"/>
          <a:ext cx="2362200" cy="95250"/>
        </a:xfrm>
        <a:prstGeom prst="rect">
          <a:avLst/>
        </a:prstGeom>
        <a:blipFill dpi="0" rotWithShape="0">
          <a:blip xmlns:r="http://schemas.openxmlformats.org/officeDocument/2006/relationships" r:embed="rId5"/>
          <a:srcRect/>
          <a:tile tx="0" ty="0" sx="100000" sy="100000" flip="none" algn="tl"/>
        </a:blipFill>
        <a:ln w="9525">
          <a:solidFill>
            <a:srgbClr val="000000"/>
          </a:solidFill>
          <a:miter lim="800000"/>
          <a:headEnd/>
          <a:tailEnd/>
        </a:ln>
      </xdr:spPr>
    </xdr:sp>
    <xdr:clientData/>
  </xdr:twoCellAnchor>
  <xdr:twoCellAnchor>
    <xdr:from>
      <xdr:col>39</xdr:col>
      <xdr:colOff>6350</xdr:colOff>
      <xdr:row>119</xdr:row>
      <xdr:rowOff>57150</xdr:rowOff>
    </xdr:from>
    <xdr:to>
      <xdr:col>45</xdr:col>
      <xdr:colOff>25400</xdr:colOff>
      <xdr:row>120</xdr:row>
      <xdr:rowOff>57150</xdr:rowOff>
    </xdr:to>
    <xdr:sp macro="" textlink="">
      <xdr:nvSpPr>
        <xdr:cNvPr id="887072" name="Rectangle 434" descr="Horizontal brick">
          <a:extLst>
            <a:ext uri="{FF2B5EF4-FFF2-40B4-BE49-F238E27FC236}">
              <a16:creationId xmlns="" xmlns:a16="http://schemas.microsoft.com/office/drawing/2014/main" id="{00000000-0008-0000-2400-000020890D00}"/>
            </a:ext>
          </a:extLst>
        </xdr:cNvPr>
        <xdr:cNvSpPr>
          <a:spLocks noChangeArrowheads="1"/>
        </xdr:cNvSpPr>
      </xdr:nvSpPr>
      <xdr:spPr bwMode="auto">
        <a:xfrm rot="274534" flipV="1">
          <a:off x="5454650" y="11601450"/>
          <a:ext cx="857250" cy="95250"/>
        </a:xfrm>
        <a:prstGeom prst="rect">
          <a:avLst/>
        </a:prstGeom>
        <a:blipFill dpi="0" rotWithShape="1">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9</xdr:col>
      <xdr:colOff>57150</xdr:colOff>
      <xdr:row>120</xdr:row>
      <xdr:rowOff>0</xdr:rowOff>
    </xdr:from>
    <xdr:to>
      <xdr:col>15</xdr:col>
      <xdr:colOff>76200</xdr:colOff>
      <xdr:row>121</xdr:row>
      <xdr:rowOff>19050</xdr:rowOff>
    </xdr:to>
    <xdr:sp macro="" textlink="">
      <xdr:nvSpPr>
        <xdr:cNvPr id="887073" name="Rectangle 435" descr="Horizontal brick">
          <a:extLst>
            <a:ext uri="{FF2B5EF4-FFF2-40B4-BE49-F238E27FC236}">
              <a16:creationId xmlns="" xmlns:a16="http://schemas.microsoft.com/office/drawing/2014/main" id="{00000000-0008-0000-2400-000021890D00}"/>
            </a:ext>
          </a:extLst>
        </xdr:cNvPr>
        <xdr:cNvSpPr>
          <a:spLocks noChangeArrowheads="1"/>
        </xdr:cNvSpPr>
      </xdr:nvSpPr>
      <xdr:spPr bwMode="auto">
        <a:xfrm rot="-232537">
          <a:off x="1314450" y="11639550"/>
          <a:ext cx="857250" cy="114300"/>
        </a:xfrm>
        <a:prstGeom prst="rect">
          <a:avLst/>
        </a:prstGeom>
        <a:blipFill dpi="0" rotWithShape="1">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21</xdr:col>
      <xdr:colOff>35560</xdr:colOff>
      <xdr:row>146</xdr:row>
      <xdr:rowOff>60960</xdr:rowOff>
    </xdr:from>
    <xdr:to>
      <xdr:col>28</xdr:col>
      <xdr:colOff>61262</xdr:colOff>
      <xdr:row>149</xdr:row>
      <xdr:rowOff>61364</xdr:rowOff>
    </xdr:to>
    <xdr:sp macro="" textlink="">
      <xdr:nvSpPr>
        <xdr:cNvPr id="494" name="Text Box 437">
          <a:extLst>
            <a:ext uri="{FF2B5EF4-FFF2-40B4-BE49-F238E27FC236}">
              <a16:creationId xmlns="" xmlns:a16="http://schemas.microsoft.com/office/drawing/2014/main" id="{00000000-0008-0000-2400-0000EE010000}"/>
            </a:ext>
          </a:extLst>
        </xdr:cNvPr>
        <xdr:cNvSpPr txBox="1">
          <a:spLocks noChangeArrowheads="1"/>
        </xdr:cNvSpPr>
      </xdr:nvSpPr>
      <xdr:spPr bwMode="auto">
        <a:xfrm>
          <a:off x="3076575" y="14068425"/>
          <a:ext cx="962025" cy="2571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COUPE A A</a:t>
          </a:r>
        </a:p>
      </xdr:txBody>
    </xdr:sp>
    <xdr:clientData/>
  </xdr:twoCellAnchor>
  <xdr:twoCellAnchor>
    <xdr:from>
      <xdr:col>21</xdr:col>
      <xdr:colOff>0</xdr:colOff>
      <xdr:row>54</xdr:row>
      <xdr:rowOff>0</xdr:rowOff>
    </xdr:from>
    <xdr:to>
      <xdr:col>36</xdr:col>
      <xdr:colOff>0</xdr:colOff>
      <xdr:row>57</xdr:row>
      <xdr:rowOff>0</xdr:rowOff>
    </xdr:to>
    <xdr:sp macro="" textlink="">
      <xdr:nvSpPr>
        <xdr:cNvPr id="495" name="Text Box 438">
          <a:extLst>
            <a:ext uri="{FF2B5EF4-FFF2-40B4-BE49-F238E27FC236}">
              <a16:creationId xmlns="" xmlns:a16="http://schemas.microsoft.com/office/drawing/2014/main" id="{00000000-0008-0000-2400-0000EF010000}"/>
            </a:ext>
          </a:extLst>
        </xdr:cNvPr>
        <xdr:cNvSpPr txBox="1">
          <a:spLocks noChangeArrowheads="1"/>
        </xdr:cNvSpPr>
      </xdr:nvSpPr>
      <xdr:spPr bwMode="auto">
        <a:xfrm>
          <a:off x="3000375" y="5257800"/>
          <a:ext cx="2143125" cy="2857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VUE EN PLAN FOSSE</a:t>
          </a:r>
        </a:p>
      </xdr:txBody>
    </xdr:sp>
    <xdr:clientData/>
  </xdr:twoCellAnchor>
  <xdr:twoCellAnchor>
    <xdr:from>
      <xdr:col>79</xdr:col>
      <xdr:colOff>0</xdr:colOff>
      <xdr:row>105</xdr:row>
      <xdr:rowOff>0</xdr:rowOff>
    </xdr:from>
    <xdr:to>
      <xdr:col>86</xdr:col>
      <xdr:colOff>0</xdr:colOff>
      <xdr:row>125</xdr:row>
      <xdr:rowOff>0</xdr:rowOff>
    </xdr:to>
    <xdr:sp macro="" textlink="">
      <xdr:nvSpPr>
        <xdr:cNvPr id="887076" name="Rectangle 441">
          <a:extLst>
            <a:ext uri="{FF2B5EF4-FFF2-40B4-BE49-F238E27FC236}">
              <a16:creationId xmlns="" xmlns:a16="http://schemas.microsoft.com/office/drawing/2014/main" id="{00000000-0008-0000-2400-000024890D00}"/>
            </a:ext>
          </a:extLst>
        </xdr:cNvPr>
        <xdr:cNvSpPr>
          <a:spLocks noChangeArrowheads="1"/>
        </xdr:cNvSpPr>
      </xdr:nvSpPr>
      <xdr:spPr bwMode="auto">
        <a:xfrm>
          <a:off x="11036300" y="10210800"/>
          <a:ext cx="977900" cy="1905000"/>
        </a:xfrm>
        <a:prstGeom prst="rect">
          <a:avLst/>
        </a:prstGeom>
        <a:solidFill>
          <a:srgbClr val="00B0F0">
            <a:alpha val="58038"/>
          </a:srgbClr>
        </a:solidFill>
        <a:ln w="9525">
          <a:solidFill>
            <a:srgbClr val="000000"/>
          </a:solidFill>
          <a:miter lim="800000"/>
          <a:headEnd/>
          <a:tailEnd/>
        </a:ln>
      </xdr:spPr>
    </xdr:sp>
    <xdr:clientData/>
  </xdr:twoCellAnchor>
  <xdr:twoCellAnchor>
    <xdr:from>
      <xdr:col>92</xdr:col>
      <xdr:colOff>0</xdr:colOff>
      <xdr:row>105</xdr:row>
      <xdr:rowOff>0</xdr:rowOff>
    </xdr:from>
    <xdr:to>
      <xdr:col>98</xdr:col>
      <xdr:colOff>82550</xdr:colOff>
      <xdr:row>125</xdr:row>
      <xdr:rowOff>0</xdr:rowOff>
    </xdr:to>
    <xdr:sp macro="" textlink="">
      <xdr:nvSpPr>
        <xdr:cNvPr id="887077" name="Rectangle 442">
          <a:extLst>
            <a:ext uri="{FF2B5EF4-FFF2-40B4-BE49-F238E27FC236}">
              <a16:creationId xmlns="" xmlns:a16="http://schemas.microsoft.com/office/drawing/2014/main" id="{00000000-0008-0000-2400-000025890D00}"/>
            </a:ext>
          </a:extLst>
        </xdr:cNvPr>
        <xdr:cNvSpPr>
          <a:spLocks noChangeArrowheads="1"/>
        </xdr:cNvSpPr>
      </xdr:nvSpPr>
      <xdr:spPr bwMode="auto">
        <a:xfrm>
          <a:off x="12852400" y="10210800"/>
          <a:ext cx="920750" cy="1905000"/>
        </a:xfrm>
        <a:prstGeom prst="rect">
          <a:avLst/>
        </a:prstGeom>
        <a:solidFill>
          <a:srgbClr val="00B0F0">
            <a:alpha val="56862"/>
          </a:srgbClr>
        </a:solidFill>
        <a:ln w="9525">
          <a:solidFill>
            <a:srgbClr val="000000"/>
          </a:solidFill>
          <a:miter lim="800000"/>
          <a:headEnd/>
          <a:tailEnd/>
        </a:ln>
      </xdr:spPr>
    </xdr:sp>
    <xdr:clientData/>
  </xdr:twoCellAnchor>
  <xdr:twoCellAnchor>
    <xdr:from>
      <xdr:col>79</xdr:col>
      <xdr:colOff>0</xdr:colOff>
      <xdr:row>130</xdr:row>
      <xdr:rowOff>0</xdr:rowOff>
    </xdr:from>
    <xdr:to>
      <xdr:col>92</xdr:col>
      <xdr:colOff>0</xdr:colOff>
      <xdr:row>133</xdr:row>
      <xdr:rowOff>0</xdr:rowOff>
    </xdr:to>
    <xdr:sp macro="" textlink="">
      <xdr:nvSpPr>
        <xdr:cNvPr id="498" name="Text Box 446">
          <a:extLst>
            <a:ext uri="{FF2B5EF4-FFF2-40B4-BE49-F238E27FC236}">
              <a16:creationId xmlns="" xmlns:a16="http://schemas.microsoft.com/office/drawing/2014/main" id="{00000000-0008-0000-2400-0000F2010000}"/>
            </a:ext>
          </a:extLst>
        </xdr:cNvPr>
        <xdr:cNvSpPr txBox="1">
          <a:spLocks noChangeArrowheads="1"/>
        </xdr:cNvSpPr>
      </xdr:nvSpPr>
      <xdr:spPr bwMode="auto">
        <a:xfrm>
          <a:off x="11287125" y="12496800"/>
          <a:ext cx="1857375" cy="2857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FAÇADE PRINCIPALE</a:t>
          </a:r>
        </a:p>
      </xdr:txBody>
    </xdr:sp>
    <xdr:clientData/>
  </xdr:twoCellAnchor>
  <xdr:twoCellAnchor>
    <xdr:from>
      <xdr:col>6</xdr:col>
      <xdr:colOff>19050</xdr:colOff>
      <xdr:row>13</xdr:row>
      <xdr:rowOff>19050</xdr:rowOff>
    </xdr:from>
    <xdr:to>
      <xdr:col>43</xdr:col>
      <xdr:colOff>25400</xdr:colOff>
      <xdr:row>36</xdr:row>
      <xdr:rowOff>12700</xdr:rowOff>
    </xdr:to>
    <xdr:sp macro="" textlink="">
      <xdr:nvSpPr>
        <xdr:cNvPr id="887079" name="Rectangle 447" descr="Cork">
          <a:extLst>
            <a:ext uri="{FF2B5EF4-FFF2-40B4-BE49-F238E27FC236}">
              <a16:creationId xmlns="" xmlns:a16="http://schemas.microsoft.com/office/drawing/2014/main" id="{00000000-0008-0000-2400-000027890D00}"/>
            </a:ext>
          </a:extLst>
        </xdr:cNvPr>
        <xdr:cNvSpPr>
          <a:spLocks noChangeArrowheads="1"/>
        </xdr:cNvSpPr>
      </xdr:nvSpPr>
      <xdr:spPr bwMode="auto">
        <a:xfrm>
          <a:off x="857250" y="1466850"/>
          <a:ext cx="5175250" cy="2184400"/>
        </a:xfrm>
        <a:prstGeom prst="rect">
          <a:avLst/>
        </a:prstGeom>
        <a:blipFill dpi="0" rotWithShape="0">
          <a:blip xmlns:r="http://schemas.openxmlformats.org/officeDocument/2006/relationships" r:embed="rId7"/>
          <a:srcRect/>
          <a:tile tx="0" ty="0" sx="100000" sy="100000" flip="none" algn="tl"/>
        </a:blipFill>
        <a:ln w="9525">
          <a:solidFill>
            <a:srgbClr val="000000"/>
          </a:solidFill>
          <a:miter lim="800000"/>
          <a:headEnd/>
          <a:tailEnd/>
        </a:ln>
      </xdr:spPr>
    </xdr:sp>
    <xdr:clientData/>
  </xdr:twoCellAnchor>
  <xdr:twoCellAnchor>
    <xdr:from>
      <xdr:col>18</xdr:col>
      <xdr:colOff>6350</xdr:colOff>
      <xdr:row>36</xdr:row>
      <xdr:rowOff>0</xdr:rowOff>
    </xdr:from>
    <xdr:to>
      <xdr:col>29</xdr:col>
      <xdr:colOff>25400</xdr:colOff>
      <xdr:row>37</xdr:row>
      <xdr:rowOff>31750</xdr:rowOff>
    </xdr:to>
    <xdr:sp macro="" textlink="">
      <xdr:nvSpPr>
        <xdr:cNvPr id="887080" name="Rectangle 453">
          <a:extLst>
            <a:ext uri="{FF2B5EF4-FFF2-40B4-BE49-F238E27FC236}">
              <a16:creationId xmlns="" xmlns:a16="http://schemas.microsoft.com/office/drawing/2014/main" id="{00000000-0008-0000-2400-000028890D00}"/>
            </a:ext>
          </a:extLst>
        </xdr:cNvPr>
        <xdr:cNvSpPr>
          <a:spLocks noChangeArrowheads="1"/>
        </xdr:cNvSpPr>
      </xdr:nvSpPr>
      <xdr:spPr bwMode="auto">
        <a:xfrm>
          <a:off x="2520950" y="3638550"/>
          <a:ext cx="1555750" cy="127000"/>
        </a:xfrm>
        <a:prstGeom prst="rect">
          <a:avLst/>
        </a:prstGeom>
        <a:solidFill>
          <a:srgbClr val="FFFFFF"/>
        </a:solidFill>
        <a:ln w="9525">
          <a:solidFill>
            <a:srgbClr val="000000"/>
          </a:solidFill>
          <a:miter lim="800000"/>
          <a:headEnd/>
          <a:tailEnd/>
        </a:ln>
      </xdr:spPr>
    </xdr:sp>
    <xdr:clientData/>
  </xdr:twoCellAnchor>
  <xdr:twoCellAnchor>
    <xdr:from>
      <xdr:col>23</xdr:col>
      <xdr:colOff>19050</xdr:colOff>
      <xdr:row>26</xdr:row>
      <xdr:rowOff>19050</xdr:rowOff>
    </xdr:from>
    <xdr:to>
      <xdr:col>24</xdr:col>
      <xdr:colOff>82550</xdr:colOff>
      <xdr:row>36</xdr:row>
      <xdr:rowOff>0</xdr:rowOff>
    </xdr:to>
    <xdr:sp macro="" textlink="">
      <xdr:nvSpPr>
        <xdr:cNvPr id="887081" name="Rectangle 455">
          <a:extLst>
            <a:ext uri="{FF2B5EF4-FFF2-40B4-BE49-F238E27FC236}">
              <a16:creationId xmlns="" xmlns:a16="http://schemas.microsoft.com/office/drawing/2014/main" id="{00000000-0008-0000-2400-000029890D00}"/>
            </a:ext>
          </a:extLst>
        </xdr:cNvPr>
        <xdr:cNvSpPr>
          <a:spLocks noChangeArrowheads="1"/>
        </xdr:cNvSpPr>
      </xdr:nvSpPr>
      <xdr:spPr bwMode="auto">
        <a:xfrm>
          <a:off x="3232150" y="2705100"/>
          <a:ext cx="203200" cy="933450"/>
        </a:xfrm>
        <a:prstGeom prst="rect">
          <a:avLst/>
        </a:prstGeom>
        <a:solidFill>
          <a:srgbClr val="FFFFFF"/>
        </a:solidFill>
        <a:ln w="9525">
          <a:solidFill>
            <a:srgbClr val="000000"/>
          </a:solidFill>
          <a:miter lim="800000"/>
          <a:headEnd/>
          <a:tailEnd/>
        </a:ln>
      </xdr:spPr>
    </xdr:sp>
    <xdr:clientData/>
  </xdr:twoCellAnchor>
  <xdr:twoCellAnchor>
    <xdr:from>
      <xdr:col>6</xdr:col>
      <xdr:colOff>19050</xdr:colOff>
      <xdr:row>24</xdr:row>
      <xdr:rowOff>50800</xdr:rowOff>
    </xdr:from>
    <xdr:to>
      <xdr:col>43</xdr:col>
      <xdr:colOff>19050</xdr:colOff>
      <xdr:row>26</xdr:row>
      <xdr:rowOff>19050</xdr:rowOff>
    </xdr:to>
    <xdr:sp macro="" textlink="">
      <xdr:nvSpPr>
        <xdr:cNvPr id="887082" name="Rectangle 457">
          <a:extLst>
            <a:ext uri="{FF2B5EF4-FFF2-40B4-BE49-F238E27FC236}">
              <a16:creationId xmlns="" xmlns:a16="http://schemas.microsoft.com/office/drawing/2014/main" id="{00000000-0008-0000-2400-00002A890D00}"/>
            </a:ext>
          </a:extLst>
        </xdr:cNvPr>
        <xdr:cNvSpPr>
          <a:spLocks noChangeArrowheads="1"/>
        </xdr:cNvSpPr>
      </xdr:nvSpPr>
      <xdr:spPr bwMode="auto">
        <a:xfrm>
          <a:off x="857250" y="2546350"/>
          <a:ext cx="5168900" cy="158750"/>
        </a:xfrm>
        <a:prstGeom prst="rect">
          <a:avLst/>
        </a:prstGeom>
        <a:solidFill>
          <a:srgbClr val="FFFFFF"/>
        </a:solidFill>
        <a:ln w="9525">
          <a:solidFill>
            <a:srgbClr val="000000"/>
          </a:solidFill>
          <a:miter lim="800000"/>
          <a:headEnd/>
          <a:tailEnd/>
        </a:ln>
      </xdr:spPr>
    </xdr:sp>
    <xdr:clientData/>
  </xdr:twoCellAnchor>
  <xdr:twoCellAnchor>
    <xdr:from>
      <xdr:col>35</xdr:col>
      <xdr:colOff>57150</xdr:colOff>
      <xdr:row>35</xdr:row>
      <xdr:rowOff>63500</xdr:rowOff>
    </xdr:from>
    <xdr:to>
      <xdr:col>41</xdr:col>
      <xdr:colOff>57150</xdr:colOff>
      <xdr:row>37</xdr:row>
      <xdr:rowOff>38100</xdr:rowOff>
    </xdr:to>
    <xdr:sp macro="" textlink="">
      <xdr:nvSpPr>
        <xdr:cNvPr id="887083" name="Rectangle 459">
          <a:extLst>
            <a:ext uri="{FF2B5EF4-FFF2-40B4-BE49-F238E27FC236}">
              <a16:creationId xmlns="" xmlns:a16="http://schemas.microsoft.com/office/drawing/2014/main" id="{00000000-0008-0000-2400-00002B890D00}"/>
            </a:ext>
          </a:extLst>
        </xdr:cNvPr>
        <xdr:cNvSpPr>
          <a:spLocks noChangeArrowheads="1"/>
        </xdr:cNvSpPr>
      </xdr:nvSpPr>
      <xdr:spPr bwMode="auto">
        <a:xfrm>
          <a:off x="4946650" y="3606800"/>
          <a:ext cx="838200" cy="165100"/>
        </a:xfrm>
        <a:prstGeom prst="rect">
          <a:avLst/>
        </a:prstGeom>
        <a:solidFill>
          <a:srgbClr val="FFFFFF"/>
        </a:solidFill>
        <a:ln w="9525">
          <a:solidFill>
            <a:srgbClr val="000000"/>
          </a:solidFill>
          <a:miter lim="800000"/>
          <a:headEnd/>
          <a:tailEnd/>
        </a:ln>
      </xdr:spPr>
    </xdr:sp>
    <xdr:clientData/>
  </xdr:twoCellAnchor>
  <xdr:twoCellAnchor>
    <xdr:from>
      <xdr:col>8</xdr:col>
      <xdr:colOff>0</xdr:colOff>
      <xdr:row>36</xdr:row>
      <xdr:rowOff>19050</xdr:rowOff>
    </xdr:from>
    <xdr:to>
      <xdr:col>11</xdr:col>
      <xdr:colOff>76200</xdr:colOff>
      <xdr:row>37</xdr:row>
      <xdr:rowOff>57150</xdr:rowOff>
    </xdr:to>
    <xdr:sp macro="" textlink="">
      <xdr:nvSpPr>
        <xdr:cNvPr id="887084" name="Rectangle 463">
          <a:extLst>
            <a:ext uri="{FF2B5EF4-FFF2-40B4-BE49-F238E27FC236}">
              <a16:creationId xmlns="" xmlns:a16="http://schemas.microsoft.com/office/drawing/2014/main" id="{00000000-0008-0000-2400-00002C890D00}"/>
            </a:ext>
          </a:extLst>
        </xdr:cNvPr>
        <xdr:cNvSpPr>
          <a:spLocks noChangeArrowheads="1"/>
        </xdr:cNvSpPr>
      </xdr:nvSpPr>
      <xdr:spPr bwMode="auto">
        <a:xfrm>
          <a:off x="1117600" y="3657600"/>
          <a:ext cx="495300" cy="133350"/>
        </a:xfrm>
        <a:prstGeom prst="rect">
          <a:avLst/>
        </a:prstGeom>
        <a:solidFill>
          <a:srgbClr val="FFFFFF"/>
        </a:solidFill>
        <a:ln w="9525">
          <a:solidFill>
            <a:srgbClr val="000000"/>
          </a:solidFill>
          <a:miter lim="800000"/>
          <a:headEnd/>
          <a:tailEnd/>
        </a:ln>
      </xdr:spPr>
    </xdr:sp>
    <xdr:clientData/>
  </xdr:twoCellAnchor>
  <xdr:twoCellAnchor>
    <xdr:from>
      <xdr:col>24</xdr:col>
      <xdr:colOff>44450</xdr:colOff>
      <xdr:row>30</xdr:row>
      <xdr:rowOff>63500</xdr:rowOff>
    </xdr:from>
    <xdr:to>
      <xdr:col>41</xdr:col>
      <xdr:colOff>38100</xdr:colOff>
      <xdr:row>30</xdr:row>
      <xdr:rowOff>63500</xdr:rowOff>
    </xdr:to>
    <xdr:sp macro="" textlink="">
      <xdr:nvSpPr>
        <xdr:cNvPr id="887085" name="Line 468">
          <a:extLst>
            <a:ext uri="{FF2B5EF4-FFF2-40B4-BE49-F238E27FC236}">
              <a16:creationId xmlns="" xmlns:a16="http://schemas.microsoft.com/office/drawing/2014/main" id="{00000000-0008-0000-2400-00002D890D00}"/>
            </a:ext>
          </a:extLst>
        </xdr:cNvPr>
        <xdr:cNvSpPr>
          <a:spLocks noChangeShapeType="1"/>
        </xdr:cNvSpPr>
      </xdr:nvSpPr>
      <xdr:spPr bwMode="auto">
        <a:xfrm>
          <a:off x="3397250" y="3130550"/>
          <a:ext cx="23685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30</xdr:col>
      <xdr:colOff>95885</xdr:colOff>
      <xdr:row>29</xdr:row>
      <xdr:rowOff>0</xdr:rowOff>
    </xdr:from>
    <xdr:to>
      <xdr:col>32</xdr:col>
      <xdr:colOff>120628</xdr:colOff>
      <xdr:row>33</xdr:row>
      <xdr:rowOff>0</xdr:rowOff>
    </xdr:to>
    <xdr:sp macro="" textlink="">
      <xdr:nvSpPr>
        <xdr:cNvPr id="506" name="Text Box 470">
          <a:extLst>
            <a:ext uri="{FF2B5EF4-FFF2-40B4-BE49-F238E27FC236}">
              <a16:creationId xmlns="" xmlns:a16="http://schemas.microsoft.com/office/drawing/2014/main" id="{00000000-0008-0000-2400-0000FA010000}"/>
            </a:ext>
          </a:extLst>
        </xdr:cNvPr>
        <xdr:cNvSpPr txBox="1">
          <a:spLocks noChangeArrowheads="1"/>
        </xdr:cNvSpPr>
      </xdr:nvSpPr>
      <xdr:spPr bwMode="auto">
        <a:xfrm>
          <a:off x="4381500" y="2876550"/>
          <a:ext cx="333375" cy="3810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150</a:t>
          </a:r>
        </a:p>
      </xdr:txBody>
    </xdr:sp>
    <xdr:clientData/>
  </xdr:twoCellAnchor>
  <xdr:twoCellAnchor>
    <xdr:from>
      <xdr:col>38</xdr:col>
      <xdr:colOff>38100</xdr:colOff>
      <xdr:row>26</xdr:row>
      <xdr:rowOff>19050</xdr:rowOff>
    </xdr:from>
    <xdr:to>
      <xdr:col>38</xdr:col>
      <xdr:colOff>44450</xdr:colOff>
      <xdr:row>35</xdr:row>
      <xdr:rowOff>63500</xdr:rowOff>
    </xdr:to>
    <xdr:sp macro="" textlink="">
      <xdr:nvSpPr>
        <xdr:cNvPr id="887087" name="Line 472">
          <a:extLst>
            <a:ext uri="{FF2B5EF4-FFF2-40B4-BE49-F238E27FC236}">
              <a16:creationId xmlns="" xmlns:a16="http://schemas.microsoft.com/office/drawing/2014/main" id="{00000000-0008-0000-2400-00002F890D00}"/>
            </a:ext>
          </a:extLst>
        </xdr:cNvPr>
        <xdr:cNvSpPr>
          <a:spLocks noChangeShapeType="1"/>
        </xdr:cNvSpPr>
      </xdr:nvSpPr>
      <xdr:spPr bwMode="auto">
        <a:xfrm>
          <a:off x="5346700" y="2705100"/>
          <a:ext cx="6350" cy="9017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36</xdr:col>
      <xdr:colOff>57785</xdr:colOff>
      <xdr:row>27</xdr:row>
      <xdr:rowOff>57786</xdr:rowOff>
    </xdr:from>
    <xdr:to>
      <xdr:col>37</xdr:col>
      <xdr:colOff>114261</xdr:colOff>
      <xdr:row>33</xdr:row>
      <xdr:rowOff>497</xdr:rowOff>
    </xdr:to>
    <xdr:sp macro="" textlink="">
      <xdr:nvSpPr>
        <xdr:cNvPr id="508" name="Text Box 473">
          <a:extLst>
            <a:ext uri="{FF2B5EF4-FFF2-40B4-BE49-F238E27FC236}">
              <a16:creationId xmlns="" xmlns:a16="http://schemas.microsoft.com/office/drawing/2014/main" id="{00000000-0008-0000-2400-0000FC010000}"/>
            </a:ext>
          </a:extLst>
        </xdr:cNvPr>
        <xdr:cNvSpPr txBox="1">
          <a:spLocks noChangeArrowheads="1"/>
        </xdr:cNvSpPr>
      </xdr:nvSpPr>
      <xdr:spPr bwMode="auto">
        <a:xfrm>
          <a:off x="5191125" y="2762251"/>
          <a:ext cx="238125" cy="4953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120</a:t>
          </a:r>
        </a:p>
      </xdr:txBody>
    </xdr:sp>
    <xdr:clientData/>
  </xdr:twoCellAnchor>
  <xdr:twoCellAnchor>
    <xdr:from>
      <xdr:col>6</xdr:col>
      <xdr:colOff>25400</xdr:colOff>
      <xdr:row>39</xdr:row>
      <xdr:rowOff>63500</xdr:rowOff>
    </xdr:from>
    <xdr:to>
      <xdr:col>43</xdr:col>
      <xdr:colOff>38100</xdr:colOff>
      <xdr:row>40</xdr:row>
      <xdr:rowOff>12700</xdr:rowOff>
    </xdr:to>
    <xdr:sp macro="" textlink="">
      <xdr:nvSpPr>
        <xdr:cNvPr id="887089" name="Line 474">
          <a:extLst>
            <a:ext uri="{FF2B5EF4-FFF2-40B4-BE49-F238E27FC236}">
              <a16:creationId xmlns="" xmlns:a16="http://schemas.microsoft.com/office/drawing/2014/main" id="{00000000-0008-0000-2400-000031890D00}"/>
            </a:ext>
          </a:extLst>
        </xdr:cNvPr>
        <xdr:cNvSpPr>
          <a:spLocks noChangeShapeType="1"/>
        </xdr:cNvSpPr>
      </xdr:nvSpPr>
      <xdr:spPr bwMode="auto">
        <a:xfrm flipV="1">
          <a:off x="863600" y="3987800"/>
          <a:ext cx="5181600" cy="444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82550</xdr:colOff>
      <xdr:row>39</xdr:row>
      <xdr:rowOff>63500</xdr:rowOff>
    </xdr:from>
    <xdr:to>
      <xdr:col>11</xdr:col>
      <xdr:colOff>82550</xdr:colOff>
      <xdr:row>40</xdr:row>
      <xdr:rowOff>19050</xdr:rowOff>
    </xdr:to>
    <xdr:sp macro="" textlink="">
      <xdr:nvSpPr>
        <xdr:cNvPr id="887090" name="Line 475">
          <a:extLst>
            <a:ext uri="{FF2B5EF4-FFF2-40B4-BE49-F238E27FC236}">
              <a16:creationId xmlns="" xmlns:a16="http://schemas.microsoft.com/office/drawing/2014/main" id="{00000000-0008-0000-2400-000032890D00}"/>
            </a:ext>
          </a:extLst>
        </xdr:cNvPr>
        <xdr:cNvSpPr>
          <a:spLocks noChangeShapeType="1"/>
        </xdr:cNvSpPr>
      </xdr:nvSpPr>
      <xdr:spPr bwMode="auto">
        <a:xfrm>
          <a:off x="1619250" y="3987800"/>
          <a:ext cx="0" cy="50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19050</xdr:colOff>
      <xdr:row>40</xdr:row>
      <xdr:rowOff>12700</xdr:rowOff>
    </xdr:from>
    <xdr:to>
      <xdr:col>11</xdr:col>
      <xdr:colOff>76200</xdr:colOff>
      <xdr:row>40</xdr:row>
      <xdr:rowOff>12700</xdr:rowOff>
    </xdr:to>
    <xdr:sp macro="" textlink="">
      <xdr:nvSpPr>
        <xdr:cNvPr id="887091" name="Line 476">
          <a:extLst>
            <a:ext uri="{FF2B5EF4-FFF2-40B4-BE49-F238E27FC236}">
              <a16:creationId xmlns="" xmlns:a16="http://schemas.microsoft.com/office/drawing/2014/main" id="{00000000-0008-0000-2400-000033890D00}"/>
            </a:ext>
          </a:extLst>
        </xdr:cNvPr>
        <xdr:cNvSpPr>
          <a:spLocks noChangeShapeType="1"/>
        </xdr:cNvSpPr>
      </xdr:nvSpPr>
      <xdr:spPr bwMode="auto">
        <a:xfrm>
          <a:off x="996950" y="4032250"/>
          <a:ext cx="6159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82550</xdr:colOff>
      <xdr:row>40</xdr:row>
      <xdr:rowOff>0</xdr:rowOff>
    </xdr:from>
    <xdr:to>
      <xdr:col>29</xdr:col>
      <xdr:colOff>25400</xdr:colOff>
      <xdr:row>40</xdr:row>
      <xdr:rowOff>12700</xdr:rowOff>
    </xdr:to>
    <xdr:sp macro="" textlink="">
      <xdr:nvSpPr>
        <xdr:cNvPr id="887092" name="Line 477">
          <a:extLst>
            <a:ext uri="{FF2B5EF4-FFF2-40B4-BE49-F238E27FC236}">
              <a16:creationId xmlns="" xmlns:a16="http://schemas.microsoft.com/office/drawing/2014/main" id="{00000000-0008-0000-2400-000034890D00}"/>
            </a:ext>
          </a:extLst>
        </xdr:cNvPr>
        <xdr:cNvSpPr>
          <a:spLocks noChangeShapeType="1"/>
        </xdr:cNvSpPr>
      </xdr:nvSpPr>
      <xdr:spPr bwMode="auto">
        <a:xfrm>
          <a:off x="2457450" y="4019550"/>
          <a:ext cx="1619250" cy="127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35</xdr:col>
      <xdr:colOff>82550</xdr:colOff>
      <xdr:row>39</xdr:row>
      <xdr:rowOff>57150</xdr:rowOff>
    </xdr:from>
    <xdr:to>
      <xdr:col>42</xdr:col>
      <xdr:colOff>82550</xdr:colOff>
      <xdr:row>40</xdr:row>
      <xdr:rowOff>0</xdr:rowOff>
    </xdr:to>
    <xdr:sp macro="" textlink="">
      <xdr:nvSpPr>
        <xdr:cNvPr id="887093" name="Line 478">
          <a:extLst>
            <a:ext uri="{FF2B5EF4-FFF2-40B4-BE49-F238E27FC236}">
              <a16:creationId xmlns="" xmlns:a16="http://schemas.microsoft.com/office/drawing/2014/main" id="{00000000-0008-0000-2400-000035890D00}"/>
            </a:ext>
          </a:extLst>
        </xdr:cNvPr>
        <xdr:cNvSpPr>
          <a:spLocks noChangeShapeType="1"/>
        </xdr:cNvSpPr>
      </xdr:nvSpPr>
      <xdr:spPr bwMode="auto">
        <a:xfrm flipH="1" flipV="1">
          <a:off x="4972050" y="3981450"/>
          <a:ext cx="977900" cy="381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13</xdr:col>
      <xdr:colOff>3175</xdr:colOff>
      <xdr:row>37</xdr:row>
      <xdr:rowOff>47625</xdr:rowOff>
    </xdr:from>
    <xdr:to>
      <xdr:col>15</xdr:col>
      <xdr:colOff>4470</xdr:colOff>
      <xdr:row>40</xdr:row>
      <xdr:rowOff>76938</xdr:rowOff>
    </xdr:to>
    <xdr:sp macro="" textlink="">
      <xdr:nvSpPr>
        <xdr:cNvPr id="514" name="Text Box 479">
          <a:extLst>
            <a:ext uri="{FF2B5EF4-FFF2-40B4-BE49-F238E27FC236}">
              <a16:creationId xmlns="" xmlns:a16="http://schemas.microsoft.com/office/drawing/2014/main" id="{00000000-0008-0000-2400-000002020000}"/>
            </a:ext>
          </a:extLst>
        </xdr:cNvPr>
        <xdr:cNvSpPr txBox="1">
          <a:spLocks noChangeArrowheads="1"/>
        </xdr:cNvSpPr>
      </xdr:nvSpPr>
      <xdr:spPr bwMode="auto">
        <a:xfrm>
          <a:off x="1885950" y="3705225"/>
          <a:ext cx="257175" cy="3143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75</a:t>
          </a:r>
        </a:p>
      </xdr:txBody>
    </xdr:sp>
    <xdr:clientData/>
  </xdr:twoCellAnchor>
  <xdr:twoCellAnchor editAs="oneCell">
    <xdr:from>
      <xdr:col>31</xdr:col>
      <xdr:colOff>57150</xdr:colOff>
      <xdr:row>39</xdr:row>
      <xdr:rowOff>0</xdr:rowOff>
    </xdr:from>
    <xdr:to>
      <xdr:col>35</xdr:col>
      <xdr:colOff>0</xdr:colOff>
      <xdr:row>47</xdr:row>
      <xdr:rowOff>0</xdr:rowOff>
    </xdr:to>
    <xdr:sp macro="" textlink="">
      <xdr:nvSpPr>
        <xdr:cNvPr id="887095" name="Text Box 481">
          <a:extLst>
            <a:ext uri="{FF2B5EF4-FFF2-40B4-BE49-F238E27FC236}">
              <a16:creationId xmlns="" xmlns:a16="http://schemas.microsoft.com/office/drawing/2014/main" id="{00000000-0008-0000-2400-000037890D00}"/>
            </a:ext>
          </a:extLst>
        </xdr:cNvPr>
        <xdr:cNvSpPr txBox="1">
          <a:spLocks noChangeArrowheads="1"/>
        </xdr:cNvSpPr>
      </xdr:nvSpPr>
      <xdr:spPr bwMode="auto">
        <a:xfrm>
          <a:off x="4387850" y="3924300"/>
          <a:ext cx="5016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20955</xdr:colOff>
      <xdr:row>37</xdr:row>
      <xdr:rowOff>75566</xdr:rowOff>
    </xdr:from>
    <xdr:to>
      <xdr:col>33</xdr:col>
      <xdr:colOff>1704</xdr:colOff>
      <xdr:row>42</xdr:row>
      <xdr:rowOff>3739</xdr:rowOff>
    </xdr:to>
    <xdr:sp macro="" textlink="">
      <xdr:nvSpPr>
        <xdr:cNvPr id="516" name="Text Box 482">
          <a:extLst>
            <a:ext uri="{FF2B5EF4-FFF2-40B4-BE49-F238E27FC236}">
              <a16:creationId xmlns="" xmlns:a16="http://schemas.microsoft.com/office/drawing/2014/main" id="{00000000-0008-0000-2400-000004020000}"/>
            </a:ext>
          </a:extLst>
        </xdr:cNvPr>
        <xdr:cNvSpPr txBox="1">
          <a:spLocks noChangeArrowheads="1"/>
        </xdr:cNvSpPr>
      </xdr:nvSpPr>
      <xdr:spPr bwMode="auto">
        <a:xfrm>
          <a:off x="4467225" y="3724276"/>
          <a:ext cx="247650" cy="3905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75</a:t>
          </a:r>
        </a:p>
      </xdr:txBody>
    </xdr:sp>
    <xdr:clientData/>
  </xdr:twoCellAnchor>
  <xdr:twoCellAnchor>
    <xdr:from>
      <xdr:col>6</xdr:col>
      <xdr:colOff>76200</xdr:colOff>
      <xdr:row>42</xdr:row>
      <xdr:rowOff>63500</xdr:rowOff>
    </xdr:from>
    <xdr:to>
      <xdr:col>42</xdr:col>
      <xdr:colOff>82550</xdr:colOff>
      <xdr:row>43</xdr:row>
      <xdr:rowOff>0</xdr:rowOff>
    </xdr:to>
    <xdr:sp macro="" textlink="">
      <xdr:nvSpPr>
        <xdr:cNvPr id="887097" name="Line 483">
          <a:extLst>
            <a:ext uri="{FF2B5EF4-FFF2-40B4-BE49-F238E27FC236}">
              <a16:creationId xmlns="" xmlns:a16="http://schemas.microsoft.com/office/drawing/2014/main" id="{00000000-0008-0000-2400-000039890D00}"/>
            </a:ext>
          </a:extLst>
        </xdr:cNvPr>
        <xdr:cNvSpPr>
          <a:spLocks noChangeShapeType="1"/>
        </xdr:cNvSpPr>
      </xdr:nvSpPr>
      <xdr:spPr bwMode="auto">
        <a:xfrm flipV="1">
          <a:off x="914400" y="4273550"/>
          <a:ext cx="5035550" cy="317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21</xdr:col>
      <xdr:colOff>18415</xdr:colOff>
      <xdr:row>40</xdr:row>
      <xdr:rowOff>57785</xdr:rowOff>
    </xdr:from>
    <xdr:to>
      <xdr:col>23</xdr:col>
      <xdr:colOff>372</xdr:colOff>
      <xdr:row>43</xdr:row>
      <xdr:rowOff>90748</xdr:rowOff>
    </xdr:to>
    <xdr:sp macro="" textlink="">
      <xdr:nvSpPr>
        <xdr:cNvPr id="518" name="Text Box 484">
          <a:extLst>
            <a:ext uri="{FF2B5EF4-FFF2-40B4-BE49-F238E27FC236}">
              <a16:creationId xmlns="" xmlns:a16="http://schemas.microsoft.com/office/drawing/2014/main" id="{00000000-0008-0000-2400-000006020000}"/>
            </a:ext>
          </a:extLst>
        </xdr:cNvPr>
        <xdr:cNvSpPr txBox="1">
          <a:spLocks noChangeArrowheads="1"/>
        </xdr:cNvSpPr>
      </xdr:nvSpPr>
      <xdr:spPr bwMode="auto">
        <a:xfrm>
          <a:off x="3009900" y="3981450"/>
          <a:ext cx="276225" cy="3238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360</a:t>
          </a:r>
        </a:p>
      </xdr:txBody>
    </xdr:sp>
    <xdr:clientData/>
  </xdr:twoCellAnchor>
  <xdr:twoCellAnchor>
    <xdr:from>
      <xdr:col>45</xdr:col>
      <xdr:colOff>19050</xdr:colOff>
      <xdr:row>25</xdr:row>
      <xdr:rowOff>31750</xdr:rowOff>
    </xdr:from>
    <xdr:to>
      <xdr:col>45</xdr:col>
      <xdr:colOff>19050</xdr:colOff>
      <xdr:row>37</xdr:row>
      <xdr:rowOff>57150</xdr:rowOff>
    </xdr:to>
    <xdr:sp macro="" textlink="">
      <xdr:nvSpPr>
        <xdr:cNvPr id="887099" name="Line 485">
          <a:extLst>
            <a:ext uri="{FF2B5EF4-FFF2-40B4-BE49-F238E27FC236}">
              <a16:creationId xmlns="" xmlns:a16="http://schemas.microsoft.com/office/drawing/2014/main" id="{00000000-0008-0000-2400-00003B890D00}"/>
            </a:ext>
          </a:extLst>
        </xdr:cNvPr>
        <xdr:cNvSpPr>
          <a:spLocks noChangeShapeType="1"/>
        </xdr:cNvSpPr>
      </xdr:nvSpPr>
      <xdr:spPr bwMode="auto">
        <a:xfrm flipH="1">
          <a:off x="6305550" y="2622550"/>
          <a:ext cx="0" cy="11684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45</xdr:col>
      <xdr:colOff>3175</xdr:colOff>
      <xdr:row>30</xdr:row>
      <xdr:rowOff>57785</xdr:rowOff>
    </xdr:from>
    <xdr:to>
      <xdr:col>48</xdr:col>
      <xdr:colOff>161</xdr:colOff>
      <xdr:row>35</xdr:row>
      <xdr:rowOff>90768</xdr:rowOff>
    </xdr:to>
    <xdr:sp macro="" textlink="">
      <xdr:nvSpPr>
        <xdr:cNvPr id="520" name="Text Box 486">
          <a:extLst>
            <a:ext uri="{FF2B5EF4-FFF2-40B4-BE49-F238E27FC236}">
              <a16:creationId xmlns="" xmlns:a16="http://schemas.microsoft.com/office/drawing/2014/main" id="{00000000-0008-0000-2400-000008020000}"/>
            </a:ext>
          </a:extLst>
        </xdr:cNvPr>
        <xdr:cNvSpPr txBox="1">
          <a:spLocks noChangeArrowheads="1"/>
        </xdr:cNvSpPr>
      </xdr:nvSpPr>
      <xdr:spPr bwMode="auto">
        <a:xfrm>
          <a:off x="6457950" y="3028950"/>
          <a:ext cx="400050" cy="5143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160</a:t>
          </a:r>
        </a:p>
      </xdr:txBody>
    </xdr:sp>
    <xdr:clientData/>
  </xdr:twoCellAnchor>
  <xdr:twoCellAnchor>
    <xdr:from>
      <xdr:col>35</xdr:col>
      <xdr:colOff>63500</xdr:colOff>
      <xdr:row>36</xdr:row>
      <xdr:rowOff>0</xdr:rowOff>
    </xdr:from>
    <xdr:to>
      <xdr:col>43</xdr:col>
      <xdr:colOff>19050</xdr:colOff>
      <xdr:row>37</xdr:row>
      <xdr:rowOff>38100</xdr:rowOff>
    </xdr:to>
    <xdr:sp macro="" textlink="">
      <xdr:nvSpPr>
        <xdr:cNvPr id="887101" name="Rectangle 488" descr="Horizontal brick">
          <a:extLst>
            <a:ext uri="{FF2B5EF4-FFF2-40B4-BE49-F238E27FC236}">
              <a16:creationId xmlns="" xmlns:a16="http://schemas.microsoft.com/office/drawing/2014/main" id="{00000000-0008-0000-2400-00003D890D00}"/>
            </a:ext>
          </a:extLst>
        </xdr:cNvPr>
        <xdr:cNvSpPr>
          <a:spLocks noChangeArrowheads="1"/>
        </xdr:cNvSpPr>
      </xdr:nvSpPr>
      <xdr:spPr bwMode="auto">
        <a:xfrm rot="-5400000">
          <a:off x="5422900" y="3168650"/>
          <a:ext cx="133350" cy="107315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6</xdr:col>
      <xdr:colOff>25400</xdr:colOff>
      <xdr:row>24</xdr:row>
      <xdr:rowOff>57150</xdr:rowOff>
    </xdr:from>
    <xdr:to>
      <xdr:col>43</xdr:col>
      <xdr:colOff>19050</xdr:colOff>
      <xdr:row>26</xdr:row>
      <xdr:rowOff>31750</xdr:rowOff>
    </xdr:to>
    <xdr:sp macro="" textlink="">
      <xdr:nvSpPr>
        <xdr:cNvPr id="887102" name="Rectangle 489" descr="Horizontal brick">
          <a:extLst>
            <a:ext uri="{FF2B5EF4-FFF2-40B4-BE49-F238E27FC236}">
              <a16:creationId xmlns="" xmlns:a16="http://schemas.microsoft.com/office/drawing/2014/main" id="{00000000-0008-0000-2400-00003E890D00}"/>
            </a:ext>
          </a:extLst>
        </xdr:cNvPr>
        <xdr:cNvSpPr>
          <a:spLocks noChangeArrowheads="1"/>
        </xdr:cNvSpPr>
      </xdr:nvSpPr>
      <xdr:spPr bwMode="auto">
        <a:xfrm rot="-5400000">
          <a:off x="3362325" y="53975"/>
          <a:ext cx="165100" cy="516255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18</xdr:col>
      <xdr:colOff>19050</xdr:colOff>
      <xdr:row>35</xdr:row>
      <xdr:rowOff>63500</xdr:rowOff>
    </xdr:from>
    <xdr:to>
      <xdr:col>29</xdr:col>
      <xdr:colOff>25400</xdr:colOff>
      <xdr:row>37</xdr:row>
      <xdr:rowOff>57150</xdr:rowOff>
    </xdr:to>
    <xdr:sp macro="" textlink="">
      <xdr:nvSpPr>
        <xdr:cNvPr id="887103" name="Rectangle 490" descr="Horizontal brick">
          <a:extLst>
            <a:ext uri="{FF2B5EF4-FFF2-40B4-BE49-F238E27FC236}">
              <a16:creationId xmlns="" xmlns:a16="http://schemas.microsoft.com/office/drawing/2014/main" id="{00000000-0008-0000-2400-00003F890D00}"/>
            </a:ext>
          </a:extLst>
        </xdr:cNvPr>
        <xdr:cNvSpPr>
          <a:spLocks noChangeArrowheads="1"/>
        </xdr:cNvSpPr>
      </xdr:nvSpPr>
      <xdr:spPr bwMode="auto">
        <a:xfrm rot="-5400000">
          <a:off x="3213100" y="2927350"/>
          <a:ext cx="184150" cy="154305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6</xdr:col>
      <xdr:colOff>19050</xdr:colOff>
      <xdr:row>36</xdr:row>
      <xdr:rowOff>12700</xdr:rowOff>
    </xdr:from>
    <xdr:to>
      <xdr:col>11</xdr:col>
      <xdr:colOff>63500</xdr:colOff>
      <xdr:row>37</xdr:row>
      <xdr:rowOff>57150</xdr:rowOff>
    </xdr:to>
    <xdr:sp macro="" textlink="">
      <xdr:nvSpPr>
        <xdr:cNvPr id="887104" name="Rectangle 491" descr="Horizontal brick">
          <a:extLst>
            <a:ext uri="{FF2B5EF4-FFF2-40B4-BE49-F238E27FC236}">
              <a16:creationId xmlns="" xmlns:a16="http://schemas.microsoft.com/office/drawing/2014/main" id="{00000000-0008-0000-2400-000040890D00}"/>
            </a:ext>
          </a:extLst>
        </xdr:cNvPr>
        <xdr:cNvSpPr>
          <a:spLocks noChangeArrowheads="1"/>
        </xdr:cNvSpPr>
      </xdr:nvSpPr>
      <xdr:spPr bwMode="auto">
        <a:xfrm rot="-5400000">
          <a:off x="1158875" y="3349625"/>
          <a:ext cx="139700" cy="74295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23</xdr:col>
      <xdr:colOff>19050</xdr:colOff>
      <xdr:row>26</xdr:row>
      <xdr:rowOff>12700</xdr:rowOff>
    </xdr:from>
    <xdr:to>
      <xdr:col>24</xdr:col>
      <xdr:colOff>76200</xdr:colOff>
      <xdr:row>36</xdr:row>
      <xdr:rowOff>57150</xdr:rowOff>
    </xdr:to>
    <xdr:sp macro="" textlink="">
      <xdr:nvSpPr>
        <xdr:cNvPr id="887105" name="Rectangle 497" descr="Horizontal brick">
          <a:extLst>
            <a:ext uri="{FF2B5EF4-FFF2-40B4-BE49-F238E27FC236}">
              <a16:creationId xmlns="" xmlns:a16="http://schemas.microsoft.com/office/drawing/2014/main" id="{00000000-0008-0000-2400-000041890D00}"/>
            </a:ext>
          </a:extLst>
        </xdr:cNvPr>
        <xdr:cNvSpPr>
          <a:spLocks noChangeArrowheads="1"/>
        </xdr:cNvSpPr>
      </xdr:nvSpPr>
      <xdr:spPr bwMode="auto">
        <a:xfrm rot="-5400000">
          <a:off x="2832100" y="3098800"/>
          <a:ext cx="996950" cy="19685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41</xdr:col>
      <xdr:colOff>63500</xdr:colOff>
      <xdr:row>24</xdr:row>
      <xdr:rowOff>50800</xdr:rowOff>
    </xdr:from>
    <xdr:to>
      <xdr:col>43</xdr:col>
      <xdr:colOff>25400</xdr:colOff>
      <xdr:row>37</xdr:row>
      <xdr:rowOff>38100</xdr:rowOff>
    </xdr:to>
    <xdr:sp macro="" textlink="">
      <xdr:nvSpPr>
        <xdr:cNvPr id="887106" name="Rectangle 498" descr="Horizontal brick">
          <a:extLst>
            <a:ext uri="{FF2B5EF4-FFF2-40B4-BE49-F238E27FC236}">
              <a16:creationId xmlns="" xmlns:a16="http://schemas.microsoft.com/office/drawing/2014/main" id="{00000000-0008-0000-2400-000042890D00}"/>
            </a:ext>
          </a:extLst>
        </xdr:cNvPr>
        <xdr:cNvSpPr>
          <a:spLocks noChangeArrowheads="1"/>
        </xdr:cNvSpPr>
      </xdr:nvSpPr>
      <xdr:spPr bwMode="auto">
        <a:xfrm rot="-5400000">
          <a:off x="5299075" y="3038475"/>
          <a:ext cx="1225550" cy="24130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6</xdr:col>
      <xdr:colOff>19050</xdr:colOff>
      <xdr:row>24</xdr:row>
      <xdr:rowOff>57150</xdr:rowOff>
    </xdr:from>
    <xdr:to>
      <xdr:col>7</xdr:col>
      <xdr:colOff>76200</xdr:colOff>
      <xdr:row>37</xdr:row>
      <xdr:rowOff>57150</xdr:rowOff>
    </xdr:to>
    <xdr:sp macro="" textlink="">
      <xdr:nvSpPr>
        <xdr:cNvPr id="887107" name="Rectangle 499" descr="Horizontal brick">
          <a:extLst>
            <a:ext uri="{FF2B5EF4-FFF2-40B4-BE49-F238E27FC236}">
              <a16:creationId xmlns="" xmlns:a16="http://schemas.microsoft.com/office/drawing/2014/main" id="{00000000-0008-0000-2400-000043890D00}"/>
            </a:ext>
          </a:extLst>
        </xdr:cNvPr>
        <xdr:cNvSpPr>
          <a:spLocks noChangeArrowheads="1"/>
        </xdr:cNvSpPr>
      </xdr:nvSpPr>
      <xdr:spPr bwMode="auto">
        <a:xfrm rot="-5400000">
          <a:off x="336550" y="3073400"/>
          <a:ext cx="1238250" cy="19685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6</xdr:col>
      <xdr:colOff>19050</xdr:colOff>
      <xdr:row>18</xdr:row>
      <xdr:rowOff>63500</xdr:rowOff>
    </xdr:from>
    <xdr:to>
      <xdr:col>43</xdr:col>
      <xdr:colOff>44450</xdr:colOff>
      <xdr:row>19</xdr:row>
      <xdr:rowOff>19050</xdr:rowOff>
    </xdr:to>
    <xdr:sp macro="" textlink="">
      <xdr:nvSpPr>
        <xdr:cNvPr id="887108" name="Line 501">
          <a:extLst>
            <a:ext uri="{FF2B5EF4-FFF2-40B4-BE49-F238E27FC236}">
              <a16:creationId xmlns="" xmlns:a16="http://schemas.microsoft.com/office/drawing/2014/main" id="{00000000-0008-0000-2400-000044890D00}"/>
            </a:ext>
          </a:extLst>
        </xdr:cNvPr>
        <xdr:cNvSpPr>
          <a:spLocks noChangeShapeType="1"/>
        </xdr:cNvSpPr>
      </xdr:nvSpPr>
      <xdr:spPr bwMode="auto">
        <a:xfrm flipV="1">
          <a:off x="857250" y="1987550"/>
          <a:ext cx="5194300" cy="5080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37</xdr:col>
      <xdr:colOff>4446</xdr:colOff>
      <xdr:row>16</xdr:row>
      <xdr:rowOff>74296</xdr:rowOff>
    </xdr:from>
    <xdr:to>
      <xdr:col>38</xdr:col>
      <xdr:colOff>114329</xdr:colOff>
      <xdr:row>22</xdr:row>
      <xdr:rowOff>3637</xdr:rowOff>
    </xdr:to>
    <xdr:sp macro="" textlink="">
      <xdr:nvSpPr>
        <xdr:cNvPr id="529" name="Text Box 507">
          <a:extLst>
            <a:ext uri="{FF2B5EF4-FFF2-40B4-BE49-F238E27FC236}">
              <a16:creationId xmlns="" xmlns:a16="http://schemas.microsoft.com/office/drawing/2014/main" id="{00000000-0008-0000-2400-000011020000}"/>
            </a:ext>
          </a:extLst>
        </xdr:cNvPr>
        <xdr:cNvSpPr txBox="1">
          <a:spLocks noChangeArrowheads="1"/>
        </xdr:cNvSpPr>
      </xdr:nvSpPr>
      <xdr:spPr bwMode="auto">
        <a:xfrm>
          <a:off x="5324476" y="1724026"/>
          <a:ext cx="247650" cy="4857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30</a:t>
          </a:r>
        </a:p>
      </xdr:txBody>
    </xdr:sp>
    <xdr:clientData/>
  </xdr:twoCellAnchor>
  <xdr:twoCellAnchor editAs="oneCell">
    <xdr:from>
      <xdr:col>37</xdr:col>
      <xdr:colOff>4445</xdr:colOff>
      <xdr:row>19</xdr:row>
      <xdr:rowOff>57785</xdr:rowOff>
    </xdr:from>
    <xdr:to>
      <xdr:col>38</xdr:col>
      <xdr:colOff>114328</xdr:colOff>
      <xdr:row>22</xdr:row>
      <xdr:rowOff>90930</xdr:rowOff>
    </xdr:to>
    <xdr:sp macro="" textlink="">
      <xdr:nvSpPr>
        <xdr:cNvPr id="530" name="Text Box 508">
          <a:extLst>
            <a:ext uri="{FF2B5EF4-FFF2-40B4-BE49-F238E27FC236}">
              <a16:creationId xmlns="" xmlns:a16="http://schemas.microsoft.com/office/drawing/2014/main" id="{00000000-0008-0000-2400-000012020000}"/>
            </a:ext>
          </a:extLst>
        </xdr:cNvPr>
        <xdr:cNvSpPr txBox="1">
          <a:spLocks noChangeArrowheads="1"/>
        </xdr:cNvSpPr>
      </xdr:nvSpPr>
      <xdr:spPr bwMode="auto">
        <a:xfrm>
          <a:off x="5324475" y="1981200"/>
          <a:ext cx="247650" cy="3238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30</a:t>
          </a:r>
        </a:p>
      </xdr:txBody>
    </xdr:sp>
    <xdr:clientData/>
  </xdr:twoCellAnchor>
  <xdr:twoCellAnchor editAs="oneCell">
    <xdr:from>
      <xdr:col>34</xdr:col>
      <xdr:colOff>57785</xdr:colOff>
      <xdr:row>22</xdr:row>
      <xdr:rowOff>56515</xdr:rowOff>
    </xdr:from>
    <xdr:to>
      <xdr:col>41</xdr:col>
      <xdr:colOff>114029</xdr:colOff>
      <xdr:row>30</xdr:row>
      <xdr:rowOff>3388</xdr:rowOff>
    </xdr:to>
    <xdr:sp macro="" textlink="">
      <xdr:nvSpPr>
        <xdr:cNvPr id="531" name="Text Box 509">
          <a:extLst>
            <a:ext uri="{FF2B5EF4-FFF2-40B4-BE49-F238E27FC236}">
              <a16:creationId xmlns="" xmlns:a16="http://schemas.microsoft.com/office/drawing/2014/main" id="{00000000-0008-0000-2400-000013020000}"/>
            </a:ext>
          </a:extLst>
        </xdr:cNvPr>
        <xdr:cNvSpPr txBox="1">
          <a:spLocks noChangeArrowheads="1"/>
        </xdr:cNvSpPr>
      </xdr:nvSpPr>
      <xdr:spPr bwMode="auto">
        <a:xfrm>
          <a:off x="4905375" y="2276475"/>
          <a:ext cx="1095375" cy="6953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20</a:t>
          </a:r>
        </a:p>
      </xdr:txBody>
    </xdr:sp>
    <xdr:clientData/>
  </xdr:twoCellAnchor>
  <xdr:twoCellAnchor editAs="oneCell">
    <xdr:from>
      <xdr:col>66</xdr:col>
      <xdr:colOff>63500</xdr:colOff>
      <xdr:row>24</xdr:row>
      <xdr:rowOff>38100</xdr:rowOff>
    </xdr:from>
    <xdr:to>
      <xdr:col>70</xdr:col>
      <xdr:colOff>0</xdr:colOff>
      <xdr:row>33</xdr:row>
      <xdr:rowOff>0</xdr:rowOff>
    </xdr:to>
    <xdr:sp macro="" textlink="">
      <xdr:nvSpPr>
        <xdr:cNvPr id="887112" name="Text Box 510">
          <a:extLst>
            <a:ext uri="{FF2B5EF4-FFF2-40B4-BE49-F238E27FC236}">
              <a16:creationId xmlns="" xmlns:a16="http://schemas.microsoft.com/office/drawing/2014/main" id="{00000000-0008-0000-2400-000048890D00}"/>
            </a:ext>
          </a:extLst>
        </xdr:cNvPr>
        <xdr:cNvSpPr txBox="1">
          <a:spLocks noChangeArrowheads="1"/>
        </xdr:cNvSpPr>
      </xdr:nvSpPr>
      <xdr:spPr bwMode="auto">
        <a:xfrm>
          <a:off x="9283700" y="2533650"/>
          <a:ext cx="4953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14</xdr:col>
      <xdr:colOff>0</xdr:colOff>
      <xdr:row>44</xdr:row>
      <xdr:rowOff>9525</xdr:rowOff>
    </xdr:from>
    <xdr:to>
      <xdr:col>33</xdr:col>
      <xdr:colOff>35595</xdr:colOff>
      <xdr:row>47</xdr:row>
      <xdr:rowOff>247</xdr:rowOff>
    </xdr:to>
    <xdr:sp macro="" textlink="">
      <xdr:nvSpPr>
        <xdr:cNvPr id="533" name="Text Box 520">
          <a:extLst>
            <a:ext uri="{FF2B5EF4-FFF2-40B4-BE49-F238E27FC236}">
              <a16:creationId xmlns="" xmlns:a16="http://schemas.microsoft.com/office/drawing/2014/main" id="{00000000-0008-0000-2400-000015020000}"/>
            </a:ext>
          </a:extLst>
        </xdr:cNvPr>
        <xdr:cNvSpPr txBox="1">
          <a:spLocks noChangeArrowheads="1"/>
        </xdr:cNvSpPr>
      </xdr:nvSpPr>
      <xdr:spPr bwMode="auto">
        <a:xfrm>
          <a:off x="2000250" y="4324350"/>
          <a:ext cx="2790825" cy="2667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VUE EN PLAN CABINE ET DALLE</a:t>
          </a:r>
        </a:p>
      </xdr:txBody>
    </xdr:sp>
    <xdr:clientData/>
  </xdr:twoCellAnchor>
  <xdr:twoCellAnchor>
    <xdr:from>
      <xdr:col>31</xdr:col>
      <xdr:colOff>6350</xdr:colOff>
      <xdr:row>88</xdr:row>
      <xdr:rowOff>57150</xdr:rowOff>
    </xdr:from>
    <xdr:to>
      <xdr:col>40</xdr:col>
      <xdr:colOff>19050</xdr:colOff>
      <xdr:row>88</xdr:row>
      <xdr:rowOff>57150</xdr:rowOff>
    </xdr:to>
    <xdr:sp macro="" textlink="">
      <xdr:nvSpPr>
        <xdr:cNvPr id="887114" name="Line 527">
          <a:extLst>
            <a:ext uri="{FF2B5EF4-FFF2-40B4-BE49-F238E27FC236}">
              <a16:creationId xmlns="" xmlns:a16="http://schemas.microsoft.com/office/drawing/2014/main" id="{00000000-0008-0000-2400-00004A890D00}"/>
            </a:ext>
          </a:extLst>
        </xdr:cNvPr>
        <xdr:cNvSpPr>
          <a:spLocks noChangeShapeType="1"/>
        </xdr:cNvSpPr>
      </xdr:nvSpPr>
      <xdr:spPr bwMode="auto">
        <a:xfrm rot="-10737626">
          <a:off x="4337050" y="8648700"/>
          <a:ext cx="12700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43</xdr:col>
      <xdr:colOff>19050</xdr:colOff>
      <xdr:row>10</xdr:row>
      <xdr:rowOff>12700</xdr:rowOff>
    </xdr:from>
    <xdr:to>
      <xdr:col>46</xdr:col>
      <xdr:colOff>6350</xdr:colOff>
      <xdr:row>13</xdr:row>
      <xdr:rowOff>19050</xdr:rowOff>
    </xdr:to>
    <xdr:sp macro="" textlink="">
      <xdr:nvSpPr>
        <xdr:cNvPr id="887115" name="Line 529">
          <a:extLst>
            <a:ext uri="{FF2B5EF4-FFF2-40B4-BE49-F238E27FC236}">
              <a16:creationId xmlns="" xmlns:a16="http://schemas.microsoft.com/office/drawing/2014/main" id="{00000000-0008-0000-2400-00004B890D00}"/>
            </a:ext>
          </a:extLst>
        </xdr:cNvPr>
        <xdr:cNvSpPr>
          <a:spLocks noChangeShapeType="1"/>
        </xdr:cNvSpPr>
      </xdr:nvSpPr>
      <xdr:spPr bwMode="auto">
        <a:xfrm flipV="1">
          <a:off x="6026150" y="1174750"/>
          <a:ext cx="406400" cy="2921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42</xdr:col>
      <xdr:colOff>3175</xdr:colOff>
      <xdr:row>6</xdr:row>
      <xdr:rowOff>57785</xdr:rowOff>
    </xdr:from>
    <xdr:to>
      <xdr:col>52</xdr:col>
      <xdr:colOff>61660</xdr:colOff>
      <xdr:row>10</xdr:row>
      <xdr:rowOff>9918</xdr:rowOff>
    </xdr:to>
    <xdr:sp macro="" textlink="">
      <xdr:nvSpPr>
        <xdr:cNvPr id="536" name="Text Box 530">
          <a:extLst>
            <a:ext uri="{FF2B5EF4-FFF2-40B4-BE49-F238E27FC236}">
              <a16:creationId xmlns="" xmlns:a16="http://schemas.microsoft.com/office/drawing/2014/main" id="{00000000-0008-0000-2400-000018020000}"/>
            </a:ext>
          </a:extLst>
        </xdr:cNvPr>
        <xdr:cNvSpPr txBox="1">
          <a:spLocks noChangeArrowheads="1"/>
        </xdr:cNvSpPr>
      </xdr:nvSpPr>
      <xdr:spPr bwMode="auto">
        <a:xfrm>
          <a:off x="6019800" y="742950"/>
          <a:ext cx="1428750" cy="3429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Dalot amovible en BA 350kg/m3</a:t>
          </a:r>
        </a:p>
      </xdr:txBody>
    </xdr:sp>
    <xdr:clientData/>
  </xdr:twoCellAnchor>
  <xdr:twoCellAnchor>
    <xdr:from>
      <xdr:col>16</xdr:col>
      <xdr:colOff>0</xdr:colOff>
      <xdr:row>98</xdr:row>
      <xdr:rowOff>19050</xdr:rowOff>
    </xdr:from>
    <xdr:to>
      <xdr:col>17</xdr:col>
      <xdr:colOff>57150</xdr:colOff>
      <xdr:row>100</xdr:row>
      <xdr:rowOff>19050</xdr:rowOff>
    </xdr:to>
    <xdr:sp macro="" textlink="">
      <xdr:nvSpPr>
        <xdr:cNvPr id="887117" name="Rectangle 364" descr="Horizontal brick">
          <a:extLst>
            <a:ext uri="{FF2B5EF4-FFF2-40B4-BE49-F238E27FC236}">
              <a16:creationId xmlns="" xmlns:a16="http://schemas.microsoft.com/office/drawing/2014/main" id="{00000000-0008-0000-2400-00004D890D00}"/>
            </a:ext>
          </a:extLst>
        </xdr:cNvPr>
        <xdr:cNvSpPr>
          <a:spLocks noChangeArrowheads="1"/>
        </xdr:cNvSpPr>
      </xdr:nvSpPr>
      <xdr:spPr bwMode="auto">
        <a:xfrm>
          <a:off x="2235200" y="9563100"/>
          <a:ext cx="196850" cy="19050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28</xdr:col>
      <xdr:colOff>44450</xdr:colOff>
      <xdr:row>123</xdr:row>
      <xdr:rowOff>0</xdr:rowOff>
    </xdr:from>
    <xdr:to>
      <xdr:col>31</xdr:col>
      <xdr:colOff>82550</xdr:colOff>
      <xdr:row>128</xdr:row>
      <xdr:rowOff>57150</xdr:rowOff>
    </xdr:to>
    <xdr:cxnSp macro="">
      <xdr:nvCxnSpPr>
        <xdr:cNvPr id="887118" name="Shape 226">
          <a:extLst>
            <a:ext uri="{FF2B5EF4-FFF2-40B4-BE49-F238E27FC236}">
              <a16:creationId xmlns="" xmlns:a16="http://schemas.microsoft.com/office/drawing/2014/main" id="{00000000-0008-0000-2400-00004E890D00}"/>
            </a:ext>
          </a:extLst>
        </xdr:cNvPr>
        <xdr:cNvCxnSpPr>
          <a:cxnSpLocks noChangeShapeType="1"/>
        </xdr:cNvCxnSpPr>
      </xdr:nvCxnSpPr>
      <xdr:spPr bwMode="auto">
        <a:xfrm rot="16200000" flipH="1">
          <a:off x="3917950" y="11963400"/>
          <a:ext cx="533400" cy="457200"/>
        </a:xfrm>
        <a:prstGeom prst="bentConnector3">
          <a:avLst>
            <a:gd name="adj1" fmla="val 50000"/>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25</xdr:col>
      <xdr:colOff>95885</xdr:colOff>
      <xdr:row>128</xdr:row>
      <xdr:rowOff>57785</xdr:rowOff>
    </xdr:from>
    <xdr:to>
      <xdr:col>36</xdr:col>
      <xdr:colOff>57758</xdr:colOff>
      <xdr:row>130</xdr:row>
      <xdr:rowOff>58068</xdr:rowOff>
    </xdr:to>
    <xdr:sp macro="" textlink="">
      <xdr:nvSpPr>
        <xdr:cNvPr id="539" name="Text Box 388">
          <a:extLst>
            <a:ext uri="{FF2B5EF4-FFF2-40B4-BE49-F238E27FC236}">
              <a16:creationId xmlns="" xmlns:a16="http://schemas.microsoft.com/office/drawing/2014/main" id="{00000000-0008-0000-2400-00001B020000}"/>
            </a:ext>
          </a:extLst>
        </xdr:cNvPr>
        <xdr:cNvSpPr txBox="1">
          <a:spLocks noChangeArrowheads="1"/>
        </xdr:cNvSpPr>
      </xdr:nvSpPr>
      <xdr:spPr bwMode="auto">
        <a:xfrm>
          <a:off x="3676650" y="12363450"/>
          <a:ext cx="1543050" cy="2095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Poutre de 20x15cm</a:t>
          </a:r>
        </a:p>
      </xdr:txBody>
    </xdr:sp>
    <xdr:clientData/>
  </xdr:twoCellAnchor>
  <xdr:twoCellAnchor>
    <xdr:from>
      <xdr:col>80</xdr:col>
      <xdr:colOff>57784</xdr:colOff>
      <xdr:row>106</xdr:row>
      <xdr:rowOff>60960</xdr:rowOff>
    </xdr:from>
    <xdr:to>
      <xdr:col>84</xdr:col>
      <xdr:colOff>41460</xdr:colOff>
      <xdr:row>109</xdr:row>
      <xdr:rowOff>77162</xdr:rowOff>
    </xdr:to>
    <xdr:sp macro="" textlink="">
      <xdr:nvSpPr>
        <xdr:cNvPr id="540" name="Trapezoid 229">
          <a:extLst>
            <a:ext uri="{FF2B5EF4-FFF2-40B4-BE49-F238E27FC236}">
              <a16:creationId xmlns="" xmlns:a16="http://schemas.microsoft.com/office/drawing/2014/main" id="{00000000-0008-0000-2400-00001C020000}"/>
            </a:ext>
          </a:extLst>
        </xdr:cNvPr>
        <xdr:cNvSpPr/>
      </xdr:nvSpPr>
      <xdr:spPr bwMode="auto">
        <a:xfrm rot="10800000">
          <a:off x="11506199" y="10258425"/>
          <a:ext cx="561975" cy="323850"/>
        </a:xfrm>
        <a:prstGeom prst="trapezoid">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p>
      </xdr:txBody>
    </xdr:sp>
    <xdr:clientData/>
  </xdr:twoCellAnchor>
  <xdr:twoCellAnchor>
    <xdr:from>
      <xdr:col>93</xdr:col>
      <xdr:colOff>3173</xdr:colOff>
      <xdr:row>106</xdr:row>
      <xdr:rowOff>57784</xdr:rowOff>
    </xdr:from>
    <xdr:to>
      <xdr:col>96</xdr:col>
      <xdr:colOff>95937</xdr:colOff>
      <xdr:row>110</xdr:row>
      <xdr:rowOff>9995</xdr:rowOff>
    </xdr:to>
    <xdr:sp macro="" textlink="">
      <xdr:nvSpPr>
        <xdr:cNvPr id="541" name="Trapezoid 230">
          <a:extLst>
            <a:ext uri="{FF2B5EF4-FFF2-40B4-BE49-F238E27FC236}">
              <a16:creationId xmlns="" xmlns:a16="http://schemas.microsoft.com/office/drawing/2014/main" id="{00000000-0008-0000-2400-00001D020000}"/>
            </a:ext>
          </a:extLst>
        </xdr:cNvPr>
        <xdr:cNvSpPr/>
      </xdr:nvSpPr>
      <xdr:spPr bwMode="auto">
        <a:xfrm rot="10800000">
          <a:off x="13296898" y="10277474"/>
          <a:ext cx="533400" cy="333375"/>
        </a:xfrm>
        <a:prstGeom prst="trapezoid">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p>
      </xdr:txBody>
    </xdr:sp>
    <xdr:clientData/>
  </xdr:twoCellAnchor>
  <xdr:twoCellAnchor>
    <xdr:from>
      <xdr:col>37</xdr:col>
      <xdr:colOff>19050</xdr:colOff>
      <xdr:row>19</xdr:row>
      <xdr:rowOff>19050</xdr:rowOff>
    </xdr:from>
    <xdr:to>
      <xdr:col>37</xdr:col>
      <xdr:colOff>19050</xdr:colOff>
      <xdr:row>22</xdr:row>
      <xdr:rowOff>57150</xdr:rowOff>
    </xdr:to>
    <xdr:cxnSp macro="">
      <xdr:nvCxnSpPr>
        <xdr:cNvPr id="887122" name="Straight Arrow Connector 236">
          <a:extLst>
            <a:ext uri="{FF2B5EF4-FFF2-40B4-BE49-F238E27FC236}">
              <a16:creationId xmlns="" xmlns:a16="http://schemas.microsoft.com/office/drawing/2014/main" id="{00000000-0008-0000-2400-000052890D00}"/>
            </a:ext>
          </a:extLst>
        </xdr:cNvPr>
        <xdr:cNvCxnSpPr>
          <a:cxnSpLocks noChangeShapeType="1"/>
        </xdr:cNvCxnSpPr>
      </xdr:nvCxnSpPr>
      <xdr:spPr bwMode="auto">
        <a:xfrm rot="5400000">
          <a:off x="5026025" y="2200275"/>
          <a:ext cx="32385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36</xdr:col>
      <xdr:colOff>6350</xdr:colOff>
      <xdr:row>22</xdr:row>
      <xdr:rowOff>57150</xdr:rowOff>
    </xdr:from>
    <xdr:to>
      <xdr:col>36</xdr:col>
      <xdr:colOff>6350</xdr:colOff>
      <xdr:row>24</xdr:row>
      <xdr:rowOff>57150</xdr:rowOff>
    </xdr:to>
    <xdr:cxnSp macro="">
      <xdr:nvCxnSpPr>
        <xdr:cNvPr id="887123" name="Straight Arrow Connector 240">
          <a:extLst>
            <a:ext uri="{FF2B5EF4-FFF2-40B4-BE49-F238E27FC236}">
              <a16:creationId xmlns="" xmlns:a16="http://schemas.microsoft.com/office/drawing/2014/main" id="{00000000-0008-0000-2400-000053890D00}"/>
            </a:ext>
          </a:extLst>
        </xdr:cNvPr>
        <xdr:cNvCxnSpPr>
          <a:cxnSpLocks noChangeShapeType="1"/>
        </xdr:cNvCxnSpPr>
      </xdr:nvCxnSpPr>
      <xdr:spPr bwMode="auto">
        <a:xfrm rot="5400000">
          <a:off x="4940300" y="2457450"/>
          <a:ext cx="1905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0</xdr:colOff>
      <xdr:row>22</xdr:row>
      <xdr:rowOff>38100</xdr:rowOff>
    </xdr:from>
    <xdr:to>
      <xdr:col>43</xdr:col>
      <xdr:colOff>44450</xdr:colOff>
      <xdr:row>22</xdr:row>
      <xdr:rowOff>38100</xdr:rowOff>
    </xdr:to>
    <xdr:sp macro="" textlink="">
      <xdr:nvSpPr>
        <xdr:cNvPr id="887124" name="Line 500">
          <a:extLst>
            <a:ext uri="{FF2B5EF4-FFF2-40B4-BE49-F238E27FC236}">
              <a16:creationId xmlns="" xmlns:a16="http://schemas.microsoft.com/office/drawing/2014/main" id="{00000000-0008-0000-2400-000054890D00}"/>
            </a:ext>
          </a:extLst>
        </xdr:cNvPr>
        <xdr:cNvSpPr>
          <a:spLocks noChangeShapeType="1"/>
        </xdr:cNvSpPr>
      </xdr:nvSpPr>
      <xdr:spPr bwMode="auto">
        <a:xfrm flipV="1">
          <a:off x="838200" y="2343150"/>
          <a:ext cx="521335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18415</xdr:colOff>
      <xdr:row>22</xdr:row>
      <xdr:rowOff>60960</xdr:rowOff>
    </xdr:from>
    <xdr:to>
      <xdr:col>43</xdr:col>
      <xdr:colOff>36868</xdr:colOff>
      <xdr:row>24</xdr:row>
      <xdr:rowOff>58991</xdr:rowOff>
    </xdr:to>
    <xdr:sp macro="" textlink="">
      <xdr:nvSpPr>
        <xdr:cNvPr id="545" name="Rectangle 544">
          <a:extLst>
            <a:ext uri="{FF2B5EF4-FFF2-40B4-BE49-F238E27FC236}">
              <a16:creationId xmlns="" xmlns:a16="http://schemas.microsoft.com/office/drawing/2014/main" id="{00000000-0008-0000-2400-000021020000}"/>
            </a:ext>
          </a:extLst>
        </xdr:cNvPr>
        <xdr:cNvSpPr/>
      </xdr:nvSpPr>
      <xdr:spPr bwMode="auto">
        <a:xfrm>
          <a:off x="866775" y="2257425"/>
          <a:ext cx="5334000" cy="219075"/>
        </a:xfrm>
        <a:prstGeom prst="rect">
          <a:avLst/>
        </a:prstGeom>
        <a:blipFill>
          <a:blip xmlns:r="http://schemas.openxmlformats.org/officeDocument/2006/relationships" r:embed="rId2" cstate="print"/>
          <a:tile tx="0" ty="0" sx="100000" sy="100000" flip="none" algn="tl"/>
        </a:blip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11</xdr:col>
      <xdr:colOff>0</xdr:colOff>
      <xdr:row>22</xdr:row>
      <xdr:rowOff>57150</xdr:rowOff>
    </xdr:from>
    <xdr:to>
      <xdr:col>12</xdr:col>
      <xdr:colOff>63500</xdr:colOff>
      <xdr:row>24</xdr:row>
      <xdr:rowOff>31750</xdr:rowOff>
    </xdr:to>
    <xdr:sp macro="" textlink="">
      <xdr:nvSpPr>
        <xdr:cNvPr id="887126" name="Oval 505">
          <a:extLst>
            <a:ext uri="{FF2B5EF4-FFF2-40B4-BE49-F238E27FC236}">
              <a16:creationId xmlns="" xmlns:a16="http://schemas.microsoft.com/office/drawing/2014/main" id="{00000000-0008-0000-2400-000056890D00}"/>
            </a:ext>
          </a:extLst>
        </xdr:cNvPr>
        <xdr:cNvSpPr>
          <a:spLocks noChangeArrowheads="1"/>
        </xdr:cNvSpPr>
      </xdr:nvSpPr>
      <xdr:spPr bwMode="auto">
        <a:xfrm flipV="1">
          <a:off x="1536700" y="2362200"/>
          <a:ext cx="203200" cy="165100"/>
        </a:xfrm>
        <a:prstGeom prst="ellipse">
          <a:avLst/>
        </a:prstGeom>
        <a:solidFill>
          <a:srgbClr val="FFFFFF"/>
        </a:solidFill>
        <a:ln w="9525">
          <a:solidFill>
            <a:srgbClr val="000000"/>
          </a:solidFill>
          <a:round/>
          <a:headEnd/>
          <a:tailEnd/>
        </a:ln>
      </xdr:spPr>
    </xdr:sp>
    <xdr:clientData/>
  </xdr:twoCellAnchor>
  <xdr:twoCellAnchor>
    <xdr:from>
      <xdr:col>25</xdr:col>
      <xdr:colOff>44450</xdr:colOff>
      <xdr:row>22</xdr:row>
      <xdr:rowOff>57150</xdr:rowOff>
    </xdr:from>
    <xdr:to>
      <xdr:col>27</xdr:col>
      <xdr:colOff>19050</xdr:colOff>
      <xdr:row>24</xdr:row>
      <xdr:rowOff>38100</xdr:rowOff>
    </xdr:to>
    <xdr:sp macro="" textlink="">
      <xdr:nvSpPr>
        <xdr:cNvPr id="887127" name="Oval 505">
          <a:extLst>
            <a:ext uri="{FF2B5EF4-FFF2-40B4-BE49-F238E27FC236}">
              <a16:creationId xmlns="" xmlns:a16="http://schemas.microsoft.com/office/drawing/2014/main" id="{00000000-0008-0000-2400-000057890D00}"/>
            </a:ext>
          </a:extLst>
        </xdr:cNvPr>
        <xdr:cNvSpPr>
          <a:spLocks noChangeArrowheads="1"/>
        </xdr:cNvSpPr>
      </xdr:nvSpPr>
      <xdr:spPr bwMode="auto">
        <a:xfrm flipV="1">
          <a:off x="3536950" y="2362200"/>
          <a:ext cx="254000" cy="171450"/>
        </a:xfrm>
        <a:prstGeom prst="ellipse">
          <a:avLst/>
        </a:prstGeom>
        <a:solidFill>
          <a:srgbClr val="FFFFFF"/>
        </a:solidFill>
        <a:ln w="9525">
          <a:solidFill>
            <a:srgbClr val="000000"/>
          </a:solidFill>
          <a:round/>
          <a:headEnd/>
          <a:tailEnd/>
        </a:ln>
      </xdr:spPr>
    </xdr:sp>
    <xdr:clientData/>
  </xdr:twoCellAnchor>
  <xdr:twoCellAnchor>
    <xdr:from>
      <xdr:col>37</xdr:col>
      <xdr:colOff>57150</xdr:colOff>
      <xdr:row>22</xdr:row>
      <xdr:rowOff>57150</xdr:rowOff>
    </xdr:from>
    <xdr:to>
      <xdr:col>39</xdr:col>
      <xdr:colOff>25400</xdr:colOff>
      <xdr:row>24</xdr:row>
      <xdr:rowOff>38100</xdr:rowOff>
    </xdr:to>
    <xdr:sp macro="" textlink="">
      <xdr:nvSpPr>
        <xdr:cNvPr id="887128" name="Oval 505">
          <a:extLst>
            <a:ext uri="{FF2B5EF4-FFF2-40B4-BE49-F238E27FC236}">
              <a16:creationId xmlns="" xmlns:a16="http://schemas.microsoft.com/office/drawing/2014/main" id="{00000000-0008-0000-2400-000058890D00}"/>
            </a:ext>
          </a:extLst>
        </xdr:cNvPr>
        <xdr:cNvSpPr>
          <a:spLocks noChangeArrowheads="1"/>
        </xdr:cNvSpPr>
      </xdr:nvSpPr>
      <xdr:spPr bwMode="auto">
        <a:xfrm flipV="1">
          <a:off x="5226050" y="2362200"/>
          <a:ext cx="247650" cy="171450"/>
        </a:xfrm>
        <a:prstGeom prst="ellipse">
          <a:avLst/>
        </a:prstGeom>
        <a:solidFill>
          <a:srgbClr val="FFFFFF"/>
        </a:solidFill>
        <a:ln w="9525">
          <a:solidFill>
            <a:srgbClr val="000000"/>
          </a:solidFill>
          <a:round/>
          <a:headEnd/>
          <a:tailEnd/>
        </a:ln>
      </xdr:spPr>
    </xdr:sp>
    <xdr:clientData/>
  </xdr:twoCellAnchor>
  <xdr:twoCellAnchor editAs="oneCell">
    <xdr:from>
      <xdr:col>45</xdr:col>
      <xdr:colOff>57785</xdr:colOff>
      <xdr:row>23</xdr:row>
      <xdr:rowOff>61593</xdr:rowOff>
    </xdr:from>
    <xdr:to>
      <xdr:col>48</xdr:col>
      <xdr:colOff>4244</xdr:colOff>
      <xdr:row>31</xdr:row>
      <xdr:rowOff>795</xdr:rowOff>
    </xdr:to>
    <xdr:sp macro="" textlink="">
      <xdr:nvSpPr>
        <xdr:cNvPr id="549" name="Text Box 507">
          <a:extLst>
            <a:ext uri="{FF2B5EF4-FFF2-40B4-BE49-F238E27FC236}">
              <a16:creationId xmlns="" xmlns:a16="http://schemas.microsoft.com/office/drawing/2014/main" id="{00000000-0008-0000-2400-000025020000}"/>
            </a:ext>
          </a:extLst>
        </xdr:cNvPr>
        <xdr:cNvSpPr txBox="1">
          <a:spLocks noChangeArrowheads="1"/>
        </xdr:cNvSpPr>
      </xdr:nvSpPr>
      <xdr:spPr bwMode="auto">
        <a:xfrm>
          <a:off x="6524625" y="2324098"/>
          <a:ext cx="333376" cy="7429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30</a:t>
          </a:r>
        </a:p>
      </xdr:txBody>
    </xdr:sp>
    <xdr:clientData/>
  </xdr:twoCellAnchor>
  <xdr:twoCellAnchor>
    <xdr:from>
      <xdr:col>45</xdr:col>
      <xdr:colOff>19050</xdr:colOff>
      <xdr:row>22</xdr:row>
      <xdr:rowOff>19050</xdr:rowOff>
    </xdr:from>
    <xdr:to>
      <xdr:col>45</xdr:col>
      <xdr:colOff>19050</xdr:colOff>
      <xdr:row>25</xdr:row>
      <xdr:rowOff>38100</xdr:rowOff>
    </xdr:to>
    <xdr:cxnSp macro="">
      <xdr:nvCxnSpPr>
        <xdr:cNvPr id="887130" name="Straight Arrow Connector 245">
          <a:extLst>
            <a:ext uri="{FF2B5EF4-FFF2-40B4-BE49-F238E27FC236}">
              <a16:creationId xmlns="" xmlns:a16="http://schemas.microsoft.com/office/drawing/2014/main" id="{00000000-0008-0000-2400-00005A890D00}"/>
            </a:ext>
          </a:extLst>
        </xdr:cNvPr>
        <xdr:cNvCxnSpPr>
          <a:cxnSpLocks noChangeShapeType="1"/>
        </xdr:cNvCxnSpPr>
      </xdr:nvCxnSpPr>
      <xdr:spPr bwMode="auto">
        <a:xfrm rot="5400000">
          <a:off x="6153150" y="2476500"/>
          <a:ext cx="3048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45</xdr:col>
      <xdr:colOff>22860</xdr:colOff>
      <xdr:row>16</xdr:row>
      <xdr:rowOff>3171</xdr:rowOff>
    </xdr:from>
    <xdr:to>
      <xdr:col>48</xdr:col>
      <xdr:colOff>394</xdr:colOff>
      <xdr:row>21</xdr:row>
      <xdr:rowOff>180</xdr:rowOff>
    </xdr:to>
    <xdr:sp macro="" textlink="">
      <xdr:nvSpPr>
        <xdr:cNvPr id="551" name="Text Box 507">
          <a:extLst>
            <a:ext uri="{FF2B5EF4-FFF2-40B4-BE49-F238E27FC236}">
              <a16:creationId xmlns="" xmlns:a16="http://schemas.microsoft.com/office/drawing/2014/main" id="{00000000-0008-0000-2400-000027020000}"/>
            </a:ext>
          </a:extLst>
        </xdr:cNvPr>
        <xdr:cNvSpPr txBox="1">
          <a:spLocks noChangeArrowheads="1"/>
        </xdr:cNvSpPr>
      </xdr:nvSpPr>
      <xdr:spPr bwMode="auto">
        <a:xfrm>
          <a:off x="6467475" y="1638296"/>
          <a:ext cx="390526" cy="47625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95</a:t>
          </a:r>
        </a:p>
      </xdr:txBody>
    </xdr:sp>
    <xdr:clientData/>
  </xdr:twoCellAnchor>
  <xdr:twoCellAnchor>
    <xdr:from>
      <xdr:col>45</xdr:col>
      <xdr:colOff>19050</xdr:colOff>
      <xdr:row>13</xdr:row>
      <xdr:rowOff>12700</xdr:rowOff>
    </xdr:from>
    <xdr:to>
      <xdr:col>45</xdr:col>
      <xdr:colOff>19050</xdr:colOff>
      <xdr:row>22</xdr:row>
      <xdr:rowOff>38100</xdr:rowOff>
    </xdr:to>
    <xdr:cxnSp macro="">
      <xdr:nvCxnSpPr>
        <xdr:cNvPr id="887132" name="Straight Arrow Connector 248">
          <a:extLst>
            <a:ext uri="{FF2B5EF4-FFF2-40B4-BE49-F238E27FC236}">
              <a16:creationId xmlns="" xmlns:a16="http://schemas.microsoft.com/office/drawing/2014/main" id="{00000000-0008-0000-2400-00005C890D00}"/>
            </a:ext>
          </a:extLst>
        </xdr:cNvPr>
        <xdr:cNvCxnSpPr>
          <a:cxnSpLocks noChangeShapeType="1"/>
        </xdr:cNvCxnSpPr>
      </xdr:nvCxnSpPr>
      <xdr:spPr bwMode="auto">
        <a:xfrm rot="16200000" flipH="1">
          <a:off x="5864225" y="1901825"/>
          <a:ext cx="88265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49</xdr:col>
      <xdr:colOff>76200</xdr:colOff>
      <xdr:row>13</xdr:row>
      <xdr:rowOff>19050</xdr:rowOff>
    </xdr:from>
    <xdr:to>
      <xdr:col>49</xdr:col>
      <xdr:colOff>82550</xdr:colOff>
      <xdr:row>37</xdr:row>
      <xdr:rowOff>57150</xdr:rowOff>
    </xdr:to>
    <xdr:cxnSp macro="">
      <xdr:nvCxnSpPr>
        <xdr:cNvPr id="887133" name="Straight Arrow Connector 255">
          <a:extLst>
            <a:ext uri="{FF2B5EF4-FFF2-40B4-BE49-F238E27FC236}">
              <a16:creationId xmlns="" xmlns:a16="http://schemas.microsoft.com/office/drawing/2014/main" id="{00000000-0008-0000-2400-00005D890D00}"/>
            </a:ext>
          </a:extLst>
        </xdr:cNvPr>
        <xdr:cNvCxnSpPr>
          <a:cxnSpLocks noChangeShapeType="1"/>
        </xdr:cNvCxnSpPr>
      </xdr:nvCxnSpPr>
      <xdr:spPr bwMode="auto">
        <a:xfrm rot="5400000">
          <a:off x="5762625" y="2625725"/>
          <a:ext cx="2324100" cy="635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50</xdr:col>
      <xdr:colOff>3175</xdr:colOff>
      <xdr:row>24</xdr:row>
      <xdr:rowOff>0</xdr:rowOff>
    </xdr:from>
    <xdr:to>
      <xdr:col>53</xdr:col>
      <xdr:colOff>51</xdr:colOff>
      <xdr:row>28</xdr:row>
      <xdr:rowOff>0</xdr:rowOff>
    </xdr:to>
    <xdr:sp macro="" textlink="">
      <xdr:nvSpPr>
        <xdr:cNvPr id="554" name="Text Box 507">
          <a:extLst>
            <a:ext uri="{FF2B5EF4-FFF2-40B4-BE49-F238E27FC236}">
              <a16:creationId xmlns="" xmlns:a16="http://schemas.microsoft.com/office/drawing/2014/main" id="{00000000-0008-0000-2400-00002A020000}"/>
            </a:ext>
          </a:extLst>
        </xdr:cNvPr>
        <xdr:cNvSpPr txBox="1">
          <a:spLocks noChangeArrowheads="1"/>
        </xdr:cNvSpPr>
      </xdr:nvSpPr>
      <xdr:spPr bwMode="auto">
        <a:xfrm>
          <a:off x="7153275" y="2400300"/>
          <a:ext cx="419101" cy="3810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285</a:t>
          </a:r>
        </a:p>
      </xdr:txBody>
    </xdr:sp>
    <xdr:clientData/>
  </xdr:twoCellAnchor>
  <xdr:twoCellAnchor>
    <xdr:from>
      <xdr:col>35</xdr:col>
      <xdr:colOff>0</xdr:colOff>
      <xdr:row>13</xdr:row>
      <xdr:rowOff>19050</xdr:rowOff>
    </xdr:from>
    <xdr:to>
      <xdr:col>35</xdr:col>
      <xdr:colOff>6350</xdr:colOff>
      <xdr:row>22</xdr:row>
      <xdr:rowOff>57150</xdr:rowOff>
    </xdr:to>
    <xdr:cxnSp macro="">
      <xdr:nvCxnSpPr>
        <xdr:cNvPr id="887135" name="Straight Connector 249">
          <a:extLst>
            <a:ext uri="{FF2B5EF4-FFF2-40B4-BE49-F238E27FC236}">
              <a16:creationId xmlns="" xmlns:a16="http://schemas.microsoft.com/office/drawing/2014/main" id="{00000000-0008-0000-2400-00005F890D00}"/>
            </a:ext>
          </a:extLst>
        </xdr:cNvPr>
        <xdr:cNvCxnSpPr>
          <a:cxnSpLocks noChangeShapeType="1"/>
        </xdr:cNvCxnSpPr>
      </xdr:nvCxnSpPr>
      <xdr:spPr bwMode="auto">
        <a:xfrm rot="16200000" flipH="1">
          <a:off x="4445000" y="1911350"/>
          <a:ext cx="895350" cy="635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37</xdr:col>
      <xdr:colOff>19050</xdr:colOff>
      <xdr:row>16</xdr:row>
      <xdr:rowOff>12700</xdr:rowOff>
    </xdr:from>
    <xdr:to>
      <xdr:col>37</xdr:col>
      <xdr:colOff>25400</xdr:colOff>
      <xdr:row>19</xdr:row>
      <xdr:rowOff>38100</xdr:rowOff>
    </xdr:to>
    <xdr:cxnSp macro="">
      <xdr:nvCxnSpPr>
        <xdr:cNvPr id="887136" name="Straight Arrow Connector 256">
          <a:extLst>
            <a:ext uri="{FF2B5EF4-FFF2-40B4-BE49-F238E27FC236}">
              <a16:creationId xmlns="" xmlns:a16="http://schemas.microsoft.com/office/drawing/2014/main" id="{00000000-0008-0000-2400-000060890D00}"/>
            </a:ext>
          </a:extLst>
        </xdr:cNvPr>
        <xdr:cNvCxnSpPr>
          <a:cxnSpLocks noChangeShapeType="1"/>
        </xdr:cNvCxnSpPr>
      </xdr:nvCxnSpPr>
      <xdr:spPr bwMode="auto">
        <a:xfrm rot="5400000">
          <a:off x="5035550" y="1898650"/>
          <a:ext cx="311150" cy="635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19050</xdr:colOff>
      <xdr:row>16</xdr:row>
      <xdr:rowOff>19050</xdr:rowOff>
    </xdr:from>
    <xdr:to>
      <xdr:col>43</xdr:col>
      <xdr:colOff>44450</xdr:colOff>
      <xdr:row>16</xdr:row>
      <xdr:rowOff>50800</xdr:rowOff>
    </xdr:to>
    <xdr:sp macro="" textlink="">
      <xdr:nvSpPr>
        <xdr:cNvPr id="887137" name="Line 501">
          <a:extLst>
            <a:ext uri="{FF2B5EF4-FFF2-40B4-BE49-F238E27FC236}">
              <a16:creationId xmlns="" xmlns:a16="http://schemas.microsoft.com/office/drawing/2014/main" id="{00000000-0008-0000-2400-000061890D00}"/>
            </a:ext>
          </a:extLst>
        </xdr:cNvPr>
        <xdr:cNvSpPr>
          <a:spLocks noChangeShapeType="1"/>
        </xdr:cNvSpPr>
      </xdr:nvSpPr>
      <xdr:spPr bwMode="auto">
        <a:xfrm flipV="1">
          <a:off x="857250" y="1752600"/>
          <a:ext cx="5194300" cy="3175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19050</xdr:colOff>
      <xdr:row>13</xdr:row>
      <xdr:rowOff>19050</xdr:rowOff>
    </xdr:from>
    <xdr:to>
      <xdr:col>37</xdr:col>
      <xdr:colOff>25400</xdr:colOff>
      <xdr:row>16</xdr:row>
      <xdr:rowOff>57150</xdr:rowOff>
    </xdr:to>
    <xdr:cxnSp macro="">
      <xdr:nvCxnSpPr>
        <xdr:cNvPr id="887138" name="Straight Arrow Connector 260">
          <a:extLst>
            <a:ext uri="{FF2B5EF4-FFF2-40B4-BE49-F238E27FC236}">
              <a16:creationId xmlns="" xmlns:a16="http://schemas.microsoft.com/office/drawing/2014/main" id="{00000000-0008-0000-2400-000062890D00}"/>
            </a:ext>
          </a:extLst>
        </xdr:cNvPr>
        <xdr:cNvCxnSpPr>
          <a:cxnSpLocks noChangeShapeType="1"/>
        </xdr:cNvCxnSpPr>
      </xdr:nvCxnSpPr>
      <xdr:spPr bwMode="auto">
        <a:xfrm rot="5400000">
          <a:off x="5029200" y="1625600"/>
          <a:ext cx="323850" cy="635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24</xdr:col>
      <xdr:colOff>57150</xdr:colOff>
      <xdr:row>21</xdr:row>
      <xdr:rowOff>12700</xdr:rowOff>
    </xdr:from>
    <xdr:to>
      <xdr:col>35</xdr:col>
      <xdr:colOff>19050</xdr:colOff>
      <xdr:row>21</xdr:row>
      <xdr:rowOff>12700</xdr:rowOff>
    </xdr:to>
    <xdr:cxnSp macro="">
      <xdr:nvCxnSpPr>
        <xdr:cNvPr id="887139" name="Straight Arrow Connector 262">
          <a:extLst>
            <a:ext uri="{FF2B5EF4-FFF2-40B4-BE49-F238E27FC236}">
              <a16:creationId xmlns="" xmlns:a16="http://schemas.microsoft.com/office/drawing/2014/main" id="{00000000-0008-0000-2400-000063890D00}"/>
            </a:ext>
          </a:extLst>
        </xdr:cNvPr>
        <xdr:cNvCxnSpPr>
          <a:cxnSpLocks noChangeShapeType="1"/>
        </xdr:cNvCxnSpPr>
      </xdr:nvCxnSpPr>
      <xdr:spPr bwMode="auto">
        <a:xfrm>
          <a:off x="3409950" y="2222500"/>
          <a:ext cx="14986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23</xdr:col>
      <xdr:colOff>76200</xdr:colOff>
      <xdr:row>13</xdr:row>
      <xdr:rowOff>19050</xdr:rowOff>
    </xdr:from>
    <xdr:to>
      <xdr:col>23</xdr:col>
      <xdr:colOff>76200</xdr:colOff>
      <xdr:row>25</xdr:row>
      <xdr:rowOff>0</xdr:rowOff>
    </xdr:to>
    <xdr:cxnSp macro="">
      <xdr:nvCxnSpPr>
        <xdr:cNvPr id="887140" name="Straight Connector 267">
          <a:extLst>
            <a:ext uri="{FF2B5EF4-FFF2-40B4-BE49-F238E27FC236}">
              <a16:creationId xmlns="" xmlns:a16="http://schemas.microsoft.com/office/drawing/2014/main" id="{00000000-0008-0000-2400-000064890D00}"/>
            </a:ext>
          </a:extLst>
        </xdr:cNvPr>
        <xdr:cNvCxnSpPr>
          <a:cxnSpLocks noChangeShapeType="1"/>
        </xdr:cNvCxnSpPr>
      </xdr:nvCxnSpPr>
      <xdr:spPr bwMode="auto">
        <a:xfrm rot="16200000" flipH="1">
          <a:off x="2727325" y="2028825"/>
          <a:ext cx="1123950" cy="0"/>
        </a:xfrm>
        <a:prstGeom prst="line">
          <a:avLst/>
        </a:prstGeom>
        <a:noFill/>
        <a:ln w="19050" algn="ctr">
          <a:solidFill>
            <a:srgbClr val="000000"/>
          </a:solidFill>
          <a:prstDash val="dashDot"/>
          <a:round/>
          <a:headEnd/>
          <a:tailEnd/>
        </a:ln>
        <a:extLst>
          <a:ext uri="{909E8E84-426E-40DD-AFC4-6F175D3DCCD1}">
            <a14:hiddenFill xmlns:a14="http://schemas.microsoft.com/office/drawing/2010/main">
              <a:noFill/>
            </a14:hiddenFill>
          </a:ext>
        </a:extLst>
      </xdr:spPr>
    </xdr:cxnSp>
    <xdr:clientData/>
  </xdr:twoCellAnchor>
  <xdr:twoCellAnchor>
    <xdr:from>
      <xdr:col>15</xdr:col>
      <xdr:colOff>19050</xdr:colOff>
      <xdr:row>21</xdr:row>
      <xdr:rowOff>12700</xdr:rowOff>
    </xdr:from>
    <xdr:to>
      <xdr:col>24</xdr:col>
      <xdr:colOff>63500</xdr:colOff>
      <xdr:row>21</xdr:row>
      <xdr:rowOff>12700</xdr:rowOff>
    </xdr:to>
    <xdr:cxnSp macro="">
      <xdr:nvCxnSpPr>
        <xdr:cNvPr id="887141" name="Straight Arrow Connector 268">
          <a:extLst>
            <a:ext uri="{FF2B5EF4-FFF2-40B4-BE49-F238E27FC236}">
              <a16:creationId xmlns="" xmlns:a16="http://schemas.microsoft.com/office/drawing/2014/main" id="{00000000-0008-0000-2400-000065890D00}"/>
            </a:ext>
          </a:extLst>
        </xdr:cNvPr>
        <xdr:cNvCxnSpPr>
          <a:cxnSpLocks noChangeShapeType="1"/>
        </xdr:cNvCxnSpPr>
      </xdr:nvCxnSpPr>
      <xdr:spPr bwMode="auto">
        <a:xfrm flipV="1">
          <a:off x="2114550" y="2222500"/>
          <a:ext cx="130175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6350</xdr:colOff>
      <xdr:row>21</xdr:row>
      <xdr:rowOff>0</xdr:rowOff>
    </xdr:from>
    <xdr:to>
      <xdr:col>15</xdr:col>
      <xdr:colOff>6350</xdr:colOff>
      <xdr:row>21</xdr:row>
      <xdr:rowOff>0</xdr:rowOff>
    </xdr:to>
    <xdr:cxnSp macro="">
      <xdr:nvCxnSpPr>
        <xdr:cNvPr id="887142" name="Straight Arrow Connector 270">
          <a:extLst>
            <a:ext uri="{FF2B5EF4-FFF2-40B4-BE49-F238E27FC236}">
              <a16:creationId xmlns="" xmlns:a16="http://schemas.microsoft.com/office/drawing/2014/main" id="{00000000-0008-0000-2400-000066890D00}"/>
            </a:ext>
          </a:extLst>
        </xdr:cNvPr>
        <xdr:cNvCxnSpPr>
          <a:cxnSpLocks noChangeShapeType="1"/>
        </xdr:cNvCxnSpPr>
      </xdr:nvCxnSpPr>
      <xdr:spPr bwMode="auto">
        <a:xfrm flipV="1">
          <a:off x="844550" y="2209800"/>
          <a:ext cx="12573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8</xdr:col>
      <xdr:colOff>57785</xdr:colOff>
      <xdr:row>19</xdr:row>
      <xdr:rowOff>1</xdr:rowOff>
    </xdr:from>
    <xdr:to>
      <xdr:col>13</xdr:col>
      <xdr:colOff>18470</xdr:colOff>
      <xdr:row>21</xdr:row>
      <xdr:rowOff>47258</xdr:rowOff>
    </xdr:to>
    <xdr:sp macro="" textlink="">
      <xdr:nvSpPr>
        <xdr:cNvPr id="563" name="TextBox 271">
          <a:extLst>
            <a:ext uri="{FF2B5EF4-FFF2-40B4-BE49-F238E27FC236}">
              <a16:creationId xmlns="" xmlns:a16="http://schemas.microsoft.com/office/drawing/2014/main" id="{00000000-0008-0000-2400-000033020000}"/>
            </a:ext>
          </a:extLst>
        </xdr:cNvPr>
        <xdr:cNvSpPr txBox="1"/>
      </xdr:nvSpPr>
      <xdr:spPr>
        <a:xfrm>
          <a:off x="1190625" y="1924051"/>
          <a:ext cx="676275" cy="200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100</a:t>
          </a:r>
        </a:p>
      </xdr:txBody>
    </xdr:sp>
    <xdr:clientData/>
  </xdr:twoCellAnchor>
  <xdr:twoCellAnchor>
    <xdr:from>
      <xdr:col>27</xdr:col>
      <xdr:colOff>39370</xdr:colOff>
      <xdr:row>19</xdr:row>
      <xdr:rowOff>61596</xdr:rowOff>
    </xdr:from>
    <xdr:to>
      <xdr:col>32</xdr:col>
      <xdr:colOff>707</xdr:colOff>
      <xdr:row>21</xdr:row>
      <xdr:rowOff>61595</xdr:rowOff>
    </xdr:to>
    <xdr:sp macro="" textlink="">
      <xdr:nvSpPr>
        <xdr:cNvPr id="564" name="TextBox 278">
          <a:extLst>
            <a:ext uri="{FF2B5EF4-FFF2-40B4-BE49-F238E27FC236}">
              <a16:creationId xmlns="" xmlns:a16="http://schemas.microsoft.com/office/drawing/2014/main" id="{00000000-0008-0000-2400-000034020000}"/>
            </a:ext>
          </a:extLst>
        </xdr:cNvPr>
        <xdr:cNvSpPr txBox="1"/>
      </xdr:nvSpPr>
      <xdr:spPr>
        <a:xfrm>
          <a:off x="3905250" y="1933576"/>
          <a:ext cx="676275" cy="200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80</a:t>
          </a:r>
        </a:p>
      </xdr:txBody>
    </xdr:sp>
    <xdr:clientData/>
  </xdr:twoCellAnchor>
  <xdr:twoCellAnchor>
    <xdr:from>
      <xdr:col>16</xdr:col>
      <xdr:colOff>75565</xdr:colOff>
      <xdr:row>18</xdr:row>
      <xdr:rowOff>57786</xdr:rowOff>
    </xdr:from>
    <xdr:to>
      <xdr:col>21</xdr:col>
      <xdr:colOff>56061</xdr:colOff>
      <xdr:row>20</xdr:row>
      <xdr:rowOff>72393</xdr:rowOff>
    </xdr:to>
    <xdr:sp macro="" textlink="">
      <xdr:nvSpPr>
        <xdr:cNvPr id="565" name="TextBox 279">
          <a:extLst>
            <a:ext uri="{FF2B5EF4-FFF2-40B4-BE49-F238E27FC236}">
              <a16:creationId xmlns="" xmlns:a16="http://schemas.microsoft.com/office/drawing/2014/main" id="{00000000-0008-0000-2400-000035020000}"/>
            </a:ext>
          </a:extLst>
        </xdr:cNvPr>
        <xdr:cNvSpPr txBox="1"/>
      </xdr:nvSpPr>
      <xdr:spPr>
        <a:xfrm>
          <a:off x="2371725" y="1905001"/>
          <a:ext cx="676275" cy="200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80</a:t>
          </a:r>
        </a:p>
      </xdr:txBody>
    </xdr:sp>
    <xdr:clientData/>
  </xdr:twoCellAnchor>
  <xdr:twoCellAnchor>
    <xdr:from>
      <xdr:col>68</xdr:col>
      <xdr:colOff>0</xdr:colOff>
      <xdr:row>31</xdr:row>
      <xdr:rowOff>0</xdr:rowOff>
    </xdr:from>
    <xdr:to>
      <xdr:col>84</xdr:col>
      <xdr:colOff>61645</xdr:colOff>
      <xdr:row>37</xdr:row>
      <xdr:rowOff>61803</xdr:rowOff>
    </xdr:to>
    <xdr:sp macro="" textlink="">
      <xdr:nvSpPr>
        <xdr:cNvPr id="566" name="Rectangle 565">
          <a:extLst>
            <a:ext uri="{FF2B5EF4-FFF2-40B4-BE49-F238E27FC236}">
              <a16:creationId xmlns="" xmlns:a16="http://schemas.microsoft.com/office/drawing/2014/main" id="{00000000-0008-0000-2400-000036020000}"/>
            </a:ext>
          </a:extLst>
        </xdr:cNvPr>
        <xdr:cNvSpPr/>
      </xdr:nvSpPr>
      <xdr:spPr bwMode="auto">
        <a:xfrm>
          <a:off x="9715500" y="3067050"/>
          <a:ext cx="2305050" cy="590550"/>
        </a:xfrm>
        <a:prstGeom prst="rect">
          <a:avLst/>
        </a:prstGeom>
        <a:blipFill>
          <a:blip xmlns:r="http://schemas.openxmlformats.org/officeDocument/2006/relationships" r:embed="rId8" cstate="print"/>
          <a:tile tx="0" ty="0" sx="100000" sy="100000" flip="none" algn="tl"/>
        </a:blip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65</xdr:col>
      <xdr:colOff>18415</xdr:colOff>
      <xdr:row>40</xdr:row>
      <xdr:rowOff>74295</xdr:rowOff>
    </xdr:from>
    <xdr:to>
      <xdr:col>90</xdr:col>
      <xdr:colOff>56542</xdr:colOff>
      <xdr:row>44</xdr:row>
      <xdr:rowOff>61148</xdr:rowOff>
    </xdr:to>
    <xdr:sp macro="" textlink="">
      <xdr:nvSpPr>
        <xdr:cNvPr id="567" name="Text Box 530">
          <a:extLst>
            <a:ext uri="{FF2B5EF4-FFF2-40B4-BE49-F238E27FC236}">
              <a16:creationId xmlns="" xmlns:a16="http://schemas.microsoft.com/office/drawing/2014/main" id="{00000000-0008-0000-2400-000037020000}"/>
            </a:ext>
          </a:extLst>
        </xdr:cNvPr>
        <xdr:cNvSpPr txBox="1">
          <a:spLocks noChangeArrowheads="1"/>
        </xdr:cNvSpPr>
      </xdr:nvSpPr>
      <xdr:spPr bwMode="auto">
        <a:xfrm>
          <a:off x="9296400" y="4010025"/>
          <a:ext cx="3648075" cy="342900"/>
        </a:xfrm>
        <a:prstGeom prst="rect">
          <a:avLst/>
        </a:prstGeom>
        <a:noFill/>
        <a:ln w="9525">
          <a:noFill/>
          <a:miter lim="800000"/>
          <a:headEnd/>
          <a:tailEnd/>
        </a:ln>
      </xdr:spPr>
      <xdr:txBody>
        <a:bodyPr vertOverflow="clip" wrap="square" lIns="27432" tIns="22860" rIns="0" bIns="0" anchor="ctr" upright="1"/>
        <a:lstStyle/>
        <a:p>
          <a:pPr algn="l" rtl="0">
            <a:defRPr sz="1000"/>
          </a:pPr>
          <a:r>
            <a:rPr lang="fr-FR" sz="1200" b="1" i="0" strike="noStrike">
              <a:solidFill>
                <a:srgbClr val="000000"/>
              </a:solidFill>
              <a:latin typeface="Arial"/>
              <a:cs typeface="Arial"/>
            </a:rPr>
            <a:t>Détails</a:t>
          </a:r>
          <a:r>
            <a:rPr lang="fr-FR" sz="1200" b="1" i="0" strike="noStrike" baseline="0">
              <a:solidFill>
                <a:srgbClr val="000000"/>
              </a:solidFill>
              <a:latin typeface="Arial"/>
              <a:cs typeface="Arial"/>
            </a:rPr>
            <a:t> </a:t>
          </a:r>
          <a:r>
            <a:rPr lang="fr-FR" sz="1200" b="1" i="0" strike="noStrike">
              <a:solidFill>
                <a:srgbClr val="000000"/>
              </a:solidFill>
              <a:latin typeface="Arial"/>
              <a:cs typeface="Arial"/>
            </a:rPr>
            <a:t>dalots amovibles Intermediaires</a:t>
          </a:r>
        </a:p>
      </xdr:txBody>
    </xdr:sp>
    <xdr:clientData/>
  </xdr:twoCellAnchor>
  <xdr:twoCellAnchor>
    <xdr:from>
      <xdr:col>8</xdr:col>
      <xdr:colOff>41276</xdr:colOff>
      <xdr:row>14</xdr:row>
      <xdr:rowOff>0</xdr:rowOff>
    </xdr:from>
    <xdr:to>
      <xdr:col>8</xdr:col>
      <xdr:colOff>137543</xdr:colOff>
      <xdr:row>15</xdr:row>
      <xdr:rowOff>58067</xdr:rowOff>
    </xdr:to>
    <xdr:sp macro="" textlink="">
      <xdr:nvSpPr>
        <xdr:cNvPr id="568" name="Rectangle 567">
          <a:extLst>
            <a:ext uri="{FF2B5EF4-FFF2-40B4-BE49-F238E27FC236}">
              <a16:creationId xmlns="" xmlns:a16="http://schemas.microsoft.com/office/drawing/2014/main" id="{00000000-0008-0000-2400-000038020000}"/>
            </a:ext>
          </a:extLst>
        </xdr:cNvPr>
        <xdr:cNvSpPr/>
      </xdr:nvSpPr>
      <xdr:spPr bwMode="auto">
        <a:xfrm>
          <a:off x="1211581" y="1447800"/>
          <a:ext cx="74294"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12</xdr:col>
      <xdr:colOff>96521</xdr:colOff>
      <xdr:row>13</xdr:row>
      <xdr:rowOff>75565</xdr:rowOff>
    </xdr:from>
    <xdr:to>
      <xdr:col>13</xdr:col>
      <xdr:colOff>35707</xdr:colOff>
      <xdr:row>15</xdr:row>
      <xdr:rowOff>61295</xdr:rowOff>
    </xdr:to>
    <xdr:sp macro="" textlink="">
      <xdr:nvSpPr>
        <xdr:cNvPr id="569" name="Rectangle 568">
          <a:extLst>
            <a:ext uri="{FF2B5EF4-FFF2-40B4-BE49-F238E27FC236}">
              <a16:creationId xmlns="" xmlns:a16="http://schemas.microsoft.com/office/drawing/2014/main" id="{00000000-0008-0000-2400-000039020000}"/>
            </a:ext>
          </a:extLst>
        </xdr:cNvPr>
        <xdr:cNvSpPr/>
      </xdr:nvSpPr>
      <xdr:spPr bwMode="auto">
        <a:xfrm>
          <a:off x="1811656" y="1438275"/>
          <a:ext cx="74294"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16</xdr:col>
      <xdr:colOff>60326</xdr:colOff>
      <xdr:row>14</xdr:row>
      <xdr:rowOff>0</xdr:rowOff>
    </xdr:from>
    <xdr:to>
      <xdr:col>16</xdr:col>
      <xdr:colOff>56795</xdr:colOff>
      <xdr:row>15</xdr:row>
      <xdr:rowOff>58067</xdr:rowOff>
    </xdr:to>
    <xdr:sp macro="" textlink="">
      <xdr:nvSpPr>
        <xdr:cNvPr id="570" name="Rectangle 569">
          <a:extLst>
            <a:ext uri="{FF2B5EF4-FFF2-40B4-BE49-F238E27FC236}">
              <a16:creationId xmlns="" xmlns:a16="http://schemas.microsoft.com/office/drawing/2014/main" id="{00000000-0008-0000-2400-00003A020000}"/>
            </a:ext>
          </a:extLst>
        </xdr:cNvPr>
        <xdr:cNvSpPr/>
      </xdr:nvSpPr>
      <xdr:spPr bwMode="auto">
        <a:xfrm>
          <a:off x="2316481" y="1447800"/>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21</xdr:col>
      <xdr:colOff>34291</xdr:colOff>
      <xdr:row>14</xdr:row>
      <xdr:rowOff>0</xdr:rowOff>
    </xdr:from>
    <xdr:to>
      <xdr:col>22</xdr:col>
      <xdr:colOff>21537</xdr:colOff>
      <xdr:row>15</xdr:row>
      <xdr:rowOff>58067</xdr:rowOff>
    </xdr:to>
    <xdr:sp macro="" textlink="">
      <xdr:nvSpPr>
        <xdr:cNvPr id="571" name="Rectangle 570">
          <a:extLst>
            <a:ext uri="{FF2B5EF4-FFF2-40B4-BE49-F238E27FC236}">
              <a16:creationId xmlns="" xmlns:a16="http://schemas.microsoft.com/office/drawing/2014/main" id="{00000000-0008-0000-2400-00003B020000}"/>
            </a:ext>
          </a:extLst>
        </xdr:cNvPr>
        <xdr:cNvSpPr/>
      </xdr:nvSpPr>
      <xdr:spPr bwMode="auto">
        <a:xfrm>
          <a:off x="3088006" y="1447800"/>
          <a:ext cx="74294"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26</xdr:col>
      <xdr:colOff>56516</xdr:colOff>
      <xdr:row>13</xdr:row>
      <xdr:rowOff>75565</xdr:rowOff>
    </xdr:from>
    <xdr:to>
      <xdr:col>26</xdr:col>
      <xdr:colOff>78626</xdr:colOff>
      <xdr:row>15</xdr:row>
      <xdr:rowOff>61295</xdr:rowOff>
    </xdr:to>
    <xdr:sp macro="" textlink="">
      <xdr:nvSpPr>
        <xdr:cNvPr id="572" name="Rectangle 571">
          <a:extLst>
            <a:ext uri="{FF2B5EF4-FFF2-40B4-BE49-F238E27FC236}">
              <a16:creationId xmlns="" xmlns:a16="http://schemas.microsoft.com/office/drawing/2014/main" id="{00000000-0008-0000-2400-00003C020000}"/>
            </a:ext>
          </a:extLst>
        </xdr:cNvPr>
        <xdr:cNvSpPr/>
      </xdr:nvSpPr>
      <xdr:spPr bwMode="auto">
        <a:xfrm>
          <a:off x="3773806" y="1438275"/>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33</xdr:col>
      <xdr:colOff>23496</xdr:colOff>
      <xdr:row>13</xdr:row>
      <xdr:rowOff>75565</xdr:rowOff>
    </xdr:from>
    <xdr:to>
      <xdr:col>33</xdr:col>
      <xdr:colOff>58159</xdr:colOff>
      <xdr:row>15</xdr:row>
      <xdr:rowOff>61295</xdr:rowOff>
    </xdr:to>
    <xdr:sp macro="" textlink="">
      <xdr:nvSpPr>
        <xdr:cNvPr id="573" name="Rectangle 572">
          <a:extLst>
            <a:ext uri="{FF2B5EF4-FFF2-40B4-BE49-F238E27FC236}">
              <a16:creationId xmlns="" xmlns:a16="http://schemas.microsoft.com/office/drawing/2014/main" id="{00000000-0008-0000-2400-00003D020000}"/>
            </a:ext>
          </a:extLst>
        </xdr:cNvPr>
        <xdr:cNvSpPr/>
      </xdr:nvSpPr>
      <xdr:spPr bwMode="auto">
        <a:xfrm>
          <a:off x="4745356" y="1438275"/>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35</xdr:col>
      <xdr:colOff>74931</xdr:colOff>
      <xdr:row>14</xdr:row>
      <xdr:rowOff>0</xdr:rowOff>
    </xdr:from>
    <xdr:to>
      <xdr:col>36</xdr:col>
      <xdr:colOff>37389</xdr:colOff>
      <xdr:row>15</xdr:row>
      <xdr:rowOff>58067</xdr:rowOff>
    </xdr:to>
    <xdr:sp macro="" textlink="">
      <xdr:nvSpPr>
        <xdr:cNvPr id="574" name="Rectangle 573">
          <a:extLst>
            <a:ext uri="{FF2B5EF4-FFF2-40B4-BE49-F238E27FC236}">
              <a16:creationId xmlns="" xmlns:a16="http://schemas.microsoft.com/office/drawing/2014/main" id="{00000000-0008-0000-2400-00003E020000}"/>
            </a:ext>
          </a:extLst>
        </xdr:cNvPr>
        <xdr:cNvSpPr/>
      </xdr:nvSpPr>
      <xdr:spPr bwMode="auto">
        <a:xfrm>
          <a:off x="5107306" y="1447800"/>
          <a:ext cx="74294"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40</xdr:col>
      <xdr:colOff>61596</xdr:colOff>
      <xdr:row>14</xdr:row>
      <xdr:rowOff>0</xdr:rowOff>
    </xdr:from>
    <xdr:to>
      <xdr:col>41</xdr:col>
      <xdr:colOff>18057</xdr:colOff>
      <xdr:row>15</xdr:row>
      <xdr:rowOff>58067</xdr:rowOff>
    </xdr:to>
    <xdr:sp macro="" textlink="">
      <xdr:nvSpPr>
        <xdr:cNvPr id="575" name="Rectangle 574">
          <a:extLst>
            <a:ext uri="{FF2B5EF4-FFF2-40B4-BE49-F238E27FC236}">
              <a16:creationId xmlns="" xmlns:a16="http://schemas.microsoft.com/office/drawing/2014/main" id="{00000000-0008-0000-2400-00003F020000}"/>
            </a:ext>
          </a:extLst>
        </xdr:cNvPr>
        <xdr:cNvSpPr/>
      </xdr:nvSpPr>
      <xdr:spPr bwMode="auto">
        <a:xfrm>
          <a:off x="5793106" y="1447800"/>
          <a:ext cx="74294"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8</xdr:col>
      <xdr:colOff>41276</xdr:colOff>
      <xdr:row>17</xdr:row>
      <xdr:rowOff>0</xdr:rowOff>
    </xdr:from>
    <xdr:to>
      <xdr:col>8</xdr:col>
      <xdr:colOff>79509</xdr:colOff>
      <xdr:row>18</xdr:row>
      <xdr:rowOff>58584</xdr:rowOff>
    </xdr:to>
    <xdr:sp macro="" textlink="">
      <xdr:nvSpPr>
        <xdr:cNvPr id="576" name="Rectangle 575">
          <a:extLst>
            <a:ext uri="{FF2B5EF4-FFF2-40B4-BE49-F238E27FC236}">
              <a16:creationId xmlns="" xmlns:a16="http://schemas.microsoft.com/office/drawing/2014/main" id="{00000000-0008-0000-2400-000040020000}"/>
            </a:ext>
          </a:extLst>
        </xdr:cNvPr>
        <xdr:cNvSpPr/>
      </xdr:nvSpPr>
      <xdr:spPr bwMode="auto">
        <a:xfrm>
          <a:off x="1202056" y="1733550"/>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12</xdr:col>
      <xdr:colOff>41276</xdr:colOff>
      <xdr:row>16</xdr:row>
      <xdr:rowOff>74295</xdr:rowOff>
    </xdr:from>
    <xdr:to>
      <xdr:col>13</xdr:col>
      <xdr:colOff>4037</xdr:colOff>
      <xdr:row>18</xdr:row>
      <xdr:rowOff>61346</xdr:rowOff>
    </xdr:to>
    <xdr:sp macro="" textlink="">
      <xdr:nvSpPr>
        <xdr:cNvPr id="577" name="Rectangle 576">
          <a:extLst>
            <a:ext uri="{FF2B5EF4-FFF2-40B4-BE49-F238E27FC236}">
              <a16:creationId xmlns="" xmlns:a16="http://schemas.microsoft.com/office/drawing/2014/main" id="{00000000-0008-0000-2400-000041020000}"/>
            </a:ext>
          </a:extLst>
        </xdr:cNvPr>
        <xdr:cNvSpPr/>
      </xdr:nvSpPr>
      <xdr:spPr bwMode="auto">
        <a:xfrm>
          <a:off x="1802131" y="1724025"/>
          <a:ext cx="74294"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16</xdr:col>
      <xdr:colOff>17781</xdr:colOff>
      <xdr:row>17</xdr:row>
      <xdr:rowOff>0</xdr:rowOff>
    </xdr:from>
    <xdr:to>
      <xdr:col>16</xdr:col>
      <xdr:colOff>60537</xdr:colOff>
      <xdr:row>18</xdr:row>
      <xdr:rowOff>58584</xdr:rowOff>
    </xdr:to>
    <xdr:sp macro="" textlink="">
      <xdr:nvSpPr>
        <xdr:cNvPr id="578" name="Rectangle 577">
          <a:extLst>
            <a:ext uri="{FF2B5EF4-FFF2-40B4-BE49-F238E27FC236}">
              <a16:creationId xmlns="" xmlns:a16="http://schemas.microsoft.com/office/drawing/2014/main" id="{00000000-0008-0000-2400-000042020000}"/>
            </a:ext>
          </a:extLst>
        </xdr:cNvPr>
        <xdr:cNvSpPr/>
      </xdr:nvSpPr>
      <xdr:spPr bwMode="auto">
        <a:xfrm>
          <a:off x="2306956" y="1733550"/>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21</xdr:col>
      <xdr:colOff>55881</xdr:colOff>
      <xdr:row>17</xdr:row>
      <xdr:rowOff>0</xdr:rowOff>
    </xdr:from>
    <xdr:to>
      <xdr:col>22</xdr:col>
      <xdr:colOff>18221</xdr:colOff>
      <xdr:row>18</xdr:row>
      <xdr:rowOff>58584</xdr:rowOff>
    </xdr:to>
    <xdr:sp macro="" textlink="">
      <xdr:nvSpPr>
        <xdr:cNvPr id="579" name="Rectangle 578">
          <a:extLst>
            <a:ext uri="{FF2B5EF4-FFF2-40B4-BE49-F238E27FC236}">
              <a16:creationId xmlns="" xmlns:a16="http://schemas.microsoft.com/office/drawing/2014/main" id="{00000000-0008-0000-2400-000043020000}"/>
            </a:ext>
          </a:extLst>
        </xdr:cNvPr>
        <xdr:cNvSpPr/>
      </xdr:nvSpPr>
      <xdr:spPr bwMode="auto">
        <a:xfrm>
          <a:off x="3078481" y="1733550"/>
          <a:ext cx="74294"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26</xdr:col>
      <xdr:colOff>59691</xdr:colOff>
      <xdr:row>16</xdr:row>
      <xdr:rowOff>74295</xdr:rowOff>
    </xdr:from>
    <xdr:to>
      <xdr:col>26</xdr:col>
      <xdr:colOff>99870</xdr:colOff>
      <xdr:row>18</xdr:row>
      <xdr:rowOff>61346</xdr:rowOff>
    </xdr:to>
    <xdr:sp macro="" textlink="">
      <xdr:nvSpPr>
        <xdr:cNvPr id="580" name="Rectangle 579">
          <a:extLst>
            <a:ext uri="{FF2B5EF4-FFF2-40B4-BE49-F238E27FC236}">
              <a16:creationId xmlns="" xmlns:a16="http://schemas.microsoft.com/office/drawing/2014/main" id="{00000000-0008-0000-2400-000044020000}"/>
            </a:ext>
          </a:extLst>
        </xdr:cNvPr>
        <xdr:cNvSpPr/>
      </xdr:nvSpPr>
      <xdr:spPr bwMode="auto">
        <a:xfrm>
          <a:off x="3764281" y="1724025"/>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33</xdr:col>
      <xdr:colOff>2541</xdr:colOff>
      <xdr:row>16</xdr:row>
      <xdr:rowOff>74295</xdr:rowOff>
    </xdr:from>
    <xdr:to>
      <xdr:col>33</xdr:col>
      <xdr:colOff>38357</xdr:colOff>
      <xdr:row>18</xdr:row>
      <xdr:rowOff>61346</xdr:rowOff>
    </xdr:to>
    <xdr:sp macro="" textlink="">
      <xdr:nvSpPr>
        <xdr:cNvPr id="581" name="Rectangle 580">
          <a:extLst>
            <a:ext uri="{FF2B5EF4-FFF2-40B4-BE49-F238E27FC236}">
              <a16:creationId xmlns="" xmlns:a16="http://schemas.microsoft.com/office/drawing/2014/main" id="{00000000-0008-0000-2400-000045020000}"/>
            </a:ext>
          </a:extLst>
        </xdr:cNvPr>
        <xdr:cNvSpPr/>
      </xdr:nvSpPr>
      <xdr:spPr bwMode="auto">
        <a:xfrm>
          <a:off x="4735831" y="1724025"/>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35</xdr:col>
      <xdr:colOff>80011</xdr:colOff>
      <xdr:row>17</xdr:row>
      <xdr:rowOff>0</xdr:rowOff>
    </xdr:from>
    <xdr:to>
      <xdr:col>36</xdr:col>
      <xdr:colOff>18412</xdr:colOff>
      <xdr:row>18</xdr:row>
      <xdr:rowOff>58584</xdr:rowOff>
    </xdr:to>
    <xdr:sp macro="" textlink="">
      <xdr:nvSpPr>
        <xdr:cNvPr id="582" name="Rectangle 581">
          <a:extLst>
            <a:ext uri="{FF2B5EF4-FFF2-40B4-BE49-F238E27FC236}">
              <a16:creationId xmlns="" xmlns:a16="http://schemas.microsoft.com/office/drawing/2014/main" id="{00000000-0008-0000-2400-000046020000}"/>
            </a:ext>
          </a:extLst>
        </xdr:cNvPr>
        <xdr:cNvSpPr/>
      </xdr:nvSpPr>
      <xdr:spPr bwMode="auto">
        <a:xfrm>
          <a:off x="5097781" y="1733550"/>
          <a:ext cx="74294"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40</xdr:col>
      <xdr:colOff>41276</xdr:colOff>
      <xdr:row>17</xdr:row>
      <xdr:rowOff>0</xdr:rowOff>
    </xdr:from>
    <xdr:to>
      <xdr:col>40</xdr:col>
      <xdr:colOff>137543</xdr:colOff>
      <xdr:row>18</xdr:row>
      <xdr:rowOff>58584</xdr:rowOff>
    </xdr:to>
    <xdr:sp macro="" textlink="">
      <xdr:nvSpPr>
        <xdr:cNvPr id="583" name="Rectangle 582">
          <a:extLst>
            <a:ext uri="{FF2B5EF4-FFF2-40B4-BE49-F238E27FC236}">
              <a16:creationId xmlns="" xmlns:a16="http://schemas.microsoft.com/office/drawing/2014/main" id="{00000000-0008-0000-2400-000047020000}"/>
            </a:ext>
          </a:extLst>
        </xdr:cNvPr>
        <xdr:cNvSpPr/>
      </xdr:nvSpPr>
      <xdr:spPr bwMode="auto">
        <a:xfrm>
          <a:off x="5783581" y="1733550"/>
          <a:ext cx="74294"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8</xdr:col>
      <xdr:colOff>59691</xdr:colOff>
      <xdr:row>20</xdr:row>
      <xdr:rowOff>9525</xdr:rowOff>
    </xdr:from>
    <xdr:to>
      <xdr:col>8</xdr:col>
      <xdr:colOff>99870</xdr:colOff>
      <xdr:row>21</xdr:row>
      <xdr:rowOff>58042</xdr:rowOff>
    </xdr:to>
    <xdr:sp macro="" textlink="">
      <xdr:nvSpPr>
        <xdr:cNvPr id="584" name="Rectangle 583">
          <a:extLst>
            <a:ext uri="{FF2B5EF4-FFF2-40B4-BE49-F238E27FC236}">
              <a16:creationId xmlns="" xmlns:a16="http://schemas.microsoft.com/office/drawing/2014/main" id="{00000000-0008-0000-2400-000048020000}"/>
            </a:ext>
          </a:extLst>
        </xdr:cNvPr>
        <xdr:cNvSpPr/>
      </xdr:nvSpPr>
      <xdr:spPr bwMode="auto">
        <a:xfrm>
          <a:off x="1192531" y="2038350"/>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12</xdr:col>
      <xdr:colOff>61596</xdr:colOff>
      <xdr:row>20</xdr:row>
      <xdr:rowOff>9525</xdr:rowOff>
    </xdr:from>
    <xdr:to>
      <xdr:col>13</xdr:col>
      <xdr:colOff>18057</xdr:colOff>
      <xdr:row>21</xdr:row>
      <xdr:rowOff>58588</xdr:rowOff>
    </xdr:to>
    <xdr:sp macro="" textlink="">
      <xdr:nvSpPr>
        <xdr:cNvPr id="585" name="Rectangle 584">
          <a:extLst>
            <a:ext uri="{FF2B5EF4-FFF2-40B4-BE49-F238E27FC236}">
              <a16:creationId xmlns="" xmlns:a16="http://schemas.microsoft.com/office/drawing/2014/main" id="{00000000-0008-0000-2400-000049020000}"/>
            </a:ext>
          </a:extLst>
        </xdr:cNvPr>
        <xdr:cNvSpPr/>
      </xdr:nvSpPr>
      <xdr:spPr bwMode="auto">
        <a:xfrm>
          <a:off x="1792606" y="2028825"/>
          <a:ext cx="74294"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16</xdr:col>
      <xdr:colOff>1906</xdr:colOff>
      <xdr:row>20</xdr:row>
      <xdr:rowOff>9525</xdr:rowOff>
    </xdr:from>
    <xdr:to>
      <xdr:col>16</xdr:col>
      <xdr:colOff>59731</xdr:colOff>
      <xdr:row>21</xdr:row>
      <xdr:rowOff>58042</xdr:rowOff>
    </xdr:to>
    <xdr:sp macro="" textlink="">
      <xdr:nvSpPr>
        <xdr:cNvPr id="586" name="Rectangle 585">
          <a:extLst>
            <a:ext uri="{FF2B5EF4-FFF2-40B4-BE49-F238E27FC236}">
              <a16:creationId xmlns="" xmlns:a16="http://schemas.microsoft.com/office/drawing/2014/main" id="{00000000-0008-0000-2400-00004A020000}"/>
            </a:ext>
          </a:extLst>
        </xdr:cNvPr>
        <xdr:cNvSpPr/>
      </xdr:nvSpPr>
      <xdr:spPr bwMode="auto">
        <a:xfrm>
          <a:off x="2297431" y="2038350"/>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21</xdr:col>
      <xdr:colOff>35561</xdr:colOff>
      <xdr:row>20</xdr:row>
      <xdr:rowOff>9525</xdr:rowOff>
    </xdr:from>
    <xdr:to>
      <xdr:col>21</xdr:col>
      <xdr:colOff>137875</xdr:colOff>
      <xdr:row>21</xdr:row>
      <xdr:rowOff>58042</xdr:rowOff>
    </xdr:to>
    <xdr:sp macro="" textlink="">
      <xdr:nvSpPr>
        <xdr:cNvPr id="587" name="Rectangle 586">
          <a:extLst>
            <a:ext uri="{FF2B5EF4-FFF2-40B4-BE49-F238E27FC236}">
              <a16:creationId xmlns="" xmlns:a16="http://schemas.microsoft.com/office/drawing/2014/main" id="{00000000-0008-0000-2400-00004B020000}"/>
            </a:ext>
          </a:extLst>
        </xdr:cNvPr>
        <xdr:cNvSpPr/>
      </xdr:nvSpPr>
      <xdr:spPr bwMode="auto">
        <a:xfrm>
          <a:off x="3068956" y="2038350"/>
          <a:ext cx="74294"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26</xdr:col>
      <xdr:colOff>57786</xdr:colOff>
      <xdr:row>20</xdr:row>
      <xdr:rowOff>9525</xdr:rowOff>
    </xdr:from>
    <xdr:to>
      <xdr:col>26</xdr:col>
      <xdr:colOff>60397</xdr:colOff>
      <xdr:row>21</xdr:row>
      <xdr:rowOff>58588</xdr:rowOff>
    </xdr:to>
    <xdr:sp macro="" textlink="">
      <xdr:nvSpPr>
        <xdr:cNvPr id="588" name="Rectangle 587">
          <a:extLst>
            <a:ext uri="{FF2B5EF4-FFF2-40B4-BE49-F238E27FC236}">
              <a16:creationId xmlns="" xmlns:a16="http://schemas.microsoft.com/office/drawing/2014/main" id="{00000000-0008-0000-2400-00004C020000}"/>
            </a:ext>
          </a:extLst>
        </xdr:cNvPr>
        <xdr:cNvSpPr/>
      </xdr:nvSpPr>
      <xdr:spPr bwMode="auto">
        <a:xfrm>
          <a:off x="3754756" y="2028825"/>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33</xdr:col>
      <xdr:colOff>1906</xdr:colOff>
      <xdr:row>20</xdr:row>
      <xdr:rowOff>9525</xdr:rowOff>
    </xdr:from>
    <xdr:to>
      <xdr:col>33</xdr:col>
      <xdr:colOff>36246</xdr:colOff>
      <xdr:row>21</xdr:row>
      <xdr:rowOff>58588</xdr:rowOff>
    </xdr:to>
    <xdr:sp macro="" textlink="">
      <xdr:nvSpPr>
        <xdr:cNvPr id="589" name="Rectangle 588">
          <a:extLst>
            <a:ext uri="{FF2B5EF4-FFF2-40B4-BE49-F238E27FC236}">
              <a16:creationId xmlns="" xmlns:a16="http://schemas.microsoft.com/office/drawing/2014/main" id="{00000000-0008-0000-2400-00004D020000}"/>
            </a:ext>
          </a:extLst>
        </xdr:cNvPr>
        <xdr:cNvSpPr/>
      </xdr:nvSpPr>
      <xdr:spPr bwMode="auto">
        <a:xfrm>
          <a:off x="4726306" y="2028825"/>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35</xdr:col>
      <xdr:colOff>34291</xdr:colOff>
      <xdr:row>20</xdr:row>
      <xdr:rowOff>9525</xdr:rowOff>
    </xdr:from>
    <xdr:to>
      <xdr:col>36</xdr:col>
      <xdr:colOff>56034</xdr:colOff>
      <xdr:row>21</xdr:row>
      <xdr:rowOff>58042</xdr:rowOff>
    </xdr:to>
    <xdr:sp macro="" textlink="">
      <xdr:nvSpPr>
        <xdr:cNvPr id="590" name="Rectangle 589">
          <a:extLst>
            <a:ext uri="{FF2B5EF4-FFF2-40B4-BE49-F238E27FC236}">
              <a16:creationId xmlns="" xmlns:a16="http://schemas.microsoft.com/office/drawing/2014/main" id="{00000000-0008-0000-2400-00004E020000}"/>
            </a:ext>
          </a:extLst>
        </xdr:cNvPr>
        <xdr:cNvSpPr/>
      </xdr:nvSpPr>
      <xdr:spPr bwMode="auto">
        <a:xfrm>
          <a:off x="5088256" y="2038350"/>
          <a:ext cx="74294"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40</xdr:col>
      <xdr:colOff>41276</xdr:colOff>
      <xdr:row>20</xdr:row>
      <xdr:rowOff>9525</xdr:rowOff>
    </xdr:from>
    <xdr:to>
      <xdr:col>40</xdr:col>
      <xdr:colOff>79509</xdr:colOff>
      <xdr:row>21</xdr:row>
      <xdr:rowOff>58042</xdr:rowOff>
    </xdr:to>
    <xdr:sp macro="" textlink="">
      <xdr:nvSpPr>
        <xdr:cNvPr id="591" name="Rectangle 590">
          <a:extLst>
            <a:ext uri="{FF2B5EF4-FFF2-40B4-BE49-F238E27FC236}">
              <a16:creationId xmlns="" xmlns:a16="http://schemas.microsoft.com/office/drawing/2014/main" id="{00000000-0008-0000-2400-00004F020000}"/>
            </a:ext>
          </a:extLst>
        </xdr:cNvPr>
        <xdr:cNvSpPr/>
      </xdr:nvSpPr>
      <xdr:spPr bwMode="auto">
        <a:xfrm>
          <a:off x="5774056" y="2038350"/>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68</xdr:col>
      <xdr:colOff>6350</xdr:colOff>
      <xdr:row>29</xdr:row>
      <xdr:rowOff>0</xdr:rowOff>
    </xdr:from>
    <xdr:to>
      <xdr:col>83</xdr:col>
      <xdr:colOff>82550</xdr:colOff>
      <xdr:row>29</xdr:row>
      <xdr:rowOff>12700</xdr:rowOff>
    </xdr:to>
    <xdr:cxnSp macro="">
      <xdr:nvCxnSpPr>
        <xdr:cNvPr id="887172" name="Straight Arrow Connector 310">
          <a:extLst>
            <a:ext uri="{FF2B5EF4-FFF2-40B4-BE49-F238E27FC236}">
              <a16:creationId xmlns="" xmlns:a16="http://schemas.microsoft.com/office/drawing/2014/main" id="{00000000-0008-0000-2400-000084890D00}"/>
            </a:ext>
          </a:extLst>
        </xdr:cNvPr>
        <xdr:cNvCxnSpPr>
          <a:cxnSpLocks noChangeShapeType="1"/>
        </xdr:cNvCxnSpPr>
      </xdr:nvCxnSpPr>
      <xdr:spPr bwMode="auto">
        <a:xfrm flipV="1">
          <a:off x="9505950" y="2971800"/>
          <a:ext cx="2171700" cy="1270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73</xdr:col>
      <xdr:colOff>35560</xdr:colOff>
      <xdr:row>26</xdr:row>
      <xdr:rowOff>57785</xdr:rowOff>
    </xdr:from>
    <xdr:to>
      <xdr:col>78</xdr:col>
      <xdr:colOff>18750</xdr:colOff>
      <xdr:row>29</xdr:row>
      <xdr:rowOff>60964</xdr:rowOff>
    </xdr:to>
    <xdr:sp macro="" textlink="">
      <xdr:nvSpPr>
        <xdr:cNvPr id="593" name="TextBox 311">
          <a:extLst>
            <a:ext uri="{FF2B5EF4-FFF2-40B4-BE49-F238E27FC236}">
              <a16:creationId xmlns="" xmlns:a16="http://schemas.microsoft.com/office/drawing/2014/main" id="{00000000-0008-0000-2400-000051020000}"/>
            </a:ext>
          </a:extLst>
        </xdr:cNvPr>
        <xdr:cNvSpPr txBox="1"/>
      </xdr:nvSpPr>
      <xdr:spPr>
        <a:xfrm>
          <a:off x="10496550" y="2647950"/>
          <a:ext cx="657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100</a:t>
          </a:r>
        </a:p>
      </xdr:txBody>
    </xdr:sp>
    <xdr:clientData/>
  </xdr:twoCellAnchor>
  <xdr:twoCellAnchor>
    <xdr:from>
      <xdr:col>66</xdr:col>
      <xdr:colOff>6350</xdr:colOff>
      <xdr:row>31</xdr:row>
      <xdr:rowOff>12700</xdr:rowOff>
    </xdr:from>
    <xdr:to>
      <xdr:col>66</xdr:col>
      <xdr:colOff>6350</xdr:colOff>
      <xdr:row>37</xdr:row>
      <xdr:rowOff>19050</xdr:rowOff>
    </xdr:to>
    <xdr:cxnSp macro="">
      <xdr:nvCxnSpPr>
        <xdr:cNvPr id="887174" name="Straight Arrow Connector 313">
          <a:extLst>
            <a:ext uri="{FF2B5EF4-FFF2-40B4-BE49-F238E27FC236}">
              <a16:creationId xmlns="" xmlns:a16="http://schemas.microsoft.com/office/drawing/2014/main" id="{00000000-0008-0000-2400-000086890D00}"/>
            </a:ext>
          </a:extLst>
        </xdr:cNvPr>
        <xdr:cNvCxnSpPr>
          <a:cxnSpLocks noChangeShapeType="1"/>
        </xdr:cNvCxnSpPr>
      </xdr:nvCxnSpPr>
      <xdr:spPr bwMode="auto">
        <a:xfrm rot="5400000">
          <a:off x="8937625" y="3463925"/>
          <a:ext cx="57785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14</xdr:col>
      <xdr:colOff>25400</xdr:colOff>
      <xdr:row>9</xdr:row>
      <xdr:rowOff>0</xdr:rowOff>
    </xdr:from>
    <xdr:to>
      <xdr:col>15</xdr:col>
      <xdr:colOff>57150</xdr:colOff>
      <xdr:row>15</xdr:row>
      <xdr:rowOff>0</xdr:rowOff>
    </xdr:to>
    <xdr:cxnSp macro="">
      <xdr:nvCxnSpPr>
        <xdr:cNvPr id="887175" name="Straight Arrow Connector 315">
          <a:extLst>
            <a:ext uri="{FF2B5EF4-FFF2-40B4-BE49-F238E27FC236}">
              <a16:creationId xmlns="" xmlns:a16="http://schemas.microsoft.com/office/drawing/2014/main" id="{00000000-0008-0000-2400-000087890D00}"/>
            </a:ext>
          </a:extLst>
        </xdr:cNvPr>
        <xdr:cNvCxnSpPr>
          <a:cxnSpLocks noChangeShapeType="1"/>
        </xdr:cNvCxnSpPr>
      </xdr:nvCxnSpPr>
      <xdr:spPr bwMode="auto">
        <a:xfrm rot="5400000">
          <a:off x="1781175" y="1266825"/>
          <a:ext cx="571500" cy="17145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21</xdr:col>
      <xdr:colOff>35561</xdr:colOff>
      <xdr:row>4</xdr:row>
      <xdr:rowOff>60960</xdr:rowOff>
    </xdr:from>
    <xdr:to>
      <xdr:col>40</xdr:col>
      <xdr:colOff>57970</xdr:colOff>
      <xdr:row>11</xdr:row>
      <xdr:rowOff>508</xdr:rowOff>
    </xdr:to>
    <xdr:sp macro="" textlink="">
      <xdr:nvSpPr>
        <xdr:cNvPr id="596" name="TextBox 316">
          <a:extLst>
            <a:ext uri="{FF2B5EF4-FFF2-40B4-BE49-F238E27FC236}">
              <a16:creationId xmlns="" xmlns:a16="http://schemas.microsoft.com/office/drawing/2014/main" id="{00000000-0008-0000-2400-000054020000}"/>
            </a:ext>
          </a:extLst>
        </xdr:cNvPr>
        <xdr:cNvSpPr txBox="1"/>
      </xdr:nvSpPr>
      <xdr:spPr>
        <a:xfrm>
          <a:off x="3076576" y="542925"/>
          <a:ext cx="2686049" cy="61912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0"/>
            <a:t>Poutre pour supporter les dalots</a:t>
          </a:r>
          <a:r>
            <a:rPr lang="en-GB" sz="1100" b="0" baseline="0"/>
            <a:t> </a:t>
          </a:r>
          <a:r>
            <a:rPr lang="en-GB" sz="1100" b="0"/>
            <a:t>20x15cm</a:t>
          </a:r>
        </a:p>
      </xdr:txBody>
    </xdr:sp>
    <xdr:clientData/>
  </xdr:twoCellAnchor>
  <xdr:twoCellAnchor>
    <xdr:from>
      <xdr:col>24</xdr:col>
      <xdr:colOff>57150</xdr:colOff>
      <xdr:row>13</xdr:row>
      <xdr:rowOff>19050</xdr:rowOff>
    </xdr:from>
    <xdr:to>
      <xdr:col>24</xdr:col>
      <xdr:colOff>57150</xdr:colOff>
      <xdr:row>22</xdr:row>
      <xdr:rowOff>50800</xdr:rowOff>
    </xdr:to>
    <xdr:cxnSp macro="">
      <xdr:nvCxnSpPr>
        <xdr:cNvPr id="887177" name="Straight Connector 318">
          <a:extLst>
            <a:ext uri="{FF2B5EF4-FFF2-40B4-BE49-F238E27FC236}">
              <a16:creationId xmlns="" xmlns:a16="http://schemas.microsoft.com/office/drawing/2014/main" id="{00000000-0008-0000-2400-000089890D00}"/>
            </a:ext>
          </a:extLst>
        </xdr:cNvPr>
        <xdr:cNvCxnSpPr>
          <a:cxnSpLocks noChangeShapeType="1"/>
        </xdr:cNvCxnSpPr>
      </xdr:nvCxnSpPr>
      <xdr:spPr bwMode="auto">
        <a:xfrm rot="16200000" flipH="1">
          <a:off x="2965450" y="1911350"/>
          <a:ext cx="8890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35</xdr:col>
      <xdr:colOff>6350</xdr:colOff>
      <xdr:row>12</xdr:row>
      <xdr:rowOff>12700</xdr:rowOff>
    </xdr:from>
    <xdr:to>
      <xdr:col>43</xdr:col>
      <xdr:colOff>38100</xdr:colOff>
      <xdr:row>12</xdr:row>
      <xdr:rowOff>12700</xdr:rowOff>
    </xdr:to>
    <xdr:cxnSp macro="">
      <xdr:nvCxnSpPr>
        <xdr:cNvPr id="887178" name="Straight Arrow Connector 323">
          <a:extLst>
            <a:ext uri="{FF2B5EF4-FFF2-40B4-BE49-F238E27FC236}">
              <a16:creationId xmlns="" xmlns:a16="http://schemas.microsoft.com/office/drawing/2014/main" id="{00000000-0008-0000-2400-00008A890D00}"/>
            </a:ext>
          </a:extLst>
        </xdr:cNvPr>
        <xdr:cNvCxnSpPr>
          <a:cxnSpLocks noChangeShapeType="1"/>
        </xdr:cNvCxnSpPr>
      </xdr:nvCxnSpPr>
      <xdr:spPr bwMode="auto">
        <a:xfrm>
          <a:off x="4895850" y="1365250"/>
          <a:ext cx="114935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38</xdr:col>
      <xdr:colOff>0</xdr:colOff>
      <xdr:row>9</xdr:row>
      <xdr:rowOff>57785</xdr:rowOff>
    </xdr:from>
    <xdr:to>
      <xdr:col>42</xdr:col>
      <xdr:colOff>58205</xdr:colOff>
      <xdr:row>11</xdr:row>
      <xdr:rowOff>80280</xdr:rowOff>
    </xdr:to>
    <xdr:sp macro="" textlink="">
      <xdr:nvSpPr>
        <xdr:cNvPr id="599" name="TextBox 324">
          <a:extLst>
            <a:ext uri="{FF2B5EF4-FFF2-40B4-BE49-F238E27FC236}">
              <a16:creationId xmlns="" xmlns:a16="http://schemas.microsoft.com/office/drawing/2014/main" id="{00000000-0008-0000-2400-000057020000}"/>
            </a:ext>
          </a:extLst>
        </xdr:cNvPr>
        <xdr:cNvSpPr txBox="1"/>
      </xdr:nvSpPr>
      <xdr:spPr>
        <a:xfrm>
          <a:off x="5429250" y="1047750"/>
          <a:ext cx="647700" cy="200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t>100</a:t>
          </a:r>
        </a:p>
      </xdr:txBody>
    </xdr:sp>
    <xdr:clientData/>
  </xdr:twoCellAnchor>
  <xdr:twoCellAnchor>
    <xdr:from>
      <xdr:col>63</xdr:col>
      <xdr:colOff>95886</xdr:colOff>
      <xdr:row>50</xdr:row>
      <xdr:rowOff>57785</xdr:rowOff>
    </xdr:from>
    <xdr:to>
      <xdr:col>67</xdr:col>
      <xdr:colOff>78381</xdr:colOff>
      <xdr:row>53</xdr:row>
      <xdr:rowOff>60964</xdr:rowOff>
    </xdr:to>
    <xdr:sp macro="" textlink="">
      <xdr:nvSpPr>
        <xdr:cNvPr id="600" name="TextBox 325">
          <a:extLst>
            <a:ext uri="{FF2B5EF4-FFF2-40B4-BE49-F238E27FC236}">
              <a16:creationId xmlns="" xmlns:a16="http://schemas.microsoft.com/office/drawing/2014/main" id="{00000000-0008-0000-2400-000058020000}"/>
            </a:ext>
          </a:extLst>
        </xdr:cNvPr>
        <xdr:cNvSpPr txBox="1"/>
      </xdr:nvSpPr>
      <xdr:spPr>
        <a:xfrm>
          <a:off x="9105901" y="4933950"/>
          <a:ext cx="561974"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30 </a:t>
          </a:r>
        </a:p>
      </xdr:txBody>
    </xdr:sp>
    <xdr:clientData/>
  </xdr:twoCellAnchor>
  <xdr:twoCellAnchor>
    <xdr:from>
      <xdr:col>68</xdr:col>
      <xdr:colOff>635</xdr:colOff>
      <xdr:row>48</xdr:row>
      <xdr:rowOff>74295</xdr:rowOff>
    </xdr:from>
    <xdr:to>
      <xdr:col>84</xdr:col>
      <xdr:colOff>20396</xdr:colOff>
      <xdr:row>55</xdr:row>
      <xdr:rowOff>61535</xdr:rowOff>
    </xdr:to>
    <xdr:sp macro="" textlink="">
      <xdr:nvSpPr>
        <xdr:cNvPr id="601" name="Rectangle 600">
          <a:extLst>
            <a:ext uri="{FF2B5EF4-FFF2-40B4-BE49-F238E27FC236}">
              <a16:creationId xmlns="" xmlns:a16="http://schemas.microsoft.com/office/drawing/2014/main" id="{00000000-0008-0000-2400-000059020000}"/>
            </a:ext>
          </a:extLst>
        </xdr:cNvPr>
        <xdr:cNvSpPr/>
      </xdr:nvSpPr>
      <xdr:spPr bwMode="auto">
        <a:xfrm>
          <a:off x="9725025" y="4772025"/>
          <a:ext cx="2305050" cy="590550"/>
        </a:xfrm>
        <a:prstGeom prst="rect">
          <a:avLst/>
        </a:prstGeom>
        <a:blipFill>
          <a:blip xmlns:r="http://schemas.openxmlformats.org/officeDocument/2006/relationships" r:embed="rId8" cstate="print"/>
          <a:tile tx="0" ty="0" sx="100000" sy="100000" flip="none" algn="tl"/>
        </a:blip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67</xdr:col>
      <xdr:colOff>76200</xdr:colOff>
      <xdr:row>46</xdr:row>
      <xdr:rowOff>57150</xdr:rowOff>
    </xdr:from>
    <xdr:to>
      <xdr:col>84</xdr:col>
      <xdr:colOff>38100</xdr:colOff>
      <xdr:row>46</xdr:row>
      <xdr:rowOff>57150</xdr:rowOff>
    </xdr:to>
    <xdr:cxnSp macro="">
      <xdr:nvCxnSpPr>
        <xdr:cNvPr id="887182" name="Straight Arrow Connector 327">
          <a:extLst>
            <a:ext uri="{FF2B5EF4-FFF2-40B4-BE49-F238E27FC236}">
              <a16:creationId xmlns="" xmlns:a16="http://schemas.microsoft.com/office/drawing/2014/main" id="{00000000-0008-0000-2400-00008E890D00}"/>
            </a:ext>
          </a:extLst>
        </xdr:cNvPr>
        <xdr:cNvCxnSpPr>
          <a:cxnSpLocks noChangeShapeType="1"/>
        </xdr:cNvCxnSpPr>
      </xdr:nvCxnSpPr>
      <xdr:spPr bwMode="auto">
        <a:xfrm flipV="1">
          <a:off x="9436100" y="4648200"/>
          <a:ext cx="23368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73</xdr:col>
      <xdr:colOff>35560</xdr:colOff>
      <xdr:row>44</xdr:row>
      <xdr:rowOff>0</xdr:rowOff>
    </xdr:from>
    <xdr:to>
      <xdr:col>78</xdr:col>
      <xdr:colOff>3188</xdr:colOff>
      <xdr:row>46</xdr:row>
      <xdr:rowOff>72308</xdr:rowOff>
    </xdr:to>
    <xdr:sp macro="" textlink="">
      <xdr:nvSpPr>
        <xdr:cNvPr id="603" name="TextBox 328">
          <a:extLst>
            <a:ext uri="{FF2B5EF4-FFF2-40B4-BE49-F238E27FC236}">
              <a16:creationId xmlns="" xmlns:a16="http://schemas.microsoft.com/office/drawing/2014/main" id="{00000000-0008-0000-2400-00005B020000}"/>
            </a:ext>
          </a:extLst>
        </xdr:cNvPr>
        <xdr:cNvSpPr txBox="1"/>
      </xdr:nvSpPr>
      <xdr:spPr>
        <a:xfrm>
          <a:off x="10506075" y="4305300"/>
          <a:ext cx="657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80</a:t>
          </a:r>
        </a:p>
      </xdr:txBody>
    </xdr:sp>
    <xdr:clientData/>
  </xdr:twoCellAnchor>
  <xdr:twoCellAnchor>
    <xdr:from>
      <xdr:col>66</xdr:col>
      <xdr:colOff>6350</xdr:colOff>
      <xdr:row>48</xdr:row>
      <xdr:rowOff>63500</xdr:rowOff>
    </xdr:from>
    <xdr:to>
      <xdr:col>66</xdr:col>
      <xdr:colOff>6350</xdr:colOff>
      <xdr:row>55</xdr:row>
      <xdr:rowOff>0</xdr:rowOff>
    </xdr:to>
    <xdr:cxnSp macro="">
      <xdr:nvCxnSpPr>
        <xdr:cNvPr id="887184" name="Straight Arrow Connector 329">
          <a:extLst>
            <a:ext uri="{FF2B5EF4-FFF2-40B4-BE49-F238E27FC236}">
              <a16:creationId xmlns="" xmlns:a16="http://schemas.microsoft.com/office/drawing/2014/main" id="{00000000-0008-0000-2400-000090890D00}"/>
            </a:ext>
          </a:extLst>
        </xdr:cNvPr>
        <xdr:cNvCxnSpPr>
          <a:cxnSpLocks noChangeShapeType="1"/>
        </xdr:cNvCxnSpPr>
      </xdr:nvCxnSpPr>
      <xdr:spPr bwMode="auto">
        <a:xfrm rot="5400000">
          <a:off x="8924925" y="5146675"/>
          <a:ext cx="60325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64</xdr:col>
      <xdr:colOff>635</xdr:colOff>
      <xdr:row>23</xdr:row>
      <xdr:rowOff>61595</xdr:rowOff>
    </xdr:from>
    <xdr:to>
      <xdr:col>89</xdr:col>
      <xdr:colOff>56585</xdr:colOff>
      <xdr:row>26</xdr:row>
      <xdr:rowOff>58785</xdr:rowOff>
    </xdr:to>
    <xdr:sp macro="" textlink="">
      <xdr:nvSpPr>
        <xdr:cNvPr id="605" name="Text Box 530">
          <a:extLst>
            <a:ext uri="{FF2B5EF4-FFF2-40B4-BE49-F238E27FC236}">
              <a16:creationId xmlns="" xmlns:a16="http://schemas.microsoft.com/office/drawing/2014/main" id="{00000000-0008-0000-2400-00005D020000}"/>
            </a:ext>
          </a:extLst>
        </xdr:cNvPr>
        <xdr:cNvSpPr txBox="1">
          <a:spLocks noChangeArrowheads="1"/>
        </xdr:cNvSpPr>
      </xdr:nvSpPr>
      <xdr:spPr bwMode="auto">
        <a:xfrm>
          <a:off x="9153525" y="2324100"/>
          <a:ext cx="3648075" cy="342900"/>
        </a:xfrm>
        <a:prstGeom prst="rect">
          <a:avLst/>
        </a:prstGeom>
        <a:noFill/>
        <a:ln w="9525">
          <a:noFill/>
          <a:miter lim="800000"/>
          <a:headEnd/>
          <a:tailEnd/>
        </a:ln>
      </xdr:spPr>
      <xdr:txBody>
        <a:bodyPr vertOverflow="clip" wrap="square" lIns="27432" tIns="22860" rIns="0" bIns="0" anchor="ctr" upright="1"/>
        <a:lstStyle/>
        <a:p>
          <a:pPr algn="l" rtl="0">
            <a:defRPr sz="1000"/>
          </a:pPr>
          <a:r>
            <a:rPr lang="fr-FR" sz="1200" b="1" i="0" strike="noStrike">
              <a:solidFill>
                <a:srgbClr val="000000"/>
              </a:solidFill>
              <a:latin typeface="Arial"/>
              <a:cs typeface="Arial"/>
            </a:rPr>
            <a:t>Détails</a:t>
          </a:r>
          <a:r>
            <a:rPr lang="fr-FR" sz="1200" b="1" i="0" strike="noStrike" baseline="0">
              <a:solidFill>
                <a:srgbClr val="000000"/>
              </a:solidFill>
              <a:latin typeface="Arial"/>
              <a:cs typeface="Arial"/>
            </a:rPr>
            <a:t> </a:t>
          </a:r>
          <a:r>
            <a:rPr lang="fr-FR" sz="1200" b="1" i="0" strike="noStrike">
              <a:solidFill>
                <a:srgbClr val="000000"/>
              </a:solidFill>
              <a:latin typeface="Arial"/>
              <a:cs typeface="Arial"/>
            </a:rPr>
            <a:t>dalots amovibles Extremes</a:t>
          </a:r>
        </a:p>
      </xdr:txBody>
    </xdr:sp>
    <xdr:clientData/>
  </xdr:twoCellAnchor>
  <xdr:twoCellAnchor>
    <xdr:from>
      <xdr:col>62</xdr:col>
      <xdr:colOff>20321</xdr:colOff>
      <xdr:row>32</xdr:row>
      <xdr:rowOff>56515</xdr:rowOff>
    </xdr:from>
    <xdr:to>
      <xdr:col>67</xdr:col>
      <xdr:colOff>20032</xdr:colOff>
      <xdr:row>35</xdr:row>
      <xdr:rowOff>58123</xdr:rowOff>
    </xdr:to>
    <xdr:sp macro="" textlink="">
      <xdr:nvSpPr>
        <xdr:cNvPr id="606" name="TextBox 332">
          <a:extLst>
            <a:ext uri="{FF2B5EF4-FFF2-40B4-BE49-F238E27FC236}">
              <a16:creationId xmlns="" xmlns:a16="http://schemas.microsoft.com/office/drawing/2014/main" id="{00000000-0008-0000-2400-00005E020000}"/>
            </a:ext>
          </a:extLst>
        </xdr:cNvPr>
        <xdr:cNvSpPr txBox="1"/>
      </xdr:nvSpPr>
      <xdr:spPr>
        <a:xfrm>
          <a:off x="8886826" y="3228975"/>
          <a:ext cx="695324"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35cm</a:t>
          </a:r>
        </a:p>
      </xdr:txBody>
    </xdr:sp>
    <xdr:clientData/>
  </xdr:twoCellAnchor>
  <xdr:twoCellAnchor>
    <xdr:from>
      <xdr:col>15</xdr:col>
      <xdr:colOff>19050</xdr:colOff>
      <xdr:row>13</xdr:row>
      <xdr:rowOff>31750</xdr:rowOff>
    </xdr:from>
    <xdr:to>
      <xdr:col>15</xdr:col>
      <xdr:colOff>19050</xdr:colOff>
      <xdr:row>22</xdr:row>
      <xdr:rowOff>57150</xdr:rowOff>
    </xdr:to>
    <xdr:cxnSp macro="">
      <xdr:nvCxnSpPr>
        <xdr:cNvPr id="887187" name="Straight Connector 318">
          <a:extLst>
            <a:ext uri="{FF2B5EF4-FFF2-40B4-BE49-F238E27FC236}">
              <a16:creationId xmlns="" xmlns:a16="http://schemas.microsoft.com/office/drawing/2014/main" id="{00000000-0008-0000-2400-000093890D00}"/>
            </a:ext>
          </a:extLst>
        </xdr:cNvPr>
        <xdr:cNvCxnSpPr>
          <a:cxnSpLocks noChangeShapeType="1"/>
        </xdr:cNvCxnSpPr>
      </xdr:nvCxnSpPr>
      <xdr:spPr bwMode="auto">
        <a:xfrm rot="16200000" flipH="1">
          <a:off x="1673225" y="1920875"/>
          <a:ext cx="88265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14</xdr:col>
      <xdr:colOff>57150</xdr:colOff>
      <xdr:row>13</xdr:row>
      <xdr:rowOff>63500</xdr:rowOff>
    </xdr:from>
    <xdr:to>
      <xdr:col>14</xdr:col>
      <xdr:colOff>57150</xdr:colOff>
      <xdr:row>24</xdr:row>
      <xdr:rowOff>31750</xdr:rowOff>
    </xdr:to>
    <xdr:cxnSp macro="">
      <xdr:nvCxnSpPr>
        <xdr:cNvPr id="887188" name="Straight Connector 267">
          <a:extLst>
            <a:ext uri="{FF2B5EF4-FFF2-40B4-BE49-F238E27FC236}">
              <a16:creationId xmlns="" xmlns:a16="http://schemas.microsoft.com/office/drawing/2014/main" id="{00000000-0008-0000-2400-000094890D00}"/>
            </a:ext>
          </a:extLst>
        </xdr:cNvPr>
        <xdr:cNvCxnSpPr>
          <a:cxnSpLocks noChangeShapeType="1"/>
        </xdr:cNvCxnSpPr>
      </xdr:nvCxnSpPr>
      <xdr:spPr bwMode="auto">
        <a:xfrm rot="16200000" flipH="1">
          <a:off x="1504950" y="2019300"/>
          <a:ext cx="1016000" cy="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15</xdr:col>
      <xdr:colOff>63500</xdr:colOff>
      <xdr:row>14</xdr:row>
      <xdr:rowOff>31750</xdr:rowOff>
    </xdr:from>
    <xdr:to>
      <xdr:col>15</xdr:col>
      <xdr:colOff>82550</xdr:colOff>
      <xdr:row>24</xdr:row>
      <xdr:rowOff>57150</xdr:rowOff>
    </xdr:to>
    <xdr:cxnSp macro="">
      <xdr:nvCxnSpPr>
        <xdr:cNvPr id="887189" name="Straight Connector 267">
          <a:extLst>
            <a:ext uri="{FF2B5EF4-FFF2-40B4-BE49-F238E27FC236}">
              <a16:creationId xmlns="" xmlns:a16="http://schemas.microsoft.com/office/drawing/2014/main" id="{00000000-0008-0000-2400-000095890D00}"/>
            </a:ext>
          </a:extLst>
        </xdr:cNvPr>
        <xdr:cNvCxnSpPr>
          <a:cxnSpLocks noChangeShapeType="1"/>
        </xdr:cNvCxnSpPr>
      </xdr:nvCxnSpPr>
      <xdr:spPr bwMode="auto">
        <a:xfrm rot="16200000" flipH="1">
          <a:off x="1679575" y="2054225"/>
          <a:ext cx="977900" cy="1905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35</xdr:col>
      <xdr:colOff>44450</xdr:colOff>
      <xdr:row>13</xdr:row>
      <xdr:rowOff>38100</xdr:rowOff>
    </xdr:from>
    <xdr:to>
      <xdr:col>35</xdr:col>
      <xdr:colOff>63500</xdr:colOff>
      <xdr:row>24</xdr:row>
      <xdr:rowOff>38100</xdr:rowOff>
    </xdr:to>
    <xdr:cxnSp macro="">
      <xdr:nvCxnSpPr>
        <xdr:cNvPr id="887190" name="Straight Connector 266">
          <a:extLst>
            <a:ext uri="{FF2B5EF4-FFF2-40B4-BE49-F238E27FC236}">
              <a16:creationId xmlns="" xmlns:a16="http://schemas.microsoft.com/office/drawing/2014/main" id="{00000000-0008-0000-2400-000096890D00}"/>
            </a:ext>
          </a:extLst>
        </xdr:cNvPr>
        <xdr:cNvCxnSpPr>
          <a:cxnSpLocks noChangeShapeType="1"/>
        </xdr:cNvCxnSpPr>
      </xdr:nvCxnSpPr>
      <xdr:spPr bwMode="auto">
        <a:xfrm rot="16200000" flipH="1">
          <a:off x="4419600" y="2000250"/>
          <a:ext cx="1047750" cy="1905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34</xdr:col>
      <xdr:colOff>25400</xdr:colOff>
      <xdr:row>13</xdr:row>
      <xdr:rowOff>19050</xdr:rowOff>
    </xdr:from>
    <xdr:to>
      <xdr:col>34</xdr:col>
      <xdr:colOff>38100</xdr:colOff>
      <xdr:row>24</xdr:row>
      <xdr:rowOff>50800</xdr:rowOff>
    </xdr:to>
    <xdr:cxnSp macro="">
      <xdr:nvCxnSpPr>
        <xdr:cNvPr id="887191" name="Straight Connector 267">
          <a:extLst>
            <a:ext uri="{FF2B5EF4-FFF2-40B4-BE49-F238E27FC236}">
              <a16:creationId xmlns="" xmlns:a16="http://schemas.microsoft.com/office/drawing/2014/main" id="{00000000-0008-0000-2400-000097890D00}"/>
            </a:ext>
          </a:extLst>
        </xdr:cNvPr>
        <xdr:cNvCxnSpPr>
          <a:cxnSpLocks noChangeShapeType="1"/>
        </xdr:cNvCxnSpPr>
      </xdr:nvCxnSpPr>
      <xdr:spPr bwMode="auto">
        <a:xfrm rot="16200000" flipH="1">
          <a:off x="4241800" y="2000250"/>
          <a:ext cx="1079500" cy="1270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23</xdr:col>
      <xdr:colOff>63500</xdr:colOff>
      <xdr:row>9</xdr:row>
      <xdr:rowOff>57150</xdr:rowOff>
    </xdr:from>
    <xdr:to>
      <xdr:col>24</xdr:col>
      <xdr:colOff>82550</xdr:colOff>
      <xdr:row>13</xdr:row>
      <xdr:rowOff>50800</xdr:rowOff>
    </xdr:to>
    <xdr:cxnSp macro="">
      <xdr:nvCxnSpPr>
        <xdr:cNvPr id="887192" name="Straight Arrow Connector 315">
          <a:extLst>
            <a:ext uri="{FF2B5EF4-FFF2-40B4-BE49-F238E27FC236}">
              <a16:creationId xmlns="" xmlns:a16="http://schemas.microsoft.com/office/drawing/2014/main" id="{00000000-0008-0000-2400-000098890D00}"/>
            </a:ext>
          </a:extLst>
        </xdr:cNvPr>
        <xdr:cNvCxnSpPr>
          <a:cxnSpLocks noChangeShapeType="1"/>
        </xdr:cNvCxnSpPr>
      </xdr:nvCxnSpPr>
      <xdr:spPr bwMode="auto">
        <a:xfrm rot="5400000">
          <a:off x="3168650" y="1231900"/>
          <a:ext cx="374650" cy="15875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4444</xdr:colOff>
      <xdr:row>4</xdr:row>
      <xdr:rowOff>12700</xdr:rowOff>
    </xdr:from>
    <xdr:to>
      <xdr:col>19</xdr:col>
      <xdr:colOff>35672</xdr:colOff>
      <xdr:row>10</xdr:row>
      <xdr:rowOff>461</xdr:rowOff>
    </xdr:to>
    <xdr:sp macro="" textlink="">
      <xdr:nvSpPr>
        <xdr:cNvPr id="613" name="Text Box 530">
          <a:extLst>
            <a:ext uri="{FF2B5EF4-FFF2-40B4-BE49-F238E27FC236}">
              <a16:creationId xmlns="" xmlns:a16="http://schemas.microsoft.com/office/drawing/2014/main" id="{00000000-0008-0000-2400-000065020000}"/>
            </a:ext>
          </a:extLst>
        </xdr:cNvPr>
        <xdr:cNvSpPr txBox="1">
          <a:spLocks noChangeArrowheads="1"/>
        </xdr:cNvSpPr>
      </xdr:nvSpPr>
      <xdr:spPr bwMode="auto">
        <a:xfrm>
          <a:off x="1323974" y="523875"/>
          <a:ext cx="1466851" cy="542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ctr" rtl="0">
            <a:defRPr sz="1000"/>
          </a:pPr>
          <a:r>
            <a:rPr lang="fr-FR" sz="1000" b="0" i="0" strike="noStrike">
              <a:solidFill>
                <a:srgbClr val="000000"/>
              </a:solidFill>
              <a:latin typeface="Arial"/>
              <a:cs typeface="Arial"/>
            </a:rPr>
            <a:t>Mur de separation en brics</a:t>
          </a:r>
        </a:p>
      </xdr:txBody>
    </xdr:sp>
    <xdr:clientData/>
  </xdr:twoCellAnchor>
  <xdr:twoCellAnchor>
    <xdr:from>
      <xdr:col>15</xdr:col>
      <xdr:colOff>57150</xdr:colOff>
      <xdr:row>9</xdr:row>
      <xdr:rowOff>57150</xdr:rowOff>
    </xdr:from>
    <xdr:to>
      <xdr:col>15</xdr:col>
      <xdr:colOff>57150</xdr:colOff>
      <xdr:row>14</xdr:row>
      <xdr:rowOff>19050</xdr:rowOff>
    </xdr:to>
    <xdr:cxnSp macro="">
      <xdr:nvCxnSpPr>
        <xdr:cNvPr id="887194" name="Straight Arrow Connector 315">
          <a:extLst>
            <a:ext uri="{FF2B5EF4-FFF2-40B4-BE49-F238E27FC236}">
              <a16:creationId xmlns="" xmlns:a16="http://schemas.microsoft.com/office/drawing/2014/main" id="{00000000-0008-0000-2400-00009A890D00}"/>
            </a:ext>
          </a:extLst>
        </xdr:cNvPr>
        <xdr:cNvCxnSpPr>
          <a:cxnSpLocks noChangeShapeType="1"/>
        </xdr:cNvCxnSpPr>
      </xdr:nvCxnSpPr>
      <xdr:spPr bwMode="auto">
        <a:xfrm rot="16200000" flipH="1">
          <a:off x="1933575" y="1343025"/>
          <a:ext cx="438150" cy="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25</xdr:col>
      <xdr:colOff>6350</xdr:colOff>
      <xdr:row>10</xdr:row>
      <xdr:rowOff>0</xdr:rowOff>
    </xdr:from>
    <xdr:to>
      <xdr:col>25</xdr:col>
      <xdr:colOff>19050</xdr:colOff>
      <xdr:row>13</xdr:row>
      <xdr:rowOff>31750</xdr:rowOff>
    </xdr:to>
    <xdr:cxnSp macro="">
      <xdr:nvCxnSpPr>
        <xdr:cNvPr id="887195" name="Straight Arrow Connector 315">
          <a:extLst>
            <a:ext uri="{FF2B5EF4-FFF2-40B4-BE49-F238E27FC236}">
              <a16:creationId xmlns="" xmlns:a16="http://schemas.microsoft.com/office/drawing/2014/main" id="{00000000-0008-0000-2400-00009B890D00}"/>
            </a:ext>
          </a:extLst>
        </xdr:cNvPr>
        <xdr:cNvCxnSpPr>
          <a:cxnSpLocks noChangeShapeType="1"/>
        </xdr:cNvCxnSpPr>
      </xdr:nvCxnSpPr>
      <xdr:spPr bwMode="auto">
        <a:xfrm rot="5400000">
          <a:off x="3346450" y="1314450"/>
          <a:ext cx="317500" cy="127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70</xdr:col>
      <xdr:colOff>57785</xdr:colOff>
      <xdr:row>32</xdr:row>
      <xdr:rowOff>57784</xdr:rowOff>
    </xdr:from>
    <xdr:to>
      <xdr:col>71</xdr:col>
      <xdr:colOff>20667</xdr:colOff>
      <xdr:row>35</xdr:row>
      <xdr:rowOff>14126</xdr:rowOff>
    </xdr:to>
    <xdr:sp macro="" textlink="">
      <xdr:nvSpPr>
        <xdr:cNvPr id="616" name="Rectangle 615">
          <a:extLst>
            <a:ext uri="{FF2B5EF4-FFF2-40B4-BE49-F238E27FC236}">
              <a16:creationId xmlns="" xmlns:a16="http://schemas.microsoft.com/office/drawing/2014/main" id="{00000000-0008-0000-2400-000068020000}"/>
            </a:ext>
          </a:extLst>
        </xdr:cNvPr>
        <xdr:cNvSpPr/>
      </xdr:nvSpPr>
      <xdr:spPr bwMode="auto">
        <a:xfrm>
          <a:off x="10077450" y="3238499"/>
          <a:ext cx="74294" cy="219075"/>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80</xdr:col>
      <xdr:colOff>96520</xdr:colOff>
      <xdr:row>32</xdr:row>
      <xdr:rowOff>56514</xdr:rowOff>
    </xdr:from>
    <xdr:to>
      <xdr:col>81</xdr:col>
      <xdr:colOff>21684</xdr:colOff>
      <xdr:row>35</xdr:row>
      <xdr:rowOff>48359</xdr:rowOff>
    </xdr:to>
    <xdr:sp macro="" textlink="">
      <xdr:nvSpPr>
        <xdr:cNvPr id="617" name="Rectangle 616">
          <a:extLst>
            <a:ext uri="{FF2B5EF4-FFF2-40B4-BE49-F238E27FC236}">
              <a16:creationId xmlns="" xmlns:a16="http://schemas.microsoft.com/office/drawing/2014/main" id="{00000000-0008-0000-2400-000069020000}"/>
            </a:ext>
          </a:extLst>
        </xdr:cNvPr>
        <xdr:cNvSpPr/>
      </xdr:nvSpPr>
      <xdr:spPr bwMode="auto">
        <a:xfrm>
          <a:off x="11534775" y="3248024"/>
          <a:ext cx="74294" cy="219075"/>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4</xdr:col>
      <xdr:colOff>19050</xdr:colOff>
      <xdr:row>23</xdr:row>
      <xdr:rowOff>38100</xdr:rowOff>
    </xdr:from>
    <xdr:to>
      <xdr:col>11</xdr:col>
      <xdr:colOff>6350</xdr:colOff>
      <xdr:row>23</xdr:row>
      <xdr:rowOff>50800</xdr:rowOff>
    </xdr:to>
    <xdr:cxnSp macro="">
      <xdr:nvCxnSpPr>
        <xdr:cNvPr id="887198" name="Connecteur droit avec flèche 617">
          <a:extLst>
            <a:ext uri="{FF2B5EF4-FFF2-40B4-BE49-F238E27FC236}">
              <a16:creationId xmlns="" xmlns:a16="http://schemas.microsoft.com/office/drawing/2014/main" id="{00000000-0008-0000-2400-00009E890D00}"/>
            </a:ext>
          </a:extLst>
        </xdr:cNvPr>
        <xdr:cNvCxnSpPr>
          <a:cxnSpLocks noChangeShapeType="1"/>
        </xdr:cNvCxnSpPr>
      </xdr:nvCxnSpPr>
      <xdr:spPr bwMode="auto">
        <a:xfrm flipV="1">
          <a:off x="577850" y="2438400"/>
          <a:ext cx="965200" cy="12700"/>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0</xdr:col>
      <xdr:colOff>60960</xdr:colOff>
      <xdr:row>18</xdr:row>
      <xdr:rowOff>57785</xdr:rowOff>
    </xdr:from>
    <xdr:to>
      <xdr:col>4</xdr:col>
      <xdr:colOff>95947</xdr:colOff>
      <xdr:row>33</xdr:row>
      <xdr:rowOff>57785</xdr:rowOff>
    </xdr:to>
    <xdr:sp macro="" textlink="">
      <xdr:nvSpPr>
        <xdr:cNvPr id="619" name="ZoneTexte 618">
          <a:extLst>
            <a:ext uri="{FF2B5EF4-FFF2-40B4-BE49-F238E27FC236}">
              <a16:creationId xmlns="" xmlns:a16="http://schemas.microsoft.com/office/drawing/2014/main" id="{00000000-0008-0000-2400-00006B020000}"/>
            </a:ext>
          </a:extLst>
        </xdr:cNvPr>
        <xdr:cNvSpPr txBox="1"/>
      </xdr:nvSpPr>
      <xdr:spPr>
        <a:xfrm>
          <a:off x="38100" y="1885950"/>
          <a:ext cx="628649" cy="1428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vert270" wrap="square" rtlCol="0" anchor="t"/>
        <a:lstStyle/>
        <a:p>
          <a:pPr algn="ctr"/>
          <a:r>
            <a:rPr lang="en-GB" sz="1050" b="1"/>
            <a:t>TuYau</a:t>
          </a:r>
          <a:r>
            <a:rPr lang="en-GB" sz="1050" b="1" baseline="0"/>
            <a:t> de ventilation PVC160</a:t>
          </a:r>
          <a:endParaRPr lang="en-GB" sz="1050" b="1"/>
        </a:p>
      </xdr:txBody>
    </xdr:sp>
    <xdr:clientData/>
  </xdr:twoCellAnchor>
  <xdr:twoCellAnchor>
    <xdr:from>
      <xdr:col>70</xdr:col>
      <xdr:colOff>56515</xdr:colOff>
      <xdr:row>50</xdr:row>
      <xdr:rowOff>60960</xdr:rowOff>
    </xdr:from>
    <xdr:to>
      <xdr:col>70</xdr:col>
      <xdr:colOff>79136</xdr:colOff>
      <xdr:row>52</xdr:row>
      <xdr:rowOff>58991</xdr:rowOff>
    </xdr:to>
    <xdr:sp macro="" textlink="">
      <xdr:nvSpPr>
        <xdr:cNvPr id="620" name="Rectangle 619">
          <a:extLst>
            <a:ext uri="{FF2B5EF4-FFF2-40B4-BE49-F238E27FC236}">
              <a16:creationId xmlns="" xmlns:a16="http://schemas.microsoft.com/office/drawing/2014/main" id="{00000000-0008-0000-2400-00006C020000}"/>
            </a:ext>
          </a:extLst>
        </xdr:cNvPr>
        <xdr:cNvSpPr/>
      </xdr:nvSpPr>
      <xdr:spPr bwMode="auto">
        <a:xfrm>
          <a:off x="10067925" y="4924425"/>
          <a:ext cx="45719" cy="219075"/>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80</xdr:col>
      <xdr:colOff>95885</xdr:colOff>
      <xdr:row>50</xdr:row>
      <xdr:rowOff>57785</xdr:rowOff>
    </xdr:from>
    <xdr:to>
      <xdr:col>81</xdr:col>
      <xdr:colOff>18680</xdr:colOff>
      <xdr:row>52</xdr:row>
      <xdr:rowOff>56414</xdr:rowOff>
    </xdr:to>
    <xdr:sp macro="" textlink="">
      <xdr:nvSpPr>
        <xdr:cNvPr id="621" name="Rectangle 620">
          <a:extLst>
            <a:ext uri="{FF2B5EF4-FFF2-40B4-BE49-F238E27FC236}">
              <a16:creationId xmlns="" xmlns:a16="http://schemas.microsoft.com/office/drawing/2014/main" id="{00000000-0008-0000-2400-00006D020000}"/>
            </a:ext>
          </a:extLst>
        </xdr:cNvPr>
        <xdr:cNvSpPr/>
      </xdr:nvSpPr>
      <xdr:spPr bwMode="auto">
        <a:xfrm>
          <a:off x="11525250" y="4933950"/>
          <a:ext cx="74294" cy="219075"/>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70</xdr:col>
      <xdr:colOff>82550</xdr:colOff>
      <xdr:row>51</xdr:row>
      <xdr:rowOff>57150</xdr:rowOff>
    </xdr:from>
    <xdr:to>
      <xdr:col>78</xdr:col>
      <xdr:colOff>0</xdr:colOff>
      <xdr:row>59</xdr:row>
      <xdr:rowOff>0</xdr:rowOff>
    </xdr:to>
    <xdr:cxnSp macro="">
      <xdr:nvCxnSpPr>
        <xdr:cNvPr id="887202" name="Connecteur droit avec flèche 621">
          <a:extLst>
            <a:ext uri="{FF2B5EF4-FFF2-40B4-BE49-F238E27FC236}">
              <a16:creationId xmlns="" xmlns:a16="http://schemas.microsoft.com/office/drawing/2014/main" id="{00000000-0008-0000-2400-0000A2890D00}"/>
            </a:ext>
          </a:extLst>
        </xdr:cNvPr>
        <xdr:cNvCxnSpPr>
          <a:cxnSpLocks noChangeShapeType="1"/>
          <a:endCxn id="620" idx="3"/>
        </xdr:cNvCxnSpPr>
      </xdr:nvCxnSpPr>
      <xdr:spPr bwMode="auto">
        <a:xfrm rot="10800000">
          <a:off x="9861550" y="5124450"/>
          <a:ext cx="1035050" cy="70485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77</xdr:col>
      <xdr:colOff>82550</xdr:colOff>
      <xdr:row>51</xdr:row>
      <xdr:rowOff>57150</xdr:rowOff>
    </xdr:from>
    <xdr:to>
      <xdr:col>80</xdr:col>
      <xdr:colOff>57150</xdr:colOff>
      <xdr:row>58</xdr:row>
      <xdr:rowOff>57150</xdr:rowOff>
    </xdr:to>
    <xdr:cxnSp macro="">
      <xdr:nvCxnSpPr>
        <xdr:cNvPr id="887203" name="Connecteur droit avec flèche 622">
          <a:extLst>
            <a:ext uri="{FF2B5EF4-FFF2-40B4-BE49-F238E27FC236}">
              <a16:creationId xmlns="" xmlns:a16="http://schemas.microsoft.com/office/drawing/2014/main" id="{00000000-0008-0000-2400-0000A3890D00}"/>
            </a:ext>
          </a:extLst>
        </xdr:cNvPr>
        <xdr:cNvCxnSpPr>
          <a:cxnSpLocks noChangeShapeType="1"/>
        </xdr:cNvCxnSpPr>
      </xdr:nvCxnSpPr>
      <xdr:spPr bwMode="auto">
        <a:xfrm rot="5400000" flipH="1" flipV="1">
          <a:off x="10702925" y="5260975"/>
          <a:ext cx="666750" cy="3937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71</xdr:col>
      <xdr:colOff>96519</xdr:colOff>
      <xdr:row>58</xdr:row>
      <xdr:rowOff>0</xdr:rowOff>
    </xdr:from>
    <xdr:to>
      <xdr:col>87</xdr:col>
      <xdr:colOff>95925</xdr:colOff>
      <xdr:row>63</xdr:row>
      <xdr:rowOff>12980</xdr:rowOff>
    </xdr:to>
    <xdr:sp macro="" textlink="">
      <xdr:nvSpPr>
        <xdr:cNvPr id="624" name="TextBox 328">
          <a:extLst>
            <a:ext uri="{FF2B5EF4-FFF2-40B4-BE49-F238E27FC236}">
              <a16:creationId xmlns="" xmlns:a16="http://schemas.microsoft.com/office/drawing/2014/main" id="{00000000-0008-0000-2400-000070020000}"/>
            </a:ext>
          </a:extLst>
        </xdr:cNvPr>
        <xdr:cNvSpPr txBox="1"/>
      </xdr:nvSpPr>
      <xdr:spPr>
        <a:xfrm>
          <a:off x="10248899" y="5638800"/>
          <a:ext cx="2286001"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GB" sz="1000" b="1"/>
            <a:t>Crochets sur dalots amovibles avec des fers de 8mm</a:t>
          </a:r>
        </a:p>
      </xdr:txBody>
    </xdr:sp>
    <xdr:clientData/>
  </xdr:twoCellAnchor>
  <xdr:twoCellAnchor>
    <xdr:from>
      <xdr:col>9</xdr:col>
      <xdr:colOff>44450</xdr:colOff>
      <xdr:row>122</xdr:row>
      <xdr:rowOff>50800</xdr:rowOff>
    </xdr:from>
    <xdr:to>
      <xdr:col>9</xdr:col>
      <xdr:colOff>44450</xdr:colOff>
      <xdr:row>125</xdr:row>
      <xdr:rowOff>12700</xdr:rowOff>
    </xdr:to>
    <xdr:cxnSp macro="">
      <xdr:nvCxnSpPr>
        <xdr:cNvPr id="887205" name="Connecteur droit 624">
          <a:extLst>
            <a:ext uri="{FF2B5EF4-FFF2-40B4-BE49-F238E27FC236}">
              <a16:creationId xmlns="" xmlns:a16="http://schemas.microsoft.com/office/drawing/2014/main" id="{00000000-0008-0000-2400-0000A5890D00}"/>
            </a:ext>
          </a:extLst>
        </xdr:cNvPr>
        <xdr:cNvCxnSpPr>
          <a:cxnSpLocks noChangeShapeType="1"/>
        </xdr:cNvCxnSpPr>
      </xdr:nvCxnSpPr>
      <xdr:spPr bwMode="auto">
        <a:xfrm rot="5400000">
          <a:off x="1177925" y="12004675"/>
          <a:ext cx="24765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10</xdr:col>
      <xdr:colOff>57785</xdr:colOff>
      <xdr:row>122</xdr:row>
      <xdr:rowOff>9525</xdr:rowOff>
    </xdr:from>
    <xdr:to>
      <xdr:col>22</xdr:col>
      <xdr:colOff>154</xdr:colOff>
      <xdr:row>131</xdr:row>
      <xdr:rowOff>79</xdr:rowOff>
    </xdr:to>
    <xdr:sp macro="" textlink="">
      <xdr:nvSpPr>
        <xdr:cNvPr id="626" name="Text Box 355">
          <a:extLst>
            <a:ext uri="{FF2B5EF4-FFF2-40B4-BE49-F238E27FC236}">
              <a16:creationId xmlns="" xmlns:a16="http://schemas.microsoft.com/office/drawing/2014/main" id="{00000000-0008-0000-2400-000072020000}"/>
            </a:ext>
          </a:extLst>
        </xdr:cNvPr>
        <xdr:cNvSpPr txBox="1">
          <a:spLocks noChangeArrowheads="1"/>
        </xdr:cNvSpPr>
      </xdr:nvSpPr>
      <xdr:spPr bwMode="auto">
        <a:xfrm>
          <a:off x="1504950" y="11744325"/>
          <a:ext cx="1638300" cy="8477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110</a:t>
          </a:r>
        </a:p>
      </xdr:txBody>
    </xdr:sp>
    <xdr:clientData/>
  </xdr:twoCellAnchor>
  <xdr:twoCellAnchor>
    <xdr:from>
      <xdr:col>39</xdr:col>
      <xdr:colOff>19050</xdr:colOff>
      <xdr:row>124</xdr:row>
      <xdr:rowOff>12700</xdr:rowOff>
    </xdr:from>
    <xdr:to>
      <xdr:col>45</xdr:col>
      <xdr:colOff>6350</xdr:colOff>
      <xdr:row>124</xdr:row>
      <xdr:rowOff>12700</xdr:rowOff>
    </xdr:to>
    <xdr:sp macro="" textlink="">
      <xdr:nvSpPr>
        <xdr:cNvPr id="887207" name="Line 377">
          <a:extLst>
            <a:ext uri="{FF2B5EF4-FFF2-40B4-BE49-F238E27FC236}">
              <a16:creationId xmlns="" xmlns:a16="http://schemas.microsoft.com/office/drawing/2014/main" id="{00000000-0008-0000-2400-0000A7890D00}"/>
            </a:ext>
          </a:extLst>
        </xdr:cNvPr>
        <xdr:cNvSpPr>
          <a:spLocks noChangeShapeType="1"/>
        </xdr:cNvSpPr>
      </xdr:nvSpPr>
      <xdr:spPr bwMode="auto">
        <a:xfrm>
          <a:off x="5467350" y="12033250"/>
          <a:ext cx="825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45</xdr:col>
      <xdr:colOff>25400</xdr:colOff>
      <xdr:row>122</xdr:row>
      <xdr:rowOff>57150</xdr:rowOff>
    </xdr:from>
    <xdr:to>
      <xdr:col>45</xdr:col>
      <xdr:colOff>25400</xdr:colOff>
      <xdr:row>125</xdr:row>
      <xdr:rowOff>19050</xdr:rowOff>
    </xdr:to>
    <xdr:cxnSp macro="">
      <xdr:nvCxnSpPr>
        <xdr:cNvPr id="887208" name="Connecteur droit 627">
          <a:extLst>
            <a:ext uri="{FF2B5EF4-FFF2-40B4-BE49-F238E27FC236}">
              <a16:creationId xmlns="" xmlns:a16="http://schemas.microsoft.com/office/drawing/2014/main" id="{00000000-0008-0000-2400-0000A8890D00}"/>
            </a:ext>
          </a:extLst>
        </xdr:cNvPr>
        <xdr:cNvCxnSpPr>
          <a:cxnSpLocks noChangeShapeType="1"/>
        </xdr:cNvCxnSpPr>
      </xdr:nvCxnSpPr>
      <xdr:spPr bwMode="auto">
        <a:xfrm rot="5400000">
          <a:off x="6188075" y="12011025"/>
          <a:ext cx="24765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41</xdr:col>
      <xdr:colOff>36830</xdr:colOff>
      <xdr:row>122</xdr:row>
      <xdr:rowOff>60960</xdr:rowOff>
    </xdr:from>
    <xdr:to>
      <xdr:col>44</xdr:col>
      <xdr:colOff>250</xdr:colOff>
      <xdr:row>131</xdr:row>
      <xdr:rowOff>2489</xdr:rowOff>
    </xdr:to>
    <xdr:sp macro="" textlink="">
      <xdr:nvSpPr>
        <xdr:cNvPr id="629" name="Text Box 355">
          <a:extLst>
            <a:ext uri="{FF2B5EF4-FFF2-40B4-BE49-F238E27FC236}">
              <a16:creationId xmlns="" xmlns:a16="http://schemas.microsoft.com/office/drawing/2014/main" id="{00000000-0008-0000-2400-000075020000}"/>
            </a:ext>
          </a:extLst>
        </xdr:cNvPr>
        <xdr:cNvSpPr txBox="1">
          <a:spLocks noChangeArrowheads="1"/>
        </xdr:cNvSpPr>
      </xdr:nvSpPr>
      <xdr:spPr bwMode="auto">
        <a:xfrm>
          <a:off x="5915025" y="11772900"/>
          <a:ext cx="371475" cy="8477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50</a:t>
          </a:r>
        </a:p>
      </xdr:txBody>
    </xdr:sp>
    <xdr:clientData/>
  </xdr:twoCellAnchor>
  <xdr:twoCellAnchor editAs="oneCell">
    <xdr:from>
      <xdr:col>8</xdr:col>
      <xdr:colOff>0</xdr:colOff>
      <xdr:row>38</xdr:row>
      <xdr:rowOff>28575</xdr:rowOff>
    </xdr:from>
    <xdr:to>
      <xdr:col>10</xdr:col>
      <xdr:colOff>0</xdr:colOff>
      <xdr:row>41</xdr:row>
      <xdr:rowOff>91431</xdr:rowOff>
    </xdr:to>
    <xdr:sp macro="" textlink="">
      <xdr:nvSpPr>
        <xdr:cNvPr id="630" name="Text Box 479">
          <a:extLst>
            <a:ext uri="{FF2B5EF4-FFF2-40B4-BE49-F238E27FC236}">
              <a16:creationId xmlns="" xmlns:a16="http://schemas.microsoft.com/office/drawing/2014/main" id="{00000000-0008-0000-2400-000076020000}"/>
            </a:ext>
          </a:extLst>
        </xdr:cNvPr>
        <xdr:cNvSpPr txBox="1">
          <a:spLocks noChangeArrowheads="1"/>
        </xdr:cNvSpPr>
      </xdr:nvSpPr>
      <xdr:spPr bwMode="auto">
        <a:xfrm>
          <a:off x="1143000" y="3752850"/>
          <a:ext cx="285750" cy="3619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50</a:t>
          </a:r>
        </a:p>
      </xdr:txBody>
    </xdr:sp>
    <xdr:clientData/>
  </xdr:twoCellAnchor>
  <xdr:twoCellAnchor editAs="oneCell">
    <xdr:from>
      <xdr:col>39</xdr:col>
      <xdr:colOff>1</xdr:colOff>
      <xdr:row>38</xdr:row>
      <xdr:rowOff>0</xdr:rowOff>
    </xdr:from>
    <xdr:to>
      <xdr:col>40</xdr:col>
      <xdr:colOff>1</xdr:colOff>
      <xdr:row>40</xdr:row>
      <xdr:rowOff>0</xdr:rowOff>
    </xdr:to>
    <xdr:sp macro="" textlink="">
      <xdr:nvSpPr>
        <xdr:cNvPr id="631" name="Text Box 479">
          <a:extLst>
            <a:ext uri="{FF2B5EF4-FFF2-40B4-BE49-F238E27FC236}">
              <a16:creationId xmlns="" xmlns:a16="http://schemas.microsoft.com/office/drawing/2014/main" id="{00000000-0008-0000-2400-000077020000}"/>
            </a:ext>
          </a:extLst>
        </xdr:cNvPr>
        <xdr:cNvSpPr txBox="1">
          <a:spLocks noChangeArrowheads="1"/>
        </xdr:cNvSpPr>
      </xdr:nvSpPr>
      <xdr:spPr bwMode="auto">
        <a:xfrm>
          <a:off x="5572126" y="3733800"/>
          <a:ext cx="142875" cy="1905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50</a:t>
          </a:r>
        </a:p>
      </xdr:txBody>
    </xdr:sp>
    <xdr:clientData/>
  </xdr:twoCellAnchor>
  <xdr:twoCellAnchor editAs="oneCell">
    <xdr:from>
      <xdr:col>23</xdr:col>
      <xdr:colOff>1</xdr:colOff>
      <xdr:row>38</xdr:row>
      <xdr:rowOff>28574</xdr:rowOff>
    </xdr:from>
    <xdr:to>
      <xdr:col>25</xdr:col>
      <xdr:colOff>1</xdr:colOff>
      <xdr:row>41</xdr:row>
      <xdr:rowOff>91431</xdr:rowOff>
    </xdr:to>
    <xdr:sp macro="" textlink="">
      <xdr:nvSpPr>
        <xdr:cNvPr id="632" name="Text Box 479">
          <a:extLst>
            <a:ext uri="{FF2B5EF4-FFF2-40B4-BE49-F238E27FC236}">
              <a16:creationId xmlns="" xmlns:a16="http://schemas.microsoft.com/office/drawing/2014/main" id="{00000000-0008-0000-2400-000078020000}"/>
            </a:ext>
          </a:extLst>
        </xdr:cNvPr>
        <xdr:cNvSpPr txBox="1">
          <a:spLocks noChangeArrowheads="1"/>
        </xdr:cNvSpPr>
      </xdr:nvSpPr>
      <xdr:spPr bwMode="auto">
        <a:xfrm>
          <a:off x="3286126" y="3752849"/>
          <a:ext cx="285750" cy="36195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110</a:t>
          </a:r>
        </a:p>
      </xdr:txBody>
    </xdr:sp>
    <xdr:clientData/>
  </xdr:twoCellAnchor>
  <xdr:twoCellAnchor>
    <xdr:from>
      <xdr:col>35</xdr:col>
      <xdr:colOff>19050</xdr:colOff>
      <xdr:row>137</xdr:row>
      <xdr:rowOff>50800</xdr:rowOff>
    </xdr:from>
    <xdr:to>
      <xdr:col>35</xdr:col>
      <xdr:colOff>19050</xdr:colOff>
      <xdr:row>144</xdr:row>
      <xdr:rowOff>0</xdr:rowOff>
    </xdr:to>
    <xdr:cxnSp macro="">
      <xdr:nvCxnSpPr>
        <xdr:cNvPr id="887213" name="Connecteur droit avec flèche 632">
          <a:extLst>
            <a:ext uri="{FF2B5EF4-FFF2-40B4-BE49-F238E27FC236}">
              <a16:creationId xmlns="" xmlns:a16="http://schemas.microsoft.com/office/drawing/2014/main" id="{00000000-0008-0000-2400-0000AD890D00}"/>
            </a:ext>
          </a:extLst>
        </xdr:cNvPr>
        <xdr:cNvCxnSpPr>
          <a:cxnSpLocks noChangeShapeType="1"/>
        </xdr:cNvCxnSpPr>
      </xdr:nvCxnSpPr>
      <xdr:spPr bwMode="auto">
        <a:xfrm rot="5400000">
          <a:off x="4600575" y="13617575"/>
          <a:ext cx="61595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33</xdr:col>
      <xdr:colOff>55881</xdr:colOff>
      <xdr:row>139</xdr:row>
      <xdr:rowOff>60960</xdr:rowOff>
    </xdr:from>
    <xdr:to>
      <xdr:col>35</xdr:col>
      <xdr:colOff>654</xdr:colOff>
      <xdr:row>143</xdr:row>
      <xdr:rowOff>47626</xdr:rowOff>
    </xdr:to>
    <xdr:sp macro="" textlink="">
      <xdr:nvSpPr>
        <xdr:cNvPr id="634" name="Text Box 419">
          <a:extLst>
            <a:ext uri="{FF2B5EF4-FFF2-40B4-BE49-F238E27FC236}">
              <a16:creationId xmlns="" xmlns:a16="http://schemas.microsoft.com/office/drawing/2014/main" id="{00000000-0008-0000-2400-00007A020000}"/>
            </a:ext>
          </a:extLst>
        </xdr:cNvPr>
        <xdr:cNvSpPr txBox="1">
          <a:spLocks noChangeArrowheads="1"/>
        </xdr:cNvSpPr>
      </xdr:nvSpPr>
      <xdr:spPr bwMode="auto">
        <a:xfrm>
          <a:off x="4762501" y="13392150"/>
          <a:ext cx="238125" cy="409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50</a:t>
          </a:r>
        </a:p>
      </xdr:txBody>
    </xdr:sp>
    <xdr:clientData/>
  </xdr:twoCellAnchor>
  <xdr:twoCellAnchor>
    <xdr:from>
      <xdr:col>34</xdr:col>
      <xdr:colOff>57150</xdr:colOff>
      <xdr:row>137</xdr:row>
      <xdr:rowOff>38100</xdr:rowOff>
    </xdr:from>
    <xdr:to>
      <xdr:col>36</xdr:col>
      <xdr:colOff>57150</xdr:colOff>
      <xdr:row>137</xdr:row>
      <xdr:rowOff>38100</xdr:rowOff>
    </xdr:to>
    <xdr:cxnSp macro="">
      <xdr:nvCxnSpPr>
        <xdr:cNvPr id="887215" name="Connecteur droit 634">
          <a:extLst>
            <a:ext uri="{FF2B5EF4-FFF2-40B4-BE49-F238E27FC236}">
              <a16:creationId xmlns="" xmlns:a16="http://schemas.microsoft.com/office/drawing/2014/main" id="{00000000-0008-0000-2400-0000AF890D00}"/>
            </a:ext>
          </a:extLst>
        </xdr:cNvPr>
        <xdr:cNvCxnSpPr>
          <a:cxnSpLocks noChangeShapeType="1"/>
        </xdr:cNvCxnSpPr>
      </xdr:nvCxnSpPr>
      <xdr:spPr bwMode="auto">
        <a:xfrm rot="10800000">
          <a:off x="4806950" y="13296900"/>
          <a:ext cx="27940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39</xdr:col>
      <xdr:colOff>19050</xdr:colOff>
      <xdr:row>127</xdr:row>
      <xdr:rowOff>38100</xdr:rowOff>
    </xdr:from>
    <xdr:to>
      <xdr:col>46</xdr:col>
      <xdr:colOff>25400</xdr:colOff>
      <xdr:row>133</xdr:row>
      <xdr:rowOff>12700</xdr:rowOff>
    </xdr:to>
    <xdr:cxnSp macro="">
      <xdr:nvCxnSpPr>
        <xdr:cNvPr id="887216" name="Connecteur droit avec flèche 635">
          <a:extLst>
            <a:ext uri="{FF2B5EF4-FFF2-40B4-BE49-F238E27FC236}">
              <a16:creationId xmlns="" xmlns:a16="http://schemas.microsoft.com/office/drawing/2014/main" id="{00000000-0008-0000-2400-0000B0890D00}"/>
            </a:ext>
          </a:extLst>
        </xdr:cNvPr>
        <xdr:cNvCxnSpPr>
          <a:cxnSpLocks noChangeShapeType="1"/>
          <a:endCxn id="887048" idx="3"/>
        </xdr:cNvCxnSpPr>
      </xdr:nvCxnSpPr>
      <xdr:spPr bwMode="auto">
        <a:xfrm rot="10800000">
          <a:off x="5467350" y="12344400"/>
          <a:ext cx="984250" cy="5461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39</xdr:col>
      <xdr:colOff>19050</xdr:colOff>
      <xdr:row>133</xdr:row>
      <xdr:rowOff>31750</xdr:rowOff>
    </xdr:from>
    <xdr:to>
      <xdr:col>46</xdr:col>
      <xdr:colOff>25400</xdr:colOff>
      <xdr:row>136</xdr:row>
      <xdr:rowOff>63500</xdr:rowOff>
    </xdr:to>
    <xdr:cxnSp macro="">
      <xdr:nvCxnSpPr>
        <xdr:cNvPr id="887217" name="Connecteur droit avec flèche 636">
          <a:extLst>
            <a:ext uri="{FF2B5EF4-FFF2-40B4-BE49-F238E27FC236}">
              <a16:creationId xmlns="" xmlns:a16="http://schemas.microsoft.com/office/drawing/2014/main" id="{00000000-0008-0000-2400-0000B1890D00}"/>
            </a:ext>
          </a:extLst>
        </xdr:cNvPr>
        <xdr:cNvCxnSpPr>
          <a:cxnSpLocks noChangeShapeType="1"/>
          <a:endCxn id="887046" idx="3"/>
        </xdr:cNvCxnSpPr>
      </xdr:nvCxnSpPr>
      <xdr:spPr bwMode="auto">
        <a:xfrm rot="10800000" flipV="1">
          <a:off x="5467350" y="12909550"/>
          <a:ext cx="984250" cy="3175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45</xdr:col>
      <xdr:colOff>35560</xdr:colOff>
      <xdr:row>132</xdr:row>
      <xdr:rowOff>9525</xdr:rowOff>
    </xdr:from>
    <xdr:to>
      <xdr:col>59</xdr:col>
      <xdr:colOff>19802</xdr:colOff>
      <xdr:row>134</xdr:row>
      <xdr:rowOff>60498</xdr:rowOff>
    </xdr:to>
    <xdr:sp macro="" textlink="">
      <xdr:nvSpPr>
        <xdr:cNvPr id="638" name="Text Box 388">
          <a:extLst>
            <a:ext uri="{FF2B5EF4-FFF2-40B4-BE49-F238E27FC236}">
              <a16:creationId xmlns="" xmlns:a16="http://schemas.microsoft.com/office/drawing/2014/main" id="{00000000-0008-0000-2400-00007E020000}"/>
            </a:ext>
          </a:extLst>
        </xdr:cNvPr>
        <xdr:cNvSpPr txBox="1">
          <a:spLocks noChangeArrowheads="1"/>
        </xdr:cNvSpPr>
      </xdr:nvSpPr>
      <xdr:spPr bwMode="auto">
        <a:xfrm>
          <a:off x="6496050" y="12706350"/>
          <a:ext cx="1952625" cy="2095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Trous</a:t>
          </a:r>
          <a:r>
            <a:rPr lang="fr-FR" sz="1000" b="1" i="0" strike="noStrike" baseline="0">
              <a:solidFill>
                <a:srgbClr val="000000"/>
              </a:solidFill>
              <a:latin typeface="Arial"/>
              <a:cs typeface="Arial"/>
            </a:rPr>
            <a:t> pour barbacanes</a:t>
          </a:r>
          <a:endParaRPr lang="fr-FR" sz="1000" b="1" i="0" strike="noStrike">
            <a:solidFill>
              <a:srgbClr val="000000"/>
            </a:solidFill>
            <a:latin typeface="Arial"/>
            <a:cs typeface="Arial"/>
          </a:endParaRPr>
        </a:p>
      </xdr:txBody>
    </xdr:sp>
    <xdr:clientData/>
  </xdr:twoCellAnchor>
  <xdr:twoCellAnchor>
    <xdr:from>
      <xdr:col>31</xdr:col>
      <xdr:colOff>35560</xdr:colOff>
      <xdr:row>118</xdr:row>
      <xdr:rowOff>60960</xdr:rowOff>
    </xdr:from>
    <xdr:to>
      <xdr:col>32</xdr:col>
      <xdr:colOff>76476</xdr:colOff>
      <xdr:row>120</xdr:row>
      <xdr:rowOff>8816</xdr:rowOff>
    </xdr:to>
    <xdr:sp macro="" textlink="">
      <xdr:nvSpPr>
        <xdr:cNvPr id="639" name="Arc plein 638">
          <a:extLst>
            <a:ext uri="{FF2B5EF4-FFF2-40B4-BE49-F238E27FC236}">
              <a16:creationId xmlns="" xmlns:a16="http://schemas.microsoft.com/office/drawing/2014/main" id="{00000000-0008-0000-2400-00007F020000}"/>
            </a:ext>
          </a:extLst>
        </xdr:cNvPr>
        <xdr:cNvSpPr/>
      </xdr:nvSpPr>
      <xdr:spPr bwMode="auto">
        <a:xfrm>
          <a:off x="4505325" y="11401425"/>
          <a:ext cx="152400" cy="161925"/>
        </a:xfrm>
        <a:prstGeom prst="blockArc">
          <a:avLst/>
        </a:prstGeom>
        <a:solidFill>
          <a:schemeClr val="tx1">
            <a:lumMod val="65000"/>
            <a:lumOff val="3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p>
      </xdr:txBody>
    </xdr:sp>
    <xdr:clientData/>
  </xdr:twoCellAnchor>
  <xdr:twoCellAnchor>
    <xdr:from>
      <xdr:col>36</xdr:col>
      <xdr:colOff>57785</xdr:colOff>
      <xdr:row>118</xdr:row>
      <xdr:rowOff>60960</xdr:rowOff>
    </xdr:from>
    <xdr:to>
      <xdr:col>37</xdr:col>
      <xdr:colOff>37277</xdr:colOff>
      <xdr:row>120</xdr:row>
      <xdr:rowOff>8816</xdr:rowOff>
    </xdr:to>
    <xdr:sp macro="" textlink="">
      <xdr:nvSpPr>
        <xdr:cNvPr id="640" name="Arc plein 639">
          <a:extLst>
            <a:ext uri="{FF2B5EF4-FFF2-40B4-BE49-F238E27FC236}">
              <a16:creationId xmlns="" xmlns:a16="http://schemas.microsoft.com/office/drawing/2014/main" id="{00000000-0008-0000-2400-000080020000}"/>
            </a:ext>
          </a:extLst>
        </xdr:cNvPr>
        <xdr:cNvSpPr/>
      </xdr:nvSpPr>
      <xdr:spPr bwMode="auto">
        <a:xfrm>
          <a:off x="5200650" y="11401425"/>
          <a:ext cx="152400" cy="161925"/>
        </a:xfrm>
        <a:prstGeom prst="blockArc">
          <a:avLst/>
        </a:prstGeom>
        <a:solidFill>
          <a:schemeClr val="tx1">
            <a:lumMod val="65000"/>
            <a:lumOff val="3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p>
      </xdr:txBody>
    </xdr:sp>
    <xdr:clientData/>
  </xdr:twoCellAnchor>
  <xdr:twoCellAnchor>
    <xdr:from>
      <xdr:col>72</xdr:col>
      <xdr:colOff>57150</xdr:colOff>
      <xdr:row>87</xdr:row>
      <xdr:rowOff>38100</xdr:rowOff>
    </xdr:from>
    <xdr:to>
      <xdr:col>72</xdr:col>
      <xdr:colOff>63500</xdr:colOff>
      <xdr:row>93</xdr:row>
      <xdr:rowOff>19050</xdr:rowOff>
    </xdr:to>
    <xdr:cxnSp macro="">
      <xdr:nvCxnSpPr>
        <xdr:cNvPr id="887221" name="Connecteur droit avec flèche 640">
          <a:extLst>
            <a:ext uri="{FF2B5EF4-FFF2-40B4-BE49-F238E27FC236}">
              <a16:creationId xmlns="" xmlns:a16="http://schemas.microsoft.com/office/drawing/2014/main" id="{00000000-0008-0000-2400-0000B5890D00}"/>
            </a:ext>
          </a:extLst>
        </xdr:cNvPr>
        <xdr:cNvCxnSpPr>
          <a:cxnSpLocks noChangeShapeType="1"/>
        </xdr:cNvCxnSpPr>
      </xdr:nvCxnSpPr>
      <xdr:spPr bwMode="auto">
        <a:xfrm rot="5400000">
          <a:off x="9842500" y="8807450"/>
          <a:ext cx="552450" cy="635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70</xdr:col>
      <xdr:colOff>57150</xdr:colOff>
      <xdr:row>87</xdr:row>
      <xdr:rowOff>50800</xdr:rowOff>
    </xdr:from>
    <xdr:to>
      <xdr:col>74</xdr:col>
      <xdr:colOff>0</xdr:colOff>
      <xdr:row>87</xdr:row>
      <xdr:rowOff>50800</xdr:rowOff>
    </xdr:to>
    <xdr:cxnSp macro="">
      <xdr:nvCxnSpPr>
        <xdr:cNvPr id="887222" name="Connecteur droit 641">
          <a:extLst>
            <a:ext uri="{FF2B5EF4-FFF2-40B4-BE49-F238E27FC236}">
              <a16:creationId xmlns="" xmlns:a16="http://schemas.microsoft.com/office/drawing/2014/main" id="{00000000-0008-0000-2400-0000B6890D00}"/>
            </a:ext>
          </a:extLst>
        </xdr:cNvPr>
        <xdr:cNvCxnSpPr>
          <a:cxnSpLocks noChangeShapeType="1"/>
        </xdr:cNvCxnSpPr>
      </xdr:nvCxnSpPr>
      <xdr:spPr bwMode="auto">
        <a:xfrm rot="16200000" flipV="1">
          <a:off x="10086975" y="8296275"/>
          <a:ext cx="0" cy="5016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69</xdr:col>
      <xdr:colOff>56515</xdr:colOff>
      <xdr:row>90</xdr:row>
      <xdr:rowOff>0</xdr:rowOff>
    </xdr:from>
    <xdr:to>
      <xdr:col>84</xdr:col>
      <xdr:colOff>114884</xdr:colOff>
      <xdr:row>90</xdr:row>
      <xdr:rowOff>8255</xdr:rowOff>
    </xdr:to>
    <xdr:sp macro="" textlink="">
      <xdr:nvSpPr>
        <xdr:cNvPr id="643" name="Text Box 372">
          <a:extLst>
            <a:ext uri="{FF2B5EF4-FFF2-40B4-BE49-F238E27FC236}">
              <a16:creationId xmlns="" xmlns:a16="http://schemas.microsoft.com/office/drawing/2014/main" id="{00000000-0008-0000-2400-000083020000}"/>
            </a:ext>
          </a:extLst>
        </xdr:cNvPr>
        <xdr:cNvSpPr txBox="1">
          <a:spLocks noChangeArrowheads="1"/>
        </xdr:cNvSpPr>
      </xdr:nvSpPr>
      <xdr:spPr bwMode="auto">
        <a:xfrm>
          <a:off x="9944100" y="8686800"/>
          <a:ext cx="2200275" cy="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50cm</a:t>
          </a:r>
        </a:p>
      </xdr:txBody>
    </xdr:sp>
    <xdr:clientData/>
  </xdr:twoCellAnchor>
  <xdr:twoCellAnchor>
    <xdr:from>
      <xdr:col>90</xdr:col>
      <xdr:colOff>82550</xdr:colOff>
      <xdr:row>85</xdr:row>
      <xdr:rowOff>19050</xdr:rowOff>
    </xdr:from>
    <xdr:to>
      <xdr:col>97</xdr:col>
      <xdr:colOff>0</xdr:colOff>
      <xdr:row>91</xdr:row>
      <xdr:rowOff>19050</xdr:rowOff>
    </xdr:to>
    <xdr:cxnSp macro="">
      <xdr:nvCxnSpPr>
        <xdr:cNvPr id="887224" name="Connecteur droit avec flèche 643">
          <a:extLst>
            <a:ext uri="{FF2B5EF4-FFF2-40B4-BE49-F238E27FC236}">
              <a16:creationId xmlns="" xmlns:a16="http://schemas.microsoft.com/office/drawing/2014/main" id="{00000000-0008-0000-2400-0000B8890D00}"/>
            </a:ext>
          </a:extLst>
        </xdr:cNvPr>
        <xdr:cNvCxnSpPr>
          <a:cxnSpLocks noChangeShapeType="1"/>
        </xdr:cNvCxnSpPr>
      </xdr:nvCxnSpPr>
      <xdr:spPr bwMode="auto">
        <a:xfrm rot="10800000" flipV="1">
          <a:off x="12655550" y="8324850"/>
          <a:ext cx="895350" cy="5715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68</xdr:col>
      <xdr:colOff>25400</xdr:colOff>
      <xdr:row>11</xdr:row>
      <xdr:rowOff>31750</xdr:rowOff>
    </xdr:from>
    <xdr:to>
      <xdr:col>78</xdr:col>
      <xdr:colOff>0</xdr:colOff>
      <xdr:row>16</xdr:row>
      <xdr:rowOff>57150</xdr:rowOff>
    </xdr:to>
    <xdr:grpSp>
      <xdr:nvGrpSpPr>
        <xdr:cNvPr id="887225" name="Groupe 644">
          <a:extLst>
            <a:ext uri="{FF2B5EF4-FFF2-40B4-BE49-F238E27FC236}">
              <a16:creationId xmlns="" xmlns:a16="http://schemas.microsoft.com/office/drawing/2014/main" id="{00000000-0008-0000-2400-0000B9890D00}"/>
            </a:ext>
          </a:extLst>
        </xdr:cNvPr>
        <xdr:cNvGrpSpPr>
          <a:grpSpLocks/>
        </xdr:cNvGrpSpPr>
      </xdr:nvGrpSpPr>
      <xdr:grpSpPr bwMode="auto">
        <a:xfrm>
          <a:off x="8229600" y="1289050"/>
          <a:ext cx="1181100" cy="501650"/>
          <a:chOff x="7810500" y="1704976"/>
          <a:chExt cx="1104900" cy="514350"/>
        </a:xfrm>
      </xdr:grpSpPr>
      <xdr:sp macro="" textlink="">
        <xdr:nvSpPr>
          <xdr:cNvPr id="646" name="Ellipse 645">
            <a:extLst>
              <a:ext uri="{FF2B5EF4-FFF2-40B4-BE49-F238E27FC236}">
                <a16:creationId xmlns="" xmlns:a16="http://schemas.microsoft.com/office/drawing/2014/main" id="{00000000-0008-0000-2400-000086020000}"/>
              </a:ext>
            </a:extLst>
          </xdr:cNvPr>
          <xdr:cNvSpPr/>
        </xdr:nvSpPr>
        <xdr:spPr bwMode="auto">
          <a:xfrm>
            <a:off x="7810500" y="1822170"/>
            <a:ext cx="363185" cy="332049"/>
          </a:xfrm>
          <a:prstGeom prst="ellipse">
            <a:avLst/>
          </a:prstGeom>
          <a:solidFill>
            <a:schemeClr val="accent2">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647" name="Organigramme : Délai 646">
            <a:extLst>
              <a:ext uri="{FF2B5EF4-FFF2-40B4-BE49-F238E27FC236}">
                <a16:creationId xmlns="" xmlns:a16="http://schemas.microsoft.com/office/drawing/2014/main" id="{00000000-0008-0000-2400-000087020000}"/>
              </a:ext>
            </a:extLst>
          </xdr:cNvPr>
          <xdr:cNvSpPr/>
        </xdr:nvSpPr>
        <xdr:spPr bwMode="auto">
          <a:xfrm>
            <a:off x="8004881" y="1822170"/>
            <a:ext cx="803099" cy="319027"/>
          </a:xfrm>
          <a:prstGeom prst="flowChartDelay">
            <a:avLst/>
          </a:prstGeom>
          <a:solidFill>
            <a:schemeClr val="accent2">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648" name="Ellipse 647">
            <a:extLst>
              <a:ext uri="{FF2B5EF4-FFF2-40B4-BE49-F238E27FC236}">
                <a16:creationId xmlns="" xmlns:a16="http://schemas.microsoft.com/office/drawing/2014/main" id="{00000000-0008-0000-2400-000088020000}"/>
              </a:ext>
            </a:extLst>
          </xdr:cNvPr>
          <xdr:cNvSpPr/>
        </xdr:nvSpPr>
        <xdr:spPr bwMode="auto">
          <a:xfrm>
            <a:off x="8388526" y="1704976"/>
            <a:ext cx="526874" cy="514350"/>
          </a:xfrm>
          <a:prstGeom prst="ellipse">
            <a:avLst/>
          </a:prstGeom>
          <a:solidFill>
            <a:schemeClr val="accent1">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grpSp>
    <xdr:clientData/>
  </xdr:twoCellAnchor>
  <xdr:twoCellAnchor>
    <xdr:from>
      <xdr:col>68</xdr:col>
      <xdr:colOff>6350</xdr:colOff>
      <xdr:row>10</xdr:row>
      <xdr:rowOff>12700</xdr:rowOff>
    </xdr:from>
    <xdr:to>
      <xdr:col>78</xdr:col>
      <xdr:colOff>25400</xdr:colOff>
      <xdr:row>10</xdr:row>
      <xdr:rowOff>12700</xdr:rowOff>
    </xdr:to>
    <xdr:cxnSp macro="">
      <xdr:nvCxnSpPr>
        <xdr:cNvPr id="887226" name="Connecteur droit avec flèche 648">
          <a:extLst>
            <a:ext uri="{FF2B5EF4-FFF2-40B4-BE49-F238E27FC236}">
              <a16:creationId xmlns="" xmlns:a16="http://schemas.microsoft.com/office/drawing/2014/main" id="{00000000-0008-0000-2400-0000BA890D00}"/>
            </a:ext>
          </a:extLst>
        </xdr:cNvPr>
        <xdr:cNvCxnSpPr>
          <a:cxnSpLocks noChangeShapeType="1"/>
        </xdr:cNvCxnSpPr>
      </xdr:nvCxnSpPr>
      <xdr:spPr bwMode="auto">
        <a:xfrm>
          <a:off x="9505950" y="1174750"/>
          <a:ext cx="141605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72</xdr:col>
      <xdr:colOff>0</xdr:colOff>
      <xdr:row>8</xdr:row>
      <xdr:rowOff>0</xdr:rowOff>
    </xdr:from>
    <xdr:to>
      <xdr:col>76</xdr:col>
      <xdr:colOff>57997</xdr:colOff>
      <xdr:row>10</xdr:row>
      <xdr:rowOff>72308</xdr:rowOff>
    </xdr:to>
    <xdr:sp macro="" textlink="">
      <xdr:nvSpPr>
        <xdr:cNvPr id="650" name="TextBox 311">
          <a:extLst>
            <a:ext uri="{FF2B5EF4-FFF2-40B4-BE49-F238E27FC236}">
              <a16:creationId xmlns="" xmlns:a16="http://schemas.microsoft.com/office/drawing/2014/main" id="{00000000-0008-0000-2400-00008A020000}"/>
            </a:ext>
          </a:extLst>
        </xdr:cNvPr>
        <xdr:cNvSpPr txBox="1"/>
      </xdr:nvSpPr>
      <xdr:spPr>
        <a:xfrm>
          <a:off x="10287000" y="876300"/>
          <a:ext cx="6286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28</a:t>
          </a:r>
        </a:p>
      </xdr:txBody>
    </xdr:sp>
    <xdr:clientData/>
  </xdr:twoCellAnchor>
  <xdr:twoCellAnchor>
    <xdr:from>
      <xdr:col>73</xdr:col>
      <xdr:colOff>44450</xdr:colOff>
      <xdr:row>14</xdr:row>
      <xdr:rowOff>12700</xdr:rowOff>
    </xdr:from>
    <xdr:to>
      <xdr:col>78</xdr:col>
      <xdr:colOff>6350</xdr:colOff>
      <xdr:row>14</xdr:row>
      <xdr:rowOff>19050</xdr:rowOff>
    </xdr:to>
    <xdr:cxnSp macro="">
      <xdr:nvCxnSpPr>
        <xdr:cNvPr id="887228" name="Connecteur droit avec flèche 650">
          <a:extLst>
            <a:ext uri="{FF2B5EF4-FFF2-40B4-BE49-F238E27FC236}">
              <a16:creationId xmlns="" xmlns:a16="http://schemas.microsoft.com/office/drawing/2014/main" id="{00000000-0008-0000-2400-0000BC890D00}"/>
            </a:ext>
          </a:extLst>
        </xdr:cNvPr>
        <xdr:cNvCxnSpPr>
          <a:cxnSpLocks noChangeShapeType="1"/>
          <a:stCxn id="648" idx="2"/>
        </xdr:cNvCxnSpPr>
      </xdr:nvCxnSpPr>
      <xdr:spPr bwMode="auto">
        <a:xfrm rot="10800000" flipH="1" flipV="1">
          <a:off x="10242550" y="1555750"/>
          <a:ext cx="660400" cy="635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73</xdr:col>
      <xdr:colOff>56515</xdr:colOff>
      <xdr:row>12</xdr:row>
      <xdr:rowOff>9525</xdr:rowOff>
    </xdr:from>
    <xdr:to>
      <xdr:col>78</xdr:col>
      <xdr:colOff>20583</xdr:colOff>
      <xdr:row>15</xdr:row>
      <xdr:rowOff>247</xdr:rowOff>
    </xdr:to>
    <xdr:sp macro="" textlink="">
      <xdr:nvSpPr>
        <xdr:cNvPr id="652" name="TextBox 311">
          <a:extLst>
            <a:ext uri="{FF2B5EF4-FFF2-40B4-BE49-F238E27FC236}">
              <a16:creationId xmlns="" xmlns:a16="http://schemas.microsoft.com/office/drawing/2014/main" id="{00000000-0008-0000-2400-00008C020000}"/>
            </a:ext>
          </a:extLst>
        </xdr:cNvPr>
        <xdr:cNvSpPr txBox="1"/>
      </xdr:nvSpPr>
      <xdr:spPr>
        <a:xfrm>
          <a:off x="10515600" y="1266825"/>
          <a:ext cx="657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D=15</a:t>
          </a:r>
        </a:p>
      </xdr:txBody>
    </xdr:sp>
    <xdr:clientData/>
  </xdr:twoCellAnchor>
  <xdr:twoCellAnchor>
    <xdr:from>
      <xdr:col>67</xdr:col>
      <xdr:colOff>0</xdr:colOff>
      <xdr:row>12</xdr:row>
      <xdr:rowOff>63500</xdr:rowOff>
    </xdr:from>
    <xdr:to>
      <xdr:col>67</xdr:col>
      <xdr:colOff>6350</xdr:colOff>
      <xdr:row>16</xdr:row>
      <xdr:rowOff>12700</xdr:rowOff>
    </xdr:to>
    <xdr:cxnSp macro="">
      <xdr:nvCxnSpPr>
        <xdr:cNvPr id="887230" name="Connecteur droit avec flèche 652">
          <a:extLst>
            <a:ext uri="{FF2B5EF4-FFF2-40B4-BE49-F238E27FC236}">
              <a16:creationId xmlns="" xmlns:a16="http://schemas.microsoft.com/office/drawing/2014/main" id="{00000000-0008-0000-2400-0000BE890D00}"/>
            </a:ext>
          </a:extLst>
        </xdr:cNvPr>
        <xdr:cNvCxnSpPr>
          <a:cxnSpLocks noChangeShapeType="1"/>
        </xdr:cNvCxnSpPr>
      </xdr:nvCxnSpPr>
      <xdr:spPr bwMode="auto">
        <a:xfrm rot="5400000">
          <a:off x="9197975" y="1577975"/>
          <a:ext cx="330200" cy="635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64</xdr:col>
      <xdr:colOff>60960</xdr:colOff>
      <xdr:row>13</xdr:row>
      <xdr:rowOff>61595</xdr:rowOff>
    </xdr:from>
    <xdr:to>
      <xdr:col>68</xdr:col>
      <xdr:colOff>95948</xdr:colOff>
      <xdr:row>16</xdr:row>
      <xdr:rowOff>326</xdr:rowOff>
    </xdr:to>
    <xdr:sp macro="" textlink="">
      <xdr:nvSpPr>
        <xdr:cNvPr id="654" name="TextBox 311">
          <a:extLst>
            <a:ext uri="{FF2B5EF4-FFF2-40B4-BE49-F238E27FC236}">
              <a16:creationId xmlns="" xmlns:a16="http://schemas.microsoft.com/office/drawing/2014/main" id="{00000000-0008-0000-2400-00008E020000}"/>
            </a:ext>
          </a:extLst>
        </xdr:cNvPr>
        <xdr:cNvSpPr txBox="1"/>
      </xdr:nvSpPr>
      <xdr:spPr>
        <a:xfrm>
          <a:off x="9182100" y="1362075"/>
          <a:ext cx="6286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7,5</a:t>
          </a:r>
        </a:p>
      </xdr:txBody>
    </xdr:sp>
    <xdr:clientData/>
  </xdr:twoCellAnchor>
  <xdr:twoCellAnchor>
    <xdr:from>
      <xdr:col>68</xdr:col>
      <xdr:colOff>44450</xdr:colOff>
      <xdr:row>18</xdr:row>
      <xdr:rowOff>63500</xdr:rowOff>
    </xdr:from>
    <xdr:to>
      <xdr:col>74</xdr:col>
      <xdr:colOff>0</xdr:colOff>
      <xdr:row>18</xdr:row>
      <xdr:rowOff>63500</xdr:rowOff>
    </xdr:to>
    <xdr:cxnSp macro="">
      <xdr:nvCxnSpPr>
        <xdr:cNvPr id="887232" name="Connecteur droit avec flèche 654">
          <a:extLst>
            <a:ext uri="{FF2B5EF4-FFF2-40B4-BE49-F238E27FC236}">
              <a16:creationId xmlns="" xmlns:a16="http://schemas.microsoft.com/office/drawing/2014/main" id="{00000000-0008-0000-2400-0000C0890D00}"/>
            </a:ext>
          </a:extLst>
        </xdr:cNvPr>
        <xdr:cNvCxnSpPr>
          <a:cxnSpLocks noChangeShapeType="1"/>
        </xdr:cNvCxnSpPr>
      </xdr:nvCxnSpPr>
      <xdr:spPr bwMode="auto">
        <a:xfrm>
          <a:off x="9544050" y="1987550"/>
          <a:ext cx="79375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70</xdr:col>
      <xdr:colOff>60960</xdr:colOff>
      <xdr:row>16</xdr:row>
      <xdr:rowOff>57785</xdr:rowOff>
    </xdr:from>
    <xdr:to>
      <xdr:col>74</xdr:col>
      <xdr:colOff>95948</xdr:colOff>
      <xdr:row>19</xdr:row>
      <xdr:rowOff>48078</xdr:rowOff>
    </xdr:to>
    <xdr:sp macro="" textlink="">
      <xdr:nvSpPr>
        <xdr:cNvPr id="656" name="TextBox 311">
          <a:extLst>
            <a:ext uri="{FF2B5EF4-FFF2-40B4-BE49-F238E27FC236}">
              <a16:creationId xmlns="" xmlns:a16="http://schemas.microsoft.com/office/drawing/2014/main" id="{00000000-0008-0000-2400-000090020000}"/>
            </a:ext>
          </a:extLst>
        </xdr:cNvPr>
        <xdr:cNvSpPr txBox="1"/>
      </xdr:nvSpPr>
      <xdr:spPr>
        <a:xfrm>
          <a:off x="10039350" y="1714500"/>
          <a:ext cx="6286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13</a:t>
          </a:r>
        </a:p>
      </xdr:txBody>
    </xdr:sp>
    <xdr:clientData/>
  </xdr:twoCellAnchor>
  <xdr:twoCellAnchor>
    <xdr:from>
      <xdr:col>80</xdr:col>
      <xdr:colOff>6350</xdr:colOff>
      <xdr:row>11</xdr:row>
      <xdr:rowOff>50800</xdr:rowOff>
    </xdr:from>
    <xdr:to>
      <xdr:col>80</xdr:col>
      <xdr:colOff>6350</xdr:colOff>
      <xdr:row>16</xdr:row>
      <xdr:rowOff>31750</xdr:rowOff>
    </xdr:to>
    <xdr:cxnSp macro="">
      <xdr:nvCxnSpPr>
        <xdr:cNvPr id="887234" name="Connecteur droit avec flèche 656">
          <a:extLst>
            <a:ext uri="{FF2B5EF4-FFF2-40B4-BE49-F238E27FC236}">
              <a16:creationId xmlns="" xmlns:a16="http://schemas.microsoft.com/office/drawing/2014/main" id="{00000000-0008-0000-2400-0000C2890D00}"/>
            </a:ext>
          </a:extLst>
        </xdr:cNvPr>
        <xdr:cNvCxnSpPr>
          <a:cxnSpLocks noChangeShapeType="1"/>
        </xdr:cNvCxnSpPr>
      </xdr:nvCxnSpPr>
      <xdr:spPr bwMode="auto">
        <a:xfrm rot="16200000" flipH="1">
          <a:off x="10953750" y="1536700"/>
          <a:ext cx="4572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79</xdr:col>
      <xdr:colOff>35560</xdr:colOff>
      <xdr:row>12</xdr:row>
      <xdr:rowOff>57785</xdr:rowOff>
    </xdr:from>
    <xdr:to>
      <xdr:col>84</xdr:col>
      <xdr:colOff>840</xdr:colOff>
      <xdr:row>15</xdr:row>
      <xdr:rowOff>60964</xdr:rowOff>
    </xdr:to>
    <xdr:sp macro="" textlink="">
      <xdr:nvSpPr>
        <xdr:cNvPr id="658" name="TextBox 311">
          <a:extLst>
            <a:ext uri="{FF2B5EF4-FFF2-40B4-BE49-F238E27FC236}">
              <a16:creationId xmlns="" xmlns:a16="http://schemas.microsoft.com/office/drawing/2014/main" id="{00000000-0008-0000-2400-000092020000}"/>
            </a:ext>
          </a:extLst>
        </xdr:cNvPr>
        <xdr:cNvSpPr txBox="1"/>
      </xdr:nvSpPr>
      <xdr:spPr>
        <a:xfrm>
          <a:off x="11353800" y="1314450"/>
          <a:ext cx="657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15</a:t>
          </a:r>
        </a:p>
      </xdr:txBody>
    </xdr:sp>
    <xdr:clientData/>
  </xdr:twoCellAnchor>
  <xdr:twoCellAnchor>
    <xdr:from>
      <xdr:col>10</xdr:col>
      <xdr:colOff>3175</xdr:colOff>
      <xdr:row>29</xdr:row>
      <xdr:rowOff>0</xdr:rowOff>
    </xdr:from>
    <xdr:to>
      <xdr:col>12</xdr:col>
      <xdr:colOff>61038</xdr:colOff>
      <xdr:row>33</xdr:row>
      <xdr:rowOff>60954</xdr:rowOff>
    </xdr:to>
    <xdr:grpSp>
      <xdr:nvGrpSpPr>
        <xdr:cNvPr id="372" name="Groupe 658">
          <a:extLst>
            <a:ext uri="{FF2B5EF4-FFF2-40B4-BE49-F238E27FC236}">
              <a16:creationId xmlns="" xmlns:a16="http://schemas.microsoft.com/office/drawing/2014/main" id="{00000000-0008-0000-2400-000074010000}"/>
            </a:ext>
          </a:extLst>
        </xdr:cNvPr>
        <xdr:cNvGrpSpPr/>
      </xdr:nvGrpSpPr>
      <xdr:grpSpPr>
        <a:xfrm rot="16200000">
          <a:off x="1138280" y="3043195"/>
          <a:ext cx="441954" cy="299163"/>
          <a:chOff x="7810500" y="1704976"/>
          <a:chExt cx="1104900" cy="514350"/>
        </a:xfrm>
        <a:solidFill>
          <a:schemeClr val="tx2">
            <a:lumMod val="60000"/>
            <a:lumOff val="40000"/>
          </a:schemeClr>
        </a:solidFill>
      </xdr:grpSpPr>
      <xdr:sp macro="" textlink="">
        <xdr:nvSpPr>
          <xdr:cNvPr id="660" name="Ellipse 659">
            <a:extLst>
              <a:ext uri="{FF2B5EF4-FFF2-40B4-BE49-F238E27FC236}">
                <a16:creationId xmlns="" xmlns:a16="http://schemas.microsoft.com/office/drawing/2014/main" id="{00000000-0008-0000-2400-000094020000}"/>
              </a:ext>
            </a:extLst>
          </xdr:cNvPr>
          <xdr:cNvSpPr/>
        </xdr:nvSpPr>
        <xdr:spPr bwMode="auto">
          <a:xfrm>
            <a:off x="8915399" y="1681212"/>
            <a:ext cx="317504" cy="389715"/>
          </a:xfrm>
          <a:prstGeom prst="ellipse">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661" name="Organigramme : Délai 660">
            <a:extLst>
              <a:ext uri="{FF2B5EF4-FFF2-40B4-BE49-F238E27FC236}">
                <a16:creationId xmlns="" xmlns:a16="http://schemas.microsoft.com/office/drawing/2014/main" id="{00000000-0008-0000-2400-000095020000}"/>
              </a:ext>
            </a:extLst>
          </xdr:cNvPr>
          <xdr:cNvSpPr/>
        </xdr:nvSpPr>
        <xdr:spPr bwMode="auto">
          <a:xfrm>
            <a:off x="9042400" y="1681212"/>
            <a:ext cx="714385" cy="389715"/>
          </a:xfrm>
          <a:prstGeom prst="flowChartDelay">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662" name="Ellipse 661">
            <a:extLst>
              <a:ext uri="{FF2B5EF4-FFF2-40B4-BE49-F238E27FC236}">
                <a16:creationId xmlns="" xmlns:a16="http://schemas.microsoft.com/office/drawing/2014/main" id="{00000000-0008-0000-2400-000096020000}"/>
              </a:ext>
            </a:extLst>
          </xdr:cNvPr>
          <xdr:cNvSpPr/>
        </xdr:nvSpPr>
        <xdr:spPr bwMode="auto">
          <a:xfrm>
            <a:off x="9344030" y="1576655"/>
            <a:ext cx="460381" cy="570314"/>
          </a:xfrm>
          <a:prstGeom prst="ellipse">
            <a:avLst/>
          </a:prstGeom>
          <a:solidFill>
            <a:schemeClr val="accent1">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grpSp>
    <xdr:clientData/>
  </xdr:twoCellAnchor>
  <xdr:twoCellAnchor>
    <xdr:from>
      <xdr:col>19</xdr:col>
      <xdr:colOff>19685</xdr:colOff>
      <xdr:row>29</xdr:row>
      <xdr:rowOff>0</xdr:rowOff>
    </xdr:from>
    <xdr:to>
      <xdr:col>21</xdr:col>
      <xdr:colOff>18638</xdr:colOff>
      <xdr:row>33</xdr:row>
      <xdr:rowOff>60954</xdr:rowOff>
    </xdr:to>
    <xdr:grpSp>
      <xdr:nvGrpSpPr>
        <xdr:cNvPr id="371" name="Groupe 662">
          <a:extLst>
            <a:ext uri="{FF2B5EF4-FFF2-40B4-BE49-F238E27FC236}">
              <a16:creationId xmlns="" xmlns:a16="http://schemas.microsoft.com/office/drawing/2014/main" id="{00000000-0008-0000-2400-000073010000}"/>
            </a:ext>
          </a:extLst>
        </xdr:cNvPr>
        <xdr:cNvGrpSpPr/>
      </xdr:nvGrpSpPr>
      <xdr:grpSpPr>
        <a:xfrm rot="16200000">
          <a:off x="2211185" y="3072650"/>
          <a:ext cx="441954" cy="240253"/>
          <a:chOff x="7810500" y="1704976"/>
          <a:chExt cx="1104900" cy="514350"/>
        </a:xfrm>
        <a:solidFill>
          <a:schemeClr val="tx2">
            <a:lumMod val="60000"/>
            <a:lumOff val="40000"/>
          </a:schemeClr>
        </a:solidFill>
      </xdr:grpSpPr>
      <xdr:sp macro="" textlink="">
        <xdr:nvSpPr>
          <xdr:cNvPr id="664" name="Ellipse 663">
            <a:extLst>
              <a:ext uri="{FF2B5EF4-FFF2-40B4-BE49-F238E27FC236}">
                <a16:creationId xmlns="" xmlns:a16="http://schemas.microsoft.com/office/drawing/2014/main" id="{00000000-0008-0000-2400-000098020000}"/>
              </a:ext>
            </a:extLst>
          </xdr:cNvPr>
          <xdr:cNvSpPr/>
        </xdr:nvSpPr>
        <xdr:spPr bwMode="auto">
          <a:xfrm>
            <a:off x="8915400" y="1310548"/>
            <a:ext cx="317504" cy="434340"/>
          </a:xfrm>
          <a:prstGeom prst="ellipse">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665" name="Organigramme : Délai 664">
            <a:extLst>
              <a:ext uri="{FF2B5EF4-FFF2-40B4-BE49-F238E27FC236}">
                <a16:creationId xmlns="" xmlns:a16="http://schemas.microsoft.com/office/drawing/2014/main" id="{00000000-0008-0000-2400-000099020000}"/>
              </a:ext>
            </a:extLst>
          </xdr:cNvPr>
          <xdr:cNvSpPr/>
        </xdr:nvSpPr>
        <xdr:spPr bwMode="auto">
          <a:xfrm>
            <a:off x="9042402" y="1310548"/>
            <a:ext cx="714385" cy="434340"/>
          </a:xfrm>
          <a:prstGeom prst="flowChartDelay">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666" name="Ellipse 665">
            <a:extLst>
              <a:ext uri="{FF2B5EF4-FFF2-40B4-BE49-F238E27FC236}">
                <a16:creationId xmlns="" xmlns:a16="http://schemas.microsoft.com/office/drawing/2014/main" id="{00000000-0008-0000-2400-00009A020000}"/>
              </a:ext>
            </a:extLst>
          </xdr:cNvPr>
          <xdr:cNvSpPr/>
        </xdr:nvSpPr>
        <xdr:spPr bwMode="auto">
          <a:xfrm>
            <a:off x="9344031" y="1216637"/>
            <a:ext cx="460381" cy="598685"/>
          </a:xfrm>
          <a:prstGeom prst="ellipse">
            <a:avLst/>
          </a:prstGeom>
          <a:solidFill>
            <a:schemeClr val="accent1">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grpSp>
    <xdr:clientData/>
  </xdr:twoCellAnchor>
  <xdr:twoCellAnchor>
    <xdr:from>
      <xdr:col>11</xdr:col>
      <xdr:colOff>6350</xdr:colOff>
      <xdr:row>26</xdr:row>
      <xdr:rowOff>31750</xdr:rowOff>
    </xdr:from>
    <xdr:to>
      <xdr:col>11</xdr:col>
      <xdr:colOff>19050</xdr:colOff>
      <xdr:row>28</xdr:row>
      <xdr:rowOff>63500</xdr:rowOff>
    </xdr:to>
    <xdr:cxnSp macro="">
      <xdr:nvCxnSpPr>
        <xdr:cNvPr id="887238" name="Connecteur droit avec flèche 666">
          <a:extLst>
            <a:ext uri="{FF2B5EF4-FFF2-40B4-BE49-F238E27FC236}">
              <a16:creationId xmlns="" xmlns:a16="http://schemas.microsoft.com/office/drawing/2014/main" id="{00000000-0008-0000-2400-0000C6890D00}"/>
            </a:ext>
          </a:extLst>
        </xdr:cNvPr>
        <xdr:cNvCxnSpPr>
          <a:cxnSpLocks noChangeShapeType="1"/>
        </xdr:cNvCxnSpPr>
      </xdr:nvCxnSpPr>
      <xdr:spPr bwMode="auto">
        <a:xfrm rot="16200000" flipH="1">
          <a:off x="1438275" y="2822575"/>
          <a:ext cx="222250" cy="12700"/>
        </a:xfrm>
        <a:prstGeom prst="straightConnector1">
          <a:avLst/>
        </a:prstGeom>
        <a:noFill/>
        <a:ln w="12700"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11</xdr:col>
      <xdr:colOff>35561</xdr:colOff>
      <xdr:row>26</xdr:row>
      <xdr:rowOff>57786</xdr:rowOff>
    </xdr:from>
    <xdr:to>
      <xdr:col>13</xdr:col>
      <xdr:colOff>114295</xdr:colOff>
      <xdr:row>32</xdr:row>
      <xdr:rowOff>497</xdr:rowOff>
    </xdr:to>
    <xdr:sp macro="" textlink="">
      <xdr:nvSpPr>
        <xdr:cNvPr id="668" name="Text Box 507">
          <a:extLst>
            <a:ext uri="{FF2B5EF4-FFF2-40B4-BE49-F238E27FC236}">
              <a16:creationId xmlns="" xmlns:a16="http://schemas.microsoft.com/office/drawing/2014/main" id="{00000000-0008-0000-2400-00009C020000}"/>
            </a:ext>
          </a:extLst>
        </xdr:cNvPr>
        <xdr:cNvSpPr txBox="1">
          <a:spLocks noChangeArrowheads="1"/>
        </xdr:cNvSpPr>
      </xdr:nvSpPr>
      <xdr:spPr bwMode="auto">
        <a:xfrm>
          <a:off x="1638301" y="2667001"/>
          <a:ext cx="361950" cy="4953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25</a:t>
          </a:r>
        </a:p>
      </xdr:txBody>
    </xdr:sp>
    <xdr:clientData/>
  </xdr:twoCellAnchor>
  <xdr:twoCellAnchor>
    <xdr:from>
      <xdr:col>10</xdr:col>
      <xdr:colOff>63500</xdr:colOff>
      <xdr:row>33</xdr:row>
      <xdr:rowOff>19050</xdr:rowOff>
    </xdr:from>
    <xdr:to>
      <xdr:col>10</xdr:col>
      <xdr:colOff>76200</xdr:colOff>
      <xdr:row>36</xdr:row>
      <xdr:rowOff>19050</xdr:rowOff>
    </xdr:to>
    <xdr:cxnSp macro="">
      <xdr:nvCxnSpPr>
        <xdr:cNvPr id="887240" name="Connecteur droit avec flèche 668">
          <a:extLst>
            <a:ext uri="{FF2B5EF4-FFF2-40B4-BE49-F238E27FC236}">
              <a16:creationId xmlns="" xmlns:a16="http://schemas.microsoft.com/office/drawing/2014/main" id="{00000000-0008-0000-2400-0000C8890D00}"/>
            </a:ext>
          </a:extLst>
        </xdr:cNvPr>
        <xdr:cNvCxnSpPr>
          <a:cxnSpLocks noChangeShapeType="1"/>
        </xdr:cNvCxnSpPr>
      </xdr:nvCxnSpPr>
      <xdr:spPr bwMode="auto">
        <a:xfrm rot="5400000">
          <a:off x="1323975" y="3508375"/>
          <a:ext cx="285750" cy="12700"/>
        </a:xfrm>
        <a:prstGeom prst="straightConnector1">
          <a:avLst/>
        </a:prstGeom>
        <a:noFill/>
        <a:ln w="12700"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10</xdr:col>
      <xdr:colOff>80010</xdr:colOff>
      <xdr:row>33</xdr:row>
      <xdr:rowOff>47627</xdr:rowOff>
    </xdr:from>
    <xdr:to>
      <xdr:col>11</xdr:col>
      <xdr:colOff>114525</xdr:colOff>
      <xdr:row>36</xdr:row>
      <xdr:rowOff>76939</xdr:rowOff>
    </xdr:to>
    <xdr:sp macro="" textlink="">
      <xdr:nvSpPr>
        <xdr:cNvPr id="670" name="Text Box 507">
          <a:extLst>
            <a:ext uri="{FF2B5EF4-FFF2-40B4-BE49-F238E27FC236}">
              <a16:creationId xmlns="" xmlns:a16="http://schemas.microsoft.com/office/drawing/2014/main" id="{00000000-0008-0000-2400-00009E020000}"/>
            </a:ext>
          </a:extLst>
        </xdr:cNvPr>
        <xdr:cNvSpPr txBox="1">
          <a:spLocks noChangeArrowheads="1"/>
        </xdr:cNvSpPr>
      </xdr:nvSpPr>
      <xdr:spPr bwMode="auto">
        <a:xfrm>
          <a:off x="1533525" y="3324227"/>
          <a:ext cx="180975" cy="314324"/>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67</a:t>
          </a:r>
        </a:p>
      </xdr:txBody>
    </xdr:sp>
    <xdr:clientData/>
  </xdr:twoCellAnchor>
  <xdr:twoCellAnchor>
    <xdr:from>
      <xdr:col>20</xdr:col>
      <xdr:colOff>6350</xdr:colOff>
      <xdr:row>29</xdr:row>
      <xdr:rowOff>12700</xdr:rowOff>
    </xdr:from>
    <xdr:to>
      <xdr:col>20</xdr:col>
      <xdr:colOff>6350</xdr:colOff>
      <xdr:row>33</xdr:row>
      <xdr:rowOff>50800</xdr:rowOff>
    </xdr:to>
    <xdr:cxnSp macro="">
      <xdr:nvCxnSpPr>
        <xdr:cNvPr id="887242" name="Connecteur droit avec flèche 670">
          <a:extLst>
            <a:ext uri="{FF2B5EF4-FFF2-40B4-BE49-F238E27FC236}">
              <a16:creationId xmlns="" xmlns:a16="http://schemas.microsoft.com/office/drawing/2014/main" id="{00000000-0008-0000-2400-0000CA890D00}"/>
            </a:ext>
          </a:extLst>
        </xdr:cNvPr>
        <xdr:cNvCxnSpPr>
          <a:cxnSpLocks noChangeShapeType="1"/>
        </xdr:cNvCxnSpPr>
      </xdr:nvCxnSpPr>
      <xdr:spPr bwMode="auto">
        <a:xfrm rot="5400000">
          <a:off x="2590800" y="3194050"/>
          <a:ext cx="4191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18</xdr:col>
      <xdr:colOff>57785</xdr:colOff>
      <xdr:row>30</xdr:row>
      <xdr:rowOff>9526</xdr:rowOff>
    </xdr:from>
    <xdr:to>
      <xdr:col>20</xdr:col>
      <xdr:colOff>2334</xdr:colOff>
      <xdr:row>34</xdr:row>
      <xdr:rowOff>182</xdr:rowOff>
    </xdr:to>
    <xdr:sp macro="" textlink="">
      <xdr:nvSpPr>
        <xdr:cNvPr id="672" name="Text Box 507">
          <a:extLst>
            <a:ext uri="{FF2B5EF4-FFF2-40B4-BE49-F238E27FC236}">
              <a16:creationId xmlns="" xmlns:a16="http://schemas.microsoft.com/office/drawing/2014/main" id="{00000000-0008-0000-2400-0000A0020000}"/>
            </a:ext>
          </a:extLst>
        </xdr:cNvPr>
        <xdr:cNvSpPr txBox="1">
          <a:spLocks noChangeArrowheads="1"/>
        </xdr:cNvSpPr>
      </xdr:nvSpPr>
      <xdr:spPr bwMode="auto">
        <a:xfrm>
          <a:off x="2619375" y="2990851"/>
          <a:ext cx="238125" cy="361949"/>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200" b="1" i="0" strike="noStrike">
              <a:solidFill>
                <a:sysClr val="windowText" lastClr="000000"/>
              </a:solidFill>
              <a:latin typeface="Arial"/>
              <a:cs typeface="Arial"/>
            </a:rPr>
            <a:t>28</a:t>
          </a:r>
        </a:p>
      </xdr:txBody>
    </xdr:sp>
    <xdr:clientData/>
  </xdr:twoCellAnchor>
  <xdr:twoCellAnchor>
    <xdr:from>
      <xdr:col>8</xdr:col>
      <xdr:colOff>0</xdr:colOff>
      <xdr:row>29</xdr:row>
      <xdr:rowOff>38100</xdr:rowOff>
    </xdr:from>
    <xdr:to>
      <xdr:col>10</xdr:col>
      <xdr:colOff>19050</xdr:colOff>
      <xdr:row>29</xdr:row>
      <xdr:rowOff>50800</xdr:rowOff>
    </xdr:to>
    <xdr:cxnSp macro="">
      <xdr:nvCxnSpPr>
        <xdr:cNvPr id="887244" name="Connecteur droit avec flèche 672">
          <a:extLst>
            <a:ext uri="{FF2B5EF4-FFF2-40B4-BE49-F238E27FC236}">
              <a16:creationId xmlns="" xmlns:a16="http://schemas.microsoft.com/office/drawing/2014/main" id="{00000000-0008-0000-2400-0000CC890D00}"/>
            </a:ext>
          </a:extLst>
        </xdr:cNvPr>
        <xdr:cNvCxnSpPr>
          <a:cxnSpLocks noChangeShapeType="1"/>
        </xdr:cNvCxnSpPr>
      </xdr:nvCxnSpPr>
      <xdr:spPr bwMode="auto">
        <a:xfrm>
          <a:off x="1117600" y="3009900"/>
          <a:ext cx="298450" cy="1270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8</xdr:col>
      <xdr:colOff>636</xdr:colOff>
      <xdr:row>27</xdr:row>
      <xdr:rowOff>47625</xdr:rowOff>
    </xdr:from>
    <xdr:to>
      <xdr:col>10</xdr:col>
      <xdr:colOff>166</xdr:colOff>
      <xdr:row>30</xdr:row>
      <xdr:rowOff>76938</xdr:rowOff>
    </xdr:to>
    <xdr:sp macro="" textlink="">
      <xdr:nvSpPr>
        <xdr:cNvPr id="674" name="Text Box 507">
          <a:extLst>
            <a:ext uri="{FF2B5EF4-FFF2-40B4-BE49-F238E27FC236}">
              <a16:creationId xmlns="" xmlns:a16="http://schemas.microsoft.com/office/drawing/2014/main" id="{00000000-0008-0000-2400-0000A2020000}"/>
            </a:ext>
          </a:extLst>
        </xdr:cNvPr>
        <xdr:cNvSpPr txBox="1">
          <a:spLocks noChangeArrowheads="1"/>
        </xdr:cNvSpPr>
      </xdr:nvSpPr>
      <xdr:spPr bwMode="auto">
        <a:xfrm>
          <a:off x="1152526" y="2752725"/>
          <a:ext cx="276224" cy="3143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200" b="1" i="0" strike="noStrike">
              <a:solidFill>
                <a:sysClr val="windowText" lastClr="000000"/>
              </a:solidFill>
              <a:latin typeface="Arial"/>
              <a:cs typeface="Arial"/>
            </a:rPr>
            <a:t>30</a:t>
          </a:r>
        </a:p>
      </xdr:txBody>
    </xdr:sp>
    <xdr:clientData/>
  </xdr:twoCellAnchor>
  <xdr:twoCellAnchor>
    <xdr:from>
      <xdr:col>16</xdr:col>
      <xdr:colOff>0</xdr:colOff>
      <xdr:row>120</xdr:row>
      <xdr:rowOff>38100</xdr:rowOff>
    </xdr:from>
    <xdr:to>
      <xdr:col>22</xdr:col>
      <xdr:colOff>0</xdr:colOff>
      <xdr:row>120</xdr:row>
      <xdr:rowOff>38100</xdr:rowOff>
    </xdr:to>
    <xdr:cxnSp macro="">
      <xdr:nvCxnSpPr>
        <xdr:cNvPr id="887246" name="Connecteur droit 674">
          <a:extLst>
            <a:ext uri="{FF2B5EF4-FFF2-40B4-BE49-F238E27FC236}">
              <a16:creationId xmlns="" xmlns:a16="http://schemas.microsoft.com/office/drawing/2014/main" id="{00000000-0008-0000-2400-0000CE890D00}"/>
            </a:ext>
          </a:extLst>
        </xdr:cNvPr>
        <xdr:cNvCxnSpPr>
          <a:cxnSpLocks noChangeShapeType="1"/>
        </xdr:cNvCxnSpPr>
      </xdr:nvCxnSpPr>
      <xdr:spPr bwMode="auto">
        <a:xfrm rot="10800000" flipH="1">
          <a:off x="2235200" y="11677650"/>
          <a:ext cx="8382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16</xdr:col>
      <xdr:colOff>41275</xdr:colOff>
      <xdr:row>119</xdr:row>
      <xdr:rowOff>47625</xdr:rowOff>
    </xdr:from>
    <xdr:to>
      <xdr:col>16</xdr:col>
      <xdr:colOff>78528</xdr:colOff>
      <xdr:row>120</xdr:row>
      <xdr:rowOff>12943</xdr:rowOff>
    </xdr:to>
    <xdr:sp macro="" textlink="">
      <xdr:nvSpPr>
        <xdr:cNvPr id="676" name="Ellipse 675">
          <a:extLst>
            <a:ext uri="{FF2B5EF4-FFF2-40B4-BE49-F238E27FC236}">
              <a16:creationId xmlns="" xmlns:a16="http://schemas.microsoft.com/office/drawing/2014/main" id="{00000000-0008-0000-2400-0000A4020000}"/>
            </a:ext>
          </a:extLst>
        </xdr:cNvPr>
        <xdr:cNvSpPr/>
      </xdr:nvSpPr>
      <xdr:spPr bwMode="auto">
        <a:xfrm>
          <a:off x="2352675" y="11515725"/>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26</xdr:col>
      <xdr:colOff>18415</xdr:colOff>
      <xdr:row>119</xdr:row>
      <xdr:rowOff>57785</xdr:rowOff>
    </xdr:from>
    <xdr:to>
      <xdr:col>26</xdr:col>
      <xdr:colOff>59054</xdr:colOff>
      <xdr:row>120</xdr:row>
      <xdr:rowOff>11712</xdr:rowOff>
    </xdr:to>
    <xdr:sp macro="" textlink="">
      <xdr:nvSpPr>
        <xdr:cNvPr id="677" name="Ellipse 676">
          <a:extLst>
            <a:ext uri="{FF2B5EF4-FFF2-40B4-BE49-F238E27FC236}">
              <a16:creationId xmlns="" xmlns:a16="http://schemas.microsoft.com/office/drawing/2014/main" id="{00000000-0008-0000-2400-0000A5020000}"/>
            </a:ext>
          </a:extLst>
        </xdr:cNvPr>
        <xdr:cNvSpPr/>
      </xdr:nvSpPr>
      <xdr:spPr bwMode="auto">
        <a:xfrm>
          <a:off x="3724275" y="11525250"/>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24</xdr:col>
      <xdr:colOff>41275</xdr:colOff>
      <xdr:row>119</xdr:row>
      <xdr:rowOff>57785</xdr:rowOff>
    </xdr:from>
    <xdr:to>
      <xdr:col>24</xdr:col>
      <xdr:colOff>78528</xdr:colOff>
      <xdr:row>120</xdr:row>
      <xdr:rowOff>11712</xdr:rowOff>
    </xdr:to>
    <xdr:sp macro="" textlink="">
      <xdr:nvSpPr>
        <xdr:cNvPr id="678" name="Ellipse 677">
          <a:extLst>
            <a:ext uri="{FF2B5EF4-FFF2-40B4-BE49-F238E27FC236}">
              <a16:creationId xmlns="" xmlns:a16="http://schemas.microsoft.com/office/drawing/2014/main" id="{00000000-0008-0000-2400-0000A6020000}"/>
            </a:ext>
          </a:extLst>
        </xdr:cNvPr>
        <xdr:cNvSpPr/>
      </xdr:nvSpPr>
      <xdr:spPr bwMode="auto">
        <a:xfrm>
          <a:off x="3495675" y="11525250"/>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19</xdr:col>
      <xdr:colOff>35560</xdr:colOff>
      <xdr:row>119</xdr:row>
      <xdr:rowOff>47625</xdr:rowOff>
    </xdr:from>
    <xdr:to>
      <xdr:col>19</xdr:col>
      <xdr:colOff>77707</xdr:colOff>
      <xdr:row>120</xdr:row>
      <xdr:rowOff>12943</xdr:rowOff>
    </xdr:to>
    <xdr:sp macro="" textlink="">
      <xdr:nvSpPr>
        <xdr:cNvPr id="679" name="Ellipse 678">
          <a:extLst>
            <a:ext uri="{FF2B5EF4-FFF2-40B4-BE49-F238E27FC236}">
              <a16:creationId xmlns="" xmlns:a16="http://schemas.microsoft.com/office/drawing/2014/main" id="{00000000-0008-0000-2400-0000A7020000}"/>
            </a:ext>
          </a:extLst>
        </xdr:cNvPr>
        <xdr:cNvSpPr/>
      </xdr:nvSpPr>
      <xdr:spPr bwMode="auto">
        <a:xfrm>
          <a:off x="2781300" y="11515725"/>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21</xdr:col>
      <xdr:colOff>18415</xdr:colOff>
      <xdr:row>119</xdr:row>
      <xdr:rowOff>57785</xdr:rowOff>
    </xdr:from>
    <xdr:to>
      <xdr:col>21</xdr:col>
      <xdr:colOff>40701</xdr:colOff>
      <xdr:row>120</xdr:row>
      <xdr:rowOff>10543</xdr:rowOff>
    </xdr:to>
    <xdr:sp macro="" textlink="">
      <xdr:nvSpPr>
        <xdr:cNvPr id="680" name="Ellipse 679">
          <a:extLst>
            <a:ext uri="{FF2B5EF4-FFF2-40B4-BE49-F238E27FC236}">
              <a16:creationId xmlns="" xmlns:a16="http://schemas.microsoft.com/office/drawing/2014/main" id="{00000000-0008-0000-2400-0000A8020000}"/>
            </a:ext>
          </a:extLst>
        </xdr:cNvPr>
        <xdr:cNvSpPr/>
      </xdr:nvSpPr>
      <xdr:spPr bwMode="auto">
        <a:xfrm>
          <a:off x="3019425" y="11506200"/>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18</xdr:col>
      <xdr:colOff>20320</xdr:colOff>
      <xdr:row>119</xdr:row>
      <xdr:rowOff>47625</xdr:rowOff>
    </xdr:from>
    <xdr:to>
      <xdr:col>18</xdr:col>
      <xdr:colOff>57636</xdr:colOff>
      <xdr:row>120</xdr:row>
      <xdr:rowOff>12943</xdr:rowOff>
    </xdr:to>
    <xdr:sp macro="" textlink="">
      <xdr:nvSpPr>
        <xdr:cNvPr id="681" name="Ellipse 680">
          <a:extLst>
            <a:ext uri="{FF2B5EF4-FFF2-40B4-BE49-F238E27FC236}">
              <a16:creationId xmlns="" xmlns:a16="http://schemas.microsoft.com/office/drawing/2014/main" id="{00000000-0008-0000-2400-0000A9020000}"/>
            </a:ext>
          </a:extLst>
        </xdr:cNvPr>
        <xdr:cNvSpPr/>
      </xdr:nvSpPr>
      <xdr:spPr bwMode="auto">
        <a:xfrm>
          <a:off x="2600325" y="11515725"/>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29</xdr:col>
      <xdr:colOff>4445</xdr:colOff>
      <xdr:row>119</xdr:row>
      <xdr:rowOff>57785</xdr:rowOff>
    </xdr:from>
    <xdr:to>
      <xdr:col>29</xdr:col>
      <xdr:colOff>58482</xdr:colOff>
      <xdr:row>120</xdr:row>
      <xdr:rowOff>11712</xdr:rowOff>
    </xdr:to>
    <xdr:sp macro="" textlink="">
      <xdr:nvSpPr>
        <xdr:cNvPr id="682" name="Ellipse 681">
          <a:extLst>
            <a:ext uri="{FF2B5EF4-FFF2-40B4-BE49-F238E27FC236}">
              <a16:creationId xmlns="" xmlns:a16="http://schemas.microsoft.com/office/drawing/2014/main" id="{00000000-0008-0000-2400-0000AA020000}"/>
            </a:ext>
          </a:extLst>
        </xdr:cNvPr>
        <xdr:cNvSpPr/>
      </xdr:nvSpPr>
      <xdr:spPr bwMode="auto">
        <a:xfrm>
          <a:off x="4181475" y="11525250"/>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27</xdr:col>
      <xdr:colOff>78105</xdr:colOff>
      <xdr:row>119</xdr:row>
      <xdr:rowOff>57785</xdr:rowOff>
    </xdr:from>
    <xdr:to>
      <xdr:col>28</xdr:col>
      <xdr:colOff>1483</xdr:colOff>
      <xdr:row>120</xdr:row>
      <xdr:rowOff>11712</xdr:rowOff>
    </xdr:to>
    <xdr:sp macro="" textlink="">
      <xdr:nvSpPr>
        <xdr:cNvPr id="683" name="Ellipse 682">
          <a:extLst>
            <a:ext uri="{FF2B5EF4-FFF2-40B4-BE49-F238E27FC236}">
              <a16:creationId xmlns="" xmlns:a16="http://schemas.microsoft.com/office/drawing/2014/main" id="{00000000-0008-0000-2400-0000AB020000}"/>
            </a:ext>
          </a:extLst>
        </xdr:cNvPr>
        <xdr:cNvSpPr/>
      </xdr:nvSpPr>
      <xdr:spPr bwMode="auto">
        <a:xfrm>
          <a:off x="3952875" y="11525250"/>
          <a:ext cx="74294"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24</xdr:col>
      <xdr:colOff>6350</xdr:colOff>
      <xdr:row>120</xdr:row>
      <xdr:rowOff>38100</xdr:rowOff>
    </xdr:from>
    <xdr:to>
      <xdr:col>30</xdr:col>
      <xdr:colOff>6350</xdr:colOff>
      <xdr:row>120</xdr:row>
      <xdr:rowOff>38100</xdr:rowOff>
    </xdr:to>
    <xdr:cxnSp macro="">
      <xdr:nvCxnSpPr>
        <xdr:cNvPr id="887255" name="Connecteur droit 683">
          <a:extLst>
            <a:ext uri="{FF2B5EF4-FFF2-40B4-BE49-F238E27FC236}">
              <a16:creationId xmlns="" xmlns:a16="http://schemas.microsoft.com/office/drawing/2014/main" id="{00000000-0008-0000-2400-0000D7890D00}"/>
            </a:ext>
          </a:extLst>
        </xdr:cNvPr>
        <xdr:cNvCxnSpPr>
          <a:cxnSpLocks noChangeShapeType="1"/>
        </xdr:cNvCxnSpPr>
      </xdr:nvCxnSpPr>
      <xdr:spPr bwMode="auto">
        <a:xfrm rot="10800000" flipH="1">
          <a:off x="3359150" y="11677650"/>
          <a:ext cx="8382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30</xdr:col>
      <xdr:colOff>63500</xdr:colOff>
      <xdr:row>120</xdr:row>
      <xdr:rowOff>19050</xdr:rowOff>
    </xdr:from>
    <xdr:to>
      <xdr:col>39</xdr:col>
      <xdr:colOff>19050</xdr:colOff>
      <xdr:row>120</xdr:row>
      <xdr:rowOff>19050</xdr:rowOff>
    </xdr:to>
    <xdr:cxnSp macro="">
      <xdr:nvCxnSpPr>
        <xdr:cNvPr id="887256" name="Connecteur droit 684">
          <a:extLst>
            <a:ext uri="{FF2B5EF4-FFF2-40B4-BE49-F238E27FC236}">
              <a16:creationId xmlns="" xmlns:a16="http://schemas.microsoft.com/office/drawing/2014/main" id="{00000000-0008-0000-2400-0000D8890D00}"/>
            </a:ext>
          </a:extLst>
        </xdr:cNvPr>
        <xdr:cNvCxnSpPr>
          <a:cxnSpLocks noChangeShapeType="1"/>
        </xdr:cNvCxnSpPr>
      </xdr:nvCxnSpPr>
      <xdr:spPr bwMode="auto">
        <a:xfrm>
          <a:off x="4254500" y="11658600"/>
          <a:ext cx="121285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35</xdr:col>
      <xdr:colOff>76200</xdr:colOff>
      <xdr:row>119</xdr:row>
      <xdr:rowOff>57785</xdr:rowOff>
    </xdr:from>
    <xdr:to>
      <xdr:col>36</xdr:col>
      <xdr:colOff>987</xdr:colOff>
      <xdr:row>120</xdr:row>
      <xdr:rowOff>10543</xdr:rowOff>
    </xdr:to>
    <xdr:sp macro="" textlink="">
      <xdr:nvSpPr>
        <xdr:cNvPr id="686" name="Ellipse 685">
          <a:extLst>
            <a:ext uri="{FF2B5EF4-FFF2-40B4-BE49-F238E27FC236}">
              <a16:creationId xmlns="" xmlns:a16="http://schemas.microsoft.com/office/drawing/2014/main" id="{00000000-0008-0000-2400-0000AE020000}"/>
            </a:ext>
          </a:extLst>
        </xdr:cNvPr>
        <xdr:cNvSpPr/>
      </xdr:nvSpPr>
      <xdr:spPr bwMode="auto">
        <a:xfrm>
          <a:off x="5086350" y="11506200"/>
          <a:ext cx="74294"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31</xdr:col>
      <xdr:colOff>78105</xdr:colOff>
      <xdr:row>119</xdr:row>
      <xdr:rowOff>57785</xdr:rowOff>
    </xdr:from>
    <xdr:to>
      <xdr:col>32</xdr:col>
      <xdr:colOff>1483</xdr:colOff>
      <xdr:row>120</xdr:row>
      <xdr:rowOff>10543</xdr:rowOff>
    </xdr:to>
    <xdr:sp macro="" textlink="">
      <xdr:nvSpPr>
        <xdr:cNvPr id="687" name="Ellipse 686">
          <a:extLst>
            <a:ext uri="{FF2B5EF4-FFF2-40B4-BE49-F238E27FC236}">
              <a16:creationId xmlns="" xmlns:a16="http://schemas.microsoft.com/office/drawing/2014/main" id="{00000000-0008-0000-2400-0000AF020000}"/>
            </a:ext>
          </a:extLst>
        </xdr:cNvPr>
        <xdr:cNvSpPr/>
      </xdr:nvSpPr>
      <xdr:spPr bwMode="auto">
        <a:xfrm>
          <a:off x="4524375" y="11506200"/>
          <a:ext cx="74294"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37</xdr:col>
      <xdr:colOff>56515</xdr:colOff>
      <xdr:row>119</xdr:row>
      <xdr:rowOff>47625</xdr:rowOff>
    </xdr:from>
    <xdr:to>
      <xdr:col>38</xdr:col>
      <xdr:colOff>17650</xdr:colOff>
      <xdr:row>120</xdr:row>
      <xdr:rowOff>12943</xdr:rowOff>
    </xdr:to>
    <xdr:sp macro="" textlink="">
      <xdr:nvSpPr>
        <xdr:cNvPr id="688" name="Ellipse 687">
          <a:extLst>
            <a:ext uri="{FF2B5EF4-FFF2-40B4-BE49-F238E27FC236}">
              <a16:creationId xmlns="" xmlns:a16="http://schemas.microsoft.com/office/drawing/2014/main" id="{00000000-0008-0000-2400-0000B0020000}"/>
            </a:ext>
          </a:extLst>
        </xdr:cNvPr>
        <xdr:cNvSpPr/>
      </xdr:nvSpPr>
      <xdr:spPr bwMode="auto">
        <a:xfrm>
          <a:off x="5372100" y="11515725"/>
          <a:ext cx="74294"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33</xdr:col>
      <xdr:colOff>95885</xdr:colOff>
      <xdr:row>119</xdr:row>
      <xdr:rowOff>47625</xdr:rowOff>
    </xdr:from>
    <xdr:to>
      <xdr:col>34</xdr:col>
      <xdr:colOff>19325</xdr:colOff>
      <xdr:row>120</xdr:row>
      <xdr:rowOff>12943</xdr:rowOff>
    </xdr:to>
    <xdr:sp macro="" textlink="">
      <xdr:nvSpPr>
        <xdr:cNvPr id="689" name="Ellipse 688">
          <a:extLst>
            <a:ext uri="{FF2B5EF4-FFF2-40B4-BE49-F238E27FC236}">
              <a16:creationId xmlns="" xmlns:a16="http://schemas.microsoft.com/office/drawing/2014/main" id="{00000000-0008-0000-2400-0000B1020000}"/>
            </a:ext>
          </a:extLst>
        </xdr:cNvPr>
        <xdr:cNvSpPr/>
      </xdr:nvSpPr>
      <xdr:spPr bwMode="auto">
        <a:xfrm>
          <a:off x="4819650" y="11515725"/>
          <a:ext cx="74294"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9</xdr:col>
      <xdr:colOff>6350</xdr:colOff>
      <xdr:row>115</xdr:row>
      <xdr:rowOff>0</xdr:rowOff>
    </xdr:from>
    <xdr:to>
      <xdr:col>18</xdr:col>
      <xdr:colOff>57150</xdr:colOff>
      <xdr:row>120</xdr:row>
      <xdr:rowOff>12700</xdr:rowOff>
    </xdr:to>
    <xdr:cxnSp macro="">
      <xdr:nvCxnSpPr>
        <xdr:cNvPr id="887261" name="Connecteur droit avec flèche 689">
          <a:extLst>
            <a:ext uri="{FF2B5EF4-FFF2-40B4-BE49-F238E27FC236}">
              <a16:creationId xmlns="" xmlns:a16="http://schemas.microsoft.com/office/drawing/2014/main" id="{00000000-0008-0000-2400-0000DD890D00}"/>
            </a:ext>
          </a:extLst>
        </xdr:cNvPr>
        <xdr:cNvCxnSpPr>
          <a:cxnSpLocks noChangeShapeType="1"/>
        </xdr:cNvCxnSpPr>
      </xdr:nvCxnSpPr>
      <xdr:spPr bwMode="auto">
        <a:xfrm>
          <a:off x="1263650" y="11163300"/>
          <a:ext cx="1308100" cy="48895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1</xdr:col>
      <xdr:colOff>56516</xdr:colOff>
      <xdr:row>112</xdr:row>
      <xdr:rowOff>9526</xdr:rowOff>
    </xdr:from>
    <xdr:to>
      <xdr:col>2</xdr:col>
      <xdr:colOff>113419</xdr:colOff>
      <xdr:row>119</xdr:row>
      <xdr:rowOff>60902</xdr:rowOff>
    </xdr:to>
    <xdr:sp macro="" textlink="">
      <xdr:nvSpPr>
        <xdr:cNvPr id="691" name="Text Box 421">
          <a:extLst>
            <a:ext uri="{FF2B5EF4-FFF2-40B4-BE49-F238E27FC236}">
              <a16:creationId xmlns="" xmlns:a16="http://schemas.microsoft.com/office/drawing/2014/main" id="{00000000-0008-0000-2400-0000B3020000}"/>
            </a:ext>
          </a:extLst>
        </xdr:cNvPr>
        <xdr:cNvSpPr txBox="1">
          <a:spLocks noChangeArrowheads="1"/>
        </xdr:cNvSpPr>
      </xdr:nvSpPr>
      <xdr:spPr bwMode="auto">
        <a:xfrm>
          <a:off x="228601" y="10801351"/>
          <a:ext cx="200024" cy="6858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Plancher d'épaisseur 8cm</a:t>
          </a:r>
          <a:r>
            <a:rPr lang="fr-FR" sz="1000" b="0" i="0" strike="noStrike" baseline="0">
              <a:solidFill>
                <a:srgbClr val="000000"/>
              </a:solidFill>
              <a:latin typeface="Arial"/>
              <a:cs typeface="Arial"/>
            </a:rPr>
            <a:t> avec </a:t>
          </a:r>
          <a:r>
            <a:rPr lang="fr-FR" sz="1000" b="0" i="0" strike="noStrike">
              <a:solidFill>
                <a:srgbClr val="000000"/>
              </a:solidFill>
              <a:latin typeface="Arial"/>
              <a:cs typeface="Arial"/>
            </a:rPr>
            <a:t>Fers</a:t>
          </a:r>
          <a:r>
            <a:rPr lang="fr-FR" sz="1000" b="0" i="0" strike="noStrike" baseline="0">
              <a:solidFill>
                <a:srgbClr val="000000"/>
              </a:solidFill>
              <a:latin typeface="Arial"/>
              <a:cs typeface="Arial"/>
            </a:rPr>
            <a:t> de 10mm, espacement:18cm</a:t>
          </a:r>
          <a:endParaRPr lang="fr-FR" sz="1000" b="0" i="0" strike="noStrike">
            <a:solidFill>
              <a:srgbClr val="000000"/>
            </a:solidFill>
            <a:latin typeface="Arial"/>
            <a:cs typeface="Arial"/>
          </a:endParaRPr>
        </a:p>
      </xdr:txBody>
    </xdr:sp>
    <xdr:clientData/>
  </xdr:twoCellAnchor>
  <xdr:twoCellAnchor>
    <xdr:from>
      <xdr:col>28</xdr:col>
      <xdr:colOff>60960</xdr:colOff>
      <xdr:row>121</xdr:row>
      <xdr:rowOff>61595</xdr:rowOff>
    </xdr:from>
    <xdr:to>
      <xdr:col>28</xdr:col>
      <xdr:colOff>58050</xdr:colOff>
      <xdr:row>121</xdr:row>
      <xdr:rowOff>57478</xdr:rowOff>
    </xdr:to>
    <xdr:sp macro="" textlink="">
      <xdr:nvSpPr>
        <xdr:cNvPr id="692" name="Ellipse 691">
          <a:extLst>
            <a:ext uri="{FF2B5EF4-FFF2-40B4-BE49-F238E27FC236}">
              <a16:creationId xmlns="" xmlns:a16="http://schemas.microsoft.com/office/drawing/2014/main" id="{00000000-0008-0000-2400-0000B4020000}"/>
            </a:ext>
          </a:extLst>
        </xdr:cNvPr>
        <xdr:cNvSpPr/>
      </xdr:nvSpPr>
      <xdr:spPr bwMode="auto">
        <a:xfrm>
          <a:off x="4038600" y="11649075"/>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29</xdr:col>
      <xdr:colOff>18415</xdr:colOff>
      <xdr:row>122</xdr:row>
      <xdr:rowOff>0</xdr:rowOff>
    </xdr:from>
    <xdr:to>
      <xdr:col>29</xdr:col>
      <xdr:colOff>56546</xdr:colOff>
      <xdr:row>122</xdr:row>
      <xdr:rowOff>60651</xdr:rowOff>
    </xdr:to>
    <xdr:sp macro="" textlink="">
      <xdr:nvSpPr>
        <xdr:cNvPr id="693" name="Ellipse 692">
          <a:extLst>
            <a:ext uri="{FF2B5EF4-FFF2-40B4-BE49-F238E27FC236}">
              <a16:creationId xmlns="" xmlns:a16="http://schemas.microsoft.com/office/drawing/2014/main" id="{00000000-0008-0000-2400-0000B5020000}"/>
            </a:ext>
          </a:extLst>
        </xdr:cNvPr>
        <xdr:cNvSpPr/>
      </xdr:nvSpPr>
      <xdr:spPr bwMode="auto">
        <a:xfrm>
          <a:off x="4152900" y="11734800"/>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27</xdr:col>
      <xdr:colOff>36830</xdr:colOff>
      <xdr:row>122</xdr:row>
      <xdr:rowOff>9525</xdr:rowOff>
    </xdr:from>
    <xdr:to>
      <xdr:col>27</xdr:col>
      <xdr:colOff>78942</xdr:colOff>
      <xdr:row>122</xdr:row>
      <xdr:rowOff>52180</xdr:rowOff>
    </xdr:to>
    <xdr:sp macro="" textlink="">
      <xdr:nvSpPr>
        <xdr:cNvPr id="694" name="Ellipse 693">
          <a:extLst>
            <a:ext uri="{FF2B5EF4-FFF2-40B4-BE49-F238E27FC236}">
              <a16:creationId xmlns="" xmlns:a16="http://schemas.microsoft.com/office/drawing/2014/main" id="{00000000-0008-0000-2400-0000B6020000}"/>
            </a:ext>
          </a:extLst>
        </xdr:cNvPr>
        <xdr:cNvSpPr/>
      </xdr:nvSpPr>
      <xdr:spPr bwMode="auto">
        <a:xfrm>
          <a:off x="3914775" y="11744325"/>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27</xdr:col>
      <xdr:colOff>20956</xdr:colOff>
      <xdr:row>120</xdr:row>
      <xdr:rowOff>74296</xdr:rowOff>
    </xdr:from>
    <xdr:to>
      <xdr:col>29</xdr:col>
      <xdr:colOff>56630</xdr:colOff>
      <xdr:row>122</xdr:row>
      <xdr:rowOff>56940</xdr:rowOff>
    </xdr:to>
    <xdr:sp macro="" textlink="">
      <xdr:nvSpPr>
        <xdr:cNvPr id="695" name="Triangle isocèle 694">
          <a:extLst>
            <a:ext uri="{FF2B5EF4-FFF2-40B4-BE49-F238E27FC236}">
              <a16:creationId xmlns="" xmlns:a16="http://schemas.microsoft.com/office/drawing/2014/main" id="{00000000-0008-0000-2400-0000B7020000}"/>
            </a:ext>
          </a:extLst>
        </xdr:cNvPr>
        <xdr:cNvSpPr/>
      </xdr:nvSpPr>
      <xdr:spPr bwMode="auto">
        <a:xfrm>
          <a:off x="3895726" y="11630026"/>
          <a:ext cx="333374" cy="171450"/>
        </a:xfrm>
        <a:prstGeom prst="triangle">
          <a:avLst/>
        </a:prstGeom>
        <a:noFill/>
        <a:ln w="1270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73</xdr:col>
      <xdr:colOff>44450</xdr:colOff>
      <xdr:row>12</xdr:row>
      <xdr:rowOff>57150</xdr:rowOff>
    </xdr:from>
    <xdr:to>
      <xdr:col>73</xdr:col>
      <xdr:colOff>57150</xdr:colOff>
      <xdr:row>15</xdr:row>
      <xdr:rowOff>63500</xdr:rowOff>
    </xdr:to>
    <xdr:cxnSp macro="">
      <xdr:nvCxnSpPr>
        <xdr:cNvPr id="887267" name="Connecteur droit avec flèche 695">
          <a:extLst>
            <a:ext uri="{FF2B5EF4-FFF2-40B4-BE49-F238E27FC236}">
              <a16:creationId xmlns="" xmlns:a16="http://schemas.microsoft.com/office/drawing/2014/main" id="{00000000-0008-0000-2400-0000E3890D00}"/>
            </a:ext>
          </a:extLst>
        </xdr:cNvPr>
        <xdr:cNvCxnSpPr>
          <a:cxnSpLocks noChangeShapeType="1"/>
        </xdr:cNvCxnSpPr>
      </xdr:nvCxnSpPr>
      <xdr:spPr bwMode="auto">
        <a:xfrm rot="5400000">
          <a:off x="10102850" y="1549400"/>
          <a:ext cx="292100" cy="1270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70</xdr:col>
      <xdr:colOff>95885</xdr:colOff>
      <xdr:row>12</xdr:row>
      <xdr:rowOff>74295</xdr:rowOff>
    </xdr:from>
    <xdr:to>
      <xdr:col>75</xdr:col>
      <xdr:colOff>20796</xdr:colOff>
      <xdr:row>15</xdr:row>
      <xdr:rowOff>57926</xdr:rowOff>
    </xdr:to>
    <xdr:sp macro="" textlink="">
      <xdr:nvSpPr>
        <xdr:cNvPr id="697" name="TextBox 311">
          <a:extLst>
            <a:ext uri="{FF2B5EF4-FFF2-40B4-BE49-F238E27FC236}">
              <a16:creationId xmlns="" xmlns:a16="http://schemas.microsoft.com/office/drawing/2014/main" id="{00000000-0008-0000-2400-0000B9020000}"/>
            </a:ext>
          </a:extLst>
        </xdr:cNvPr>
        <xdr:cNvSpPr txBox="1"/>
      </xdr:nvSpPr>
      <xdr:spPr>
        <a:xfrm>
          <a:off x="10096500" y="1343025"/>
          <a:ext cx="657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7,5</a:t>
          </a:r>
        </a:p>
      </xdr:txBody>
    </xdr:sp>
    <xdr:clientData/>
  </xdr:twoCellAnchor>
  <xdr:twoCellAnchor>
    <xdr:from>
      <xdr:col>68</xdr:col>
      <xdr:colOff>38100</xdr:colOff>
      <xdr:row>15</xdr:row>
      <xdr:rowOff>57150</xdr:rowOff>
    </xdr:from>
    <xdr:to>
      <xdr:col>68</xdr:col>
      <xdr:colOff>38100</xdr:colOff>
      <xdr:row>20</xdr:row>
      <xdr:rowOff>19050</xdr:rowOff>
    </xdr:to>
    <xdr:cxnSp macro="">
      <xdr:nvCxnSpPr>
        <xdr:cNvPr id="887269" name="Connecteur droit 697">
          <a:extLst>
            <a:ext uri="{FF2B5EF4-FFF2-40B4-BE49-F238E27FC236}">
              <a16:creationId xmlns="" xmlns:a16="http://schemas.microsoft.com/office/drawing/2014/main" id="{00000000-0008-0000-2400-0000E5890D00}"/>
            </a:ext>
          </a:extLst>
        </xdr:cNvPr>
        <xdr:cNvCxnSpPr>
          <a:cxnSpLocks noChangeShapeType="1"/>
        </xdr:cNvCxnSpPr>
      </xdr:nvCxnSpPr>
      <xdr:spPr bwMode="auto">
        <a:xfrm rot="5400000">
          <a:off x="9318625" y="1914525"/>
          <a:ext cx="43815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74</xdr:col>
      <xdr:colOff>6350</xdr:colOff>
      <xdr:row>16</xdr:row>
      <xdr:rowOff>12700</xdr:rowOff>
    </xdr:from>
    <xdr:to>
      <xdr:col>74</xdr:col>
      <xdr:colOff>6350</xdr:colOff>
      <xdr:row>20</xdr:row>
      <xdr:rowOff>57150</xdr:rowOff>
    </xdr:to>
    <xdr:cxnSp macro="">
      <xdr:nvCxnSpPr>
        <xdr:cNvPr id="887270" name="Connecteur droit 698">
          <a:extLst>
            <a:ext uri="{FF2B5EF4-FFF2-40B4-BE49-F238E27FC236}">
              <a16:creationId xmlns="" xmlns:a16="http://schemas.microsoft.com/office/drawing/2014/main" id="{00000000-0008-0000-2400-0000E6890D00}"/>
            </a:ext>
          </a:extLst>
        </xdr:cNvPr>
        <xdr:cNvCxnSpPr>
          <a:cxnSpLocks noChangeShapeType="1"/>
        </xdr:cNvCxnSpPr>
      </xdr:nvCxnSpPr>
      <xdr:spPr bwMode="auto">
        <a:xfrm rot="5400000">
          <a:off x="10131425" y="1958975"/>
          <a:ext cx="42545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21</xdr:col>
      <xdr:colOff>3029</xdr:colOff>
      <xdr:row>31</xdr:row>
      <xdr:rowOff>28205</xdr:rowOff>
    </xdr:from>
    <xdr:to>
      <xdr:col>22</xdr:col>
      <xdr:colOff>78628</xdr:colOff>
      <xdr:row>32</xdr:row>
      <xdr:rowOff>16809</xdr:rowOff>
    </xdr:to>
    <xdr:sp macro="" textlink="">
      <xdr:nvSpPr>
        <xdr:cNvPr id="700" name="Rectangle 699">
          <a:extLst>
            <a:ext uri="{FF2B5EF4-FFF2-40B4-BE49-F238E27FC236}">
              <a16:creationId xmlns="" xmlns:a16="http://schemas.microsoft.com/office/drawing/2014/main" id="{00000000-0008-0000-2400-0000BC020000}"/>
            </a:ext>
          </a:extLst>
        </xdr:cNvPr>
        <xdr:cNvSpPr/>
      </xdr:nvSpPr>
      <xdr:spPr bwMode="auto">
        <a:xfrm rot="2557756">
          <a:off x="3021819" y="3098430"/>
          <a:ext cx="215675" cy="75973"/>
        </a:xfrm>
        <a:prstGeom prst="rect">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17</xdr:col>
      <xdr:colOff>56738</xdr:colOff>
      <xdr:row>30</xdr:row>
      <xdr:rowOff>75088</xdr:rowOff>
    </xdr:from>
    <xdr:to>
      <xdr:col>18</xdr:col>
      <xdr:colOff>57233</xdr:colOff>
      <xdr:row>32</xdr:row>
      <xdr:rowOff>57862</xdr:rowOff>
    </xdr:to>
    <xdr:sp macro="" textlink="">
      <xdr:nvSpPr>
        <xdr:cNvPr id="701" name="Rectangle 700">
          <a:extLst>
            <a:ext uri="{FF2B5EF4-FFF2-40B4-BE49-F238E27FC236}">
              <a16:creationId xmlns="" xmlns:a16="http://schemas.microsoft.com/office/drawing/2014/main" id="{00000000-0008-0000-2400-0000BD020000}"/>
            </a:ext>
          </a:extLst>
        </xdr:cNvPr>
        <xdr:cNvSpPr/>
      </xdr:nvSpPr>
      <xdr:spPr bwMode="auto">
        <a:xfrm rot="2557756" flipH="1">
          <a:off x="2502123" y="3051968"/>
          <a:ext cx="110677" cy="192089"/>
        </a:xfrm>
        <a:prstGeom prst="rect">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7</xdr:col>
      <xdr:colOff>63500</xdr:colOff>
      <xdr:row>13</xdr:row>
      <xdr:rowOff>19050</xdr:rowOff>
    </xdr:from>
    <xdr:to>
      <xdr:col>7</xdr:col>
      <xdr:colOff>76200</xdr:colOff>
      <xdr:row>24</xdr:row>
      <xdr:rowOff>63500</xdr:rowOff>
    </xdr:to>
    <xdr:cxnSp macro="">
      <xdr:nvCxnSpPr>
        <xdr:cNvPr id="887273" name="Straight Connector 267">
          <a:extLst>
            <a:ext uri="{FF2B5EF4-FFF2-40B4-BE49-F238E27FC236}">
              <a16:creationId xmlns="" xmlns:a16="http://schemas.microsoft.com/office/drawing/2014/main" id="{00000000-0008-0000-2400-0000E9890D00}"/>
            </a:ext>
          </a:extLst>
        </xdr:cNvPr>
        <xdr:cNvCxnSpPr>
          <a:cxnSpLocks noChangeShapeType="1"/>
        </xdr:cNvCxnSpPr>
      </xdr:nvCxnSpPr>
      <xdr:spPr bwMode="auto">
        <a:xfrm rot="16200000" flipH="1">
          <a:off x="501650" y="2006600"/>
          <a:ext cx="1092200" cy="1270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41</xdr:col>
      <xdr:colOff>63500</xdr:colOff>
      <xdr:row>13</xdr:row>
      <xdr:rowOff>19050</xdr:rowOff>
    </xdr:from>
    <xdr:to>
      <xdr:col>41</xdr:col>
      <xdr:colOff>76200</xdr:colOff>
      <xdr:row>24</xdr:row>
      <xdr:rowOff>63500</xdr:rowOff>
    </xdr:to>
    <xdr:cxnSp macro="">
      <xdr:nvCxnSpPr>
        <xdr:cNvPr id="887274" name="Straight Connector 267">
          <a:extLst>
            <a:ext uri="{FF2B5EF4-FFF2-40B4-BE49-F238E27FC236}">
              <a16:creationId xmlns="" xmlns:a16="http://schemas.microsoft.com/office/drawing/2014/main" id="{00000000-0008-0000-2400-0000EA890D00}"/>
            </a:ext>
          </a:extLst>
        </xdr:cNvPr>
        <xdr:cNvCxnSpPr>
          <a:cxnSpLocks noChangeShapeType="1"/>
        </xdr:cNvCxnSpPr>
      </xdr:nvCxnSpPr>
      <xdr:spPr bwMode="auto">
        <a:xfrm rot="16200000" flipH="1">
          <a:off x="5251450" y="2006600"/>
          <a:ext cx="1092200" cy="1270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6</xdr:col>
      <xdr:colOff>19050</xdr:colOff>
      <xdr:row>14</xdr:row>
      <xdr:rowOff>57150</xdr:rowOff>
    </xdr:from>
    <xdr:to>
      <xdr:col>43</xdr:col>
      <xdr:colOff>25400</xdr:colOff>
      <xdr:row>14</xdr:row>
      <xdr:rowOff>57150</xdr:rowOff>
    </xdr:to>
    <xdr:cxnSp macro="">
      <xdr:nvCxnSpPr>
        <xdr:cNvPr id="887275" name="Straight Connector 267">
          <a:extLst>
            <a:ext uri="{FF2B5EF4-FFF2-40B4-BE49-F238E27FC236}">
              <a16:creationId xmlns="" xmlns:a16="http://schemas.microsoft.com/office/drawing/2014/main" id="{00000000-0008-0000-2400-0000EB890D00}"/>
            </a:ext>
          </a:extLst>
        </xdr:cNvPr>
        <xdr:cNvCxnSpPr>
          <a:cxnSpLocks noChangeShapeType="1"/>
        </xdr:cNvCxnSpPr>
      </xdr:nvCxnSpPr>
      <xdr:spPr bwMode="auto">
        <a:xfrm flipV="1">
          <a:off x="857250" y="1600200"/>
          <a:ext cx="5175250" cy="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74</xdr:col>
      <xdr:colOff>6350</xdr:colOff>
      <xdr:row>87</xdr:row>
      <xdr:rowOff>31750</xdr:rowOff>
    </xdr:from>
    <xdr:to>
      <xdr:col>75</xdr:col>
      <xdr:colOff>57150</xdr:colOff>
      <xdr:row>89</xdr:row>
      <xdr:rowOff>63500</xdr:rowOff>
    </xdr:to>
    <xdr:sp macro="" textlink="">
      <xdr:nvSpPr>
        <xdr:cNvPr id="887276" name="Rectangle 354" descr="Outlined diamond">
          <a:extLst>
            <a:ext uri="{FF2B5EF4-FFF2-40B4-BE49-F238E27FC236}">
              <a16:creationId xmlns="" xmlns:a16="http://schemas.microsoft.com/office/drawing/2014/main" id="{00000000-0008-0000-2400-0000EC890D00}"/>
            </a:ext>
          </a:extLst>
        </xdr:cNvPr>
        <xdr:cNvSpPr>
          <a:spLocks noChangeArrowheads="1"/>
        </xdr:cNvSpPr>
      </xdr:nvSpPr>
      <xdr:spPr bwMode="auto">
        <a:xfrm flipV="1">
          <a:off x="10344150" y="8528050"/>
          <a:ext cx="190500" cy="22225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68</xdr:col>
      <xdr:colOff>57785</xdr:colOff>
      <xdr:row>88</xdr:row>
      <xdr:rowOff>60960</xdr:rowOff>
    </xdr:from>
    <xdr:to>
      <xdr:col>74</xdr:col>
      <xdr:colOff>57906</xdr:colOff>
      <xdr:row>90</xdr:row>
      <xdr:rowOff>58991</xdr:rowOff>
    </xdr:to>
    <xdr:sp macro="" textlink="">
      <xdr:nvSpPr>
        <xdr:cNvPr id="706" name="ZoneTexte 705">
          <a:extLst>
            <a:ext uri="{FF2B5EF4-FFF2-40B4-BE49-F238E27FC236}">
              <a16:creationId xmlns="" xmlns:a16="http://schemas.microsoft.com/office/drawing/2014/main" id="{00000000-0008-0000-2400-0000C2020000}"/>
            </a:ext>
          </a:extLst>
        </xdr:cNvPr>
        <xdr:cNvSpPr txBox="1"/>
      </xdr:nvSpPr>
      <xdr:spPr>
        <a:xfrm>
          <a:off x="9772650" y="8534400"/>
          <a:ext cx="8477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50cm</a:t>
          </a:r>
        </a:p>
      </xdr:txBody>
    </xdr:sp>
    <xdr:clientData/>
  </xdr:twoCellAnchor>
  <xdr:twoCellAnchor>
    <xdr:from>
      <xdr:col>12</xdr:col>
      <xdr:colOff>0</xdr:colOff>
      <xdr:row>29</xdr:row>
      <xdr:rowOff>55639</xdr:rowOff>
    </xdr:from>
    <xdr:to>
      <xdr:col>19</xdr:col>
      <xdr:colOff>2434</xdr:colOff>
      <xdr:row>30</xdr:row>
      <xdr:rowOff>56888</xdr:rowOff>
    </xdr:to>
    <xdr:cxnSp macro="">
      <xdr:nvCxnSpPr>
        <xdr:cNvPr id="707" name="Connecteur droit avec flèche 706">
          <a:extLst>
            <a:ext uri="{FF2B5EF4-FFF2-40B4-BE49-F238E27FC236}">
              <a16:creationId xmlns="" xmlns:a16="http://schemas.microsoft.com/office/drawing/2014/main" id="{00000000-0008-0000-2400-0000C3020000}"/>
            </a:ext>
          </a:extLst>
        </xdr:cNvPr>
        <xdr:cNvCxnSpPr/>
      </xdr:nvCxnSpPr>
      <xdr:spPr>
        <a:xfrm>
          <a:off x="1714500" y="2955049"/>
          <a:ext cx="1033463" cy="16752"/>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18415</xdr:colOff>
      <xdr:row>27</xdr:row>
      <xdr:rowOff>75566</xdr:rowOff>
    </xdr:from>
    <xdr:to>
      <xdr:col>17</xdr:col>
      <xdr:colOff>56922</xdr:colOff>
      <xdr:row>30</xdr:row>
      <xdr:rowOff>9616</xdr:rowOff>
    </xdr:to>
    <xdr:sp macro="" textlink="">
      <xdr:nvSpPr>
        <xdr:cNvPr id="708" name="ZoneTexte 707">
          <a:extLst>
            <a:ext uri="{FF2B5EF4-FFF2-40B4-BE49-F238E27FC236}">
              <a16:creationId xmlns="" xmlns:a16="http://schemas.microsoft.com/office/drawing/2014/main" id="{00000000-0008-0000-2400-0000C4020000}"/>
            </a:ext>
          </a:extLst>
        </xdr:cNvPr>
        <xdr:cNvSpPr txBox="1"/>
      </xdr:nvSpPr>
      <xdr:spPr>
        <a:xfrm>
          <a:off x="2009775" y="2771776"/>
          <a:ext cx="5048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t>60</a:t>
          </a:r>
        </a:p>
      </xdr:txBody>
    </xdr:sp>
    <xdr:clientData/>
  </xdr:twoCellAnchor>
  <xdr:twoCellAnchor>
    <xdr:from>
      <xdr:col>39</xdr:col>
      <xdr:colOff>20955</xdr:colOff>
      <xdr:row>87</xdr:row>
      <xdr:rowOff>60960</xdr:rowOff>
    </xdr:from>
    <xdr:to>
      <xdr:col>53</xdr:col>
      <xdr:colOff>18569</xdr:colOff>
      <xdr:row>90</xdr:row>
      <xdr:rowOff>9273</xdr:rowOff>
    </xdr:to>
    <xdr:sp macro="" textlink="">
      <xdr:nvSpPr>
        <xdr:cNvPr id="709" name="ZoneTexte 708">
          <a:extLst>
            <a:ext uri="{FF2B5EF4-FFF2-40B4-BE49-F238E27FC236}">
              <a16:creationId xmlns="" xmlns:a16="http://schemas.microsoft.com/office/drawing/2014/main" id="{00000000-0008-0000-2400-0000C5020000}"/>
            </a:ext>
          </a:extLst>
        </xdr:cNvPr>
        <xdr:cNvSpPr txBox="1"/>
      </xdr:nvSpPr>
      <xdr:spPr>
        <a:xfrm>
          <a:off x="5610225" y="8439150"/>
          <a:ext cx="19716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Toiles moustiquaire</a:t>
          </a:r>
        </a:p>
      </xdr:txBody>
    </xdr:sp>
    <xdr:clientData/>
  </xdr:twoCellAnchor>
  <xdr:twoCellAnchor>
    <xdr:from>
      <xdr:col>8</xdr:col>
      <xdr:colOff>96108</xdr:colOff>
      <xdr:row>30</xdr:row>
      <xdr:rowOff>61752</xdr:rowOff>
    </xdr:from>
    <xdr:to>
      <xdr:col>9</xdr:col>
      <xdr:colOff>37485</xdr:colOff>
      <xdr:row>32</xdr:row>
      <xdr:rowOff>61493</xdr:rowOff>
    </xdr:to>
    <xdr:sp macro="" textlink="">
      <xdr:nvSpPr>
        <xdr:cNvPr id="710" name="Rectangle 709">
          <a:extLst>
            <a:ext uri="{FF2B5EF4-FFF2-40B4-BE49-F238E27FC236}">
              <a16:creationId xmlns="" xmlns:a16="http://schemas.microsoft.com/office/drawing/2014/main" id="{00000000-0008-0000-2400-0000C6020000}"/>
            </a:ext>
          </a:extLst>
        </xdr:cNvPr>
        <xdr:cNvSpPr/>
      </xdr:nvSpPr>
      <xdr:spPr bwMode="auto">
        <a:xfrm rot="2557756" flipH="1">
          <a:off x="1244823" y="3023392"/>
          <a:ext cx="110677" cy="192089"/>
        </a:xfrm>
        <a:prstGeom prst="rect">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12</xdr:col>
      <xdr:colOff>58273</xdr:colOff>
      <xdr:row>31</xdr:row>
      <xdr:rowOff>31381</xdr:rowOff>
    </xdr:from>
    <xdr:to>
      <xdr:col>13</xdr:col>
      <xdr:colOff>80692</xdr:colOff>
      <xdr:row>32</xdr:row>
      <xdr:rowOff>9441</xdr:rowOff>
    </xdr:to>
    <xdr:sp macro="" textlink="">
      <xdr:nvSpPr>
        <xdr:cNvPr id="711" name="Rectangle 710">
          <a:extLst>
            <a:ext uri="{FF2B5EF4-FFF2-40B4-BE49-F238E27FC236}">
              <a16:creationId xmlns="" xmlns:a16="http://schemas.microsoft.com/office/drawing/2014/main" id="{00000000-0008-0000-2400-0000C7020000}"/>
            </a:ext>
          </a:extLst>
        </xdr:cNvPr>
        <xdr:cNvSpPr/>
      </xdr:nvSpPr>
      <xdr:spPr bwMode="auto">
        <a:xfrm rot="2557756">
          <a:off x="1754993" y="3088906"/>
          <a:ext cx="215675" cy="75973"/>
        </a:xfrm>
        <a:prstGeom prst="rect">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13</xdr:col>
      <xdr:colOff>56822</xdr:colOff>
      <xdr:row>31</xdr:row>
      <xdr:rowOff>47000</xdr:rowOff>
    </xdr:from>
    <xdr:to>
      <xdr:col>17</xdr:col>
      <xdr:colOff>17960</xdr:colOff>
      <xdr:row>32</xdr:row>
      <xdr:rowOff>59397</xdr:rowOff>
    </xdr:to>
    <xdr:cxnSp macro="">
      <xdr:nvCxnSpPr>
        <xdr:cNvPr id="712" name="Connecteur droit avec flèche 711">
          <a:extLst>
            <a:ext uri="{FF2B5EF4-FFF2-40B4-BE49-F238E27FC236}">
              <a16:creationId xmlns="" xmlns:a16="http://schemas.microsoft.com/office/drawing/2014/main" id="{00000000-0008-0000-2400-0000C8020000}"/>
            </a:ext>
          </a:extLst>
        </xdr:cNvPr>
        <xdr:cNvCxnSpPr/>
      </xdr:nvCxnSpPr>
      <xdr:spPr>
        <a:xfrm>
          <a:off x="1936422" y="3152150"/>
          <a:ext cx="532181" cy="28427"/>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3175</xdr:colOff>
      <xdr:row>29</xdr:row>
      <xdr:rowOff>47625</xdr:rowOff>
    </xdr:from>
    <xdr:to>
      <xdr:col>17</xdr:col>
      <xdr:colOff>3175</xdr:colOff>
      <xdr:row>31</xdr:row>
      <xdr:rowOff>58387</xdr:rowOff>
    </xdr:to>
    <xdr:sp macro="" textlink="">
      <xdr:nvSpPr>
        <xdr:cNvPr id="713" name="ZoneTexte 712">
          <a:extLst>
            <a:ext uri="{FF2B5EF4-FFF2-40B4-BE49-F238E27FC236}">
              <a16:creationId xmlns="" xmlns:a16="http://schemas.microsoft.com/office/drawing/2014/main" id="{00000000-0008-0000-2400-0000C9020000}"/>
            </a:ext>
          </a:extLst>
        </xdr:cNvPr>
        <xdr:cNvSpPr txBox="1"/>
      </xdr:nvSpPr>
      <xdr:spPr>
        <a:xfrm>
          <a:off x="2019300" y="2943225"/>
          <a:ext cx="438150" cy="200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30</a:t>
          </a:r>
        </a:p>
      </xdr:txBody>
    </xdr:sp>
    <xdr:clientData/>
  </xdr:twoCellAnchor>
  <xdr:twoCellAnchor>
    <xdr:from>
      <xdr:col>90</xdr:col>
      <xdr:colOff>0</xdr:colOff>
      <xdr:row>10</xdr:row>
      <xdr:rowOff>28575</xdr:rowOff>
    </xdr:from>
    <xdr:to>
      <xdr:col>93</xdr:col>
      <xdr:colOff>22909</xdr:colOff>
      <xdr:row>16</xdr:row>
      <xdr:rowOff>28575</xdr:rowOff>
    </xdr:to>
    <xdr:grpSp>
      <xdr:nvGrpSpPr>
        <xdr:cNvPr id="370" name="Groupe 713">
          <a:extLst>
            <a:ext uri="{FF2B5EF4-FFF2-40B4-BE49-F238E27FC236}">
              <a16:creationId xmlns="" xmlns:a16="http://schemas.microsoft.com/office/drawing/2014/main" id="{00000000-0008-0000-2400-000072010000}"/>
            </a:ext>
          </a:extLst>
        </xdr:cNvPr>
        <xdr:cNvGrpSpPr/>
      </xdr:nvGrpSpPr>
      <xdr:grpSpPr>
        <a:xfrm rot="16200000">
          <a:off x="10765180" y="1283945"/>
          <a:ext cx="571500" cy="384859"/>
          <a:chOff x="7810500" y="1704976"/>
          <a:chExt cx="1104900" cy="514350"/>
        </a:xfrm>
        <a:solidFill>
          <a:schemeClr val="tx2">
            <a:lumMod val="60000"/>
            <a:lumOff val="40000"/>
          </a:schemeClr>
        </a:solidFill>
      </xdr:grpSpPr>
      <xdr:sp macro="" textlink="">
        <xdr:nvSpPr>
          <xdr:cNvPr id="715" name="Ellipse 714">
            <a:extLst>
              <a:ext uri="{FF2B5EF4-FFF2-40B4-BE49-F238E27FC236}">
                <a16:creationId xmlns="" xmlns:a16="http://schemas.microsoft.com/office/drawing/2014/main" id="{00000000-0008-0000-2400-0000CB020000}"/>
              </a:ext>
            </a:extLst>
          </xdr:cNvPr>
          <xdr:cNvSpPr/>
        </xdr:nvSpPr>
        <xdr:spPr bwMode="auto">
          <a:xfrm>
            <a:off x="7988512" y="880369"/>
            <a:ext cx="441960" cy="354436"/>
          </a:xfrm>
          <a:prstGeom prst="ellipse">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716" name="Organigramme : Délai 715">
            <a:extLst>
              <a:ext uri="{FF2B5EF4-FFF2-40B4-BE49-F238E27FC236}">
                <a16:creationId xmlns="" xmlns:a16="http://schemas.microsoft.com/office/drawing/2014/main" id="{00000000-0008-0000-2400-0000CC020000}"/>
              </a:ext>
            </a:extLst>
          </xdr:cNvPr>
          <xdr:cNvSpPr/>
        </xdr:nvSpPr>
        <xdr:spPr bwMode="auto">
          <a:xfrm>
            <a:off x="8319982" y="880369"/>
            <a:ext cx="736600" cy="354436"/>
          </a:xfrm>
          <a:prstGeom prst="flowChartDelay">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717" name="Ellipse 716">
            <a:extLst>
              <a:ext uri="{FF2B5EF4-FFF2-40B4-BE49-F238E27FC236}">
                <a16:creationId xmlns="" xmlns:a16="http://schemas.microsoft.com/office/drawing/2014/main" id="{00000000-0008-0000-2400-0000CD020000}"/>
              </a:ext>
            </a:extLst>
          </xdr:cNvPr>
          <xdr:cNvSpPr/>
        </xdr:nvSpPr>
        <xdr:spPr bwMode="auto">
          <a:xfrm>
            <a:off x="8737388" y="771868"/>
            <a:ext cx="478790" cy="528038"/>
          </a:xfrm>
          <a:prstGeom prst="ellipse">
            <a:avLst/>
          </a:prstGeom>
          <a:solidFill>
            <a:schemeClr val="accent1">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grpSp>
    <xdr:clientData/>
  </xdr:twoCellAnchor>
  <xdr:twoCellAnchor>
    <xdr:from>
      <xdr:col>94</xdr:col>
      <xdr:colOff>61532</xdr:colOff>
      <xdr:row>12</xdr:row>
      <xdr:rowOff>8610</xdr:rowOff>
    </xdr:from>
    <xdr:to>
      <xdr:col>96</xdr:col>
      <xdr:colOff>2432</xdr:colOff>
      <xdr:row>17</xdr:row>
      <xdr:rowOff>1050</xdr:rowOff>
    </xdr:to>
    <xdr:sp macro="" textlink="">
      <xdr:nvSpPr>
        <xdr:cNvPr id="718" name="Rectangle 717">
          <a:extLst>
            <a:ext uri="{FF2B5EF4-FFF2-40B4-BE49-F238E27FC236}">
              <a16:creationId xmlns="" xmlns:a16="http://schemas.microsoft.com/office/drawing/2014/main" id="{00000000-0008-0000-2400-0000CE020000}"/>
            </a:ext>
          </a:extLst>
        </xdr:cNvPr>
        <xdr:cNvSpPr/>
      </xdr:nvSpPr>
      <xdr:spPr>
        <a:xfrm rot="2786224">
          <a:off x="13379307" y="1403785"/>
          <a:ext cx="476250" cy="19923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87</xdr:col>
      <xdr:colOff>35498</xdr:colOff>
      <xdr:row>11</xdr:row>
      <xdr:rowOff>61315</xdr:rowOff>
    </xdr:from>
    <xdr:to>
      <xdr:col>88</xdr:col>
      <xdr:colOff>78538</xdr:colOff>
      <xdr:row>16</xdr:row>
      <xdr:rowOff>61315</xdr:rowOff>
    </xdr:to>
    <xdr:sp macro="" textlink="">
      <xdr:nvSpPr>
        <xdr:cNvPr id="719" name="Rectangle 718">
          <a:extLst>
            <a:ext uri="{FF2B5EF4-FFF2-40B4-BE49-F238E27FC236}">
              <a16:creationId xmlns="" xmlns:a16="http://schemas.microsoft.com/office/drawing/2014/main" id="{00000000-0008-0000-2400-0000CF020000}"/>
            </a:ext>
          </a:extLst>
        </xdr:cNvPr>
        <xdr:cNvSpPr/>
      </xdr:nvSpPr>
      <xdr:spPr>
        <a:xfrm rot="17801563">
          <a:off x="12345846" y="1399022"/>
          <a:ext cx="476250" cy="17065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editAs="oneCell">
    <xdr:from>
      <xdr:col>37</xdr:col>
      <xdr:colOff>55880</xdr:colOff>
      <xdr:row>14</xdr:row>
      <xdr:rowOff>0</xdr:rowOff>
    </xdr:from>
    <xdr:to>
      <xdr:col>39</xdr:col>
      <xdr:colOff>653</xdr:colOff>
      <xdr:row>18</xdr:row>
      <xdr:rowOff>0</xdr:rowOff>
    </xdr:to>
    <xdr:sp macro="" textlink="">
      <xdr:nvSpPr>
        <xdr:cNvPr id="720" name="Text Box 507">
          <a:extLst>
            <a:ext uri="{FF2B5EF4-FFF2-40B4-BE49-F238E27FC236}">
              <a16:creationId xmlns="" xmlns:a16="http://schemas.microsoft.com/office/drawing/2014/main" id="{00000000-0008-0000-2400-0000D0020000}"/>
            </a:ext>
          </a:extLst>
        </xdr:cNvPr>
        <xdr:cNvSpPr txBox="1">
          <a:spLocks noChangeArrowheads="1"/>
        </xdr:cNvSpPr>
      </xdr:nvSpPr>
      <xdr:spPr bwMode="auto">
        <a:xfrm>
          <a:off x="5334000" y="1447800"/>
          <a:ext cx="238125" cy="3810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FFFF00"/>
              </a:solidFill>
              <a:latin typeface="Arial"/>
              <a:cs typeface="Arial"/>
            </a:rPr>
            <a:t>35</a:t>
          </a:r>
        </a:p>
      </xdr:txBody>
    </xdr:sp>
    <xdr:clientData/>
  </xdr:twoCellAnchor>
  <xdr:twoCellAnchor>
    <xdr:from>
      <xdr:col>87</xdr:col>
      <xdr:colOff>35784</xdr:colOff>
      <xdr:row>16</xdr:row>
      <xdr:rowOff>60960</xdr:rowOff>
    </xdr:from>
    <xdr:to>
      <xdr:col>95</xdr:col>
      <xdr:colOff>78242</xdr:colOff>
      <xdr:row>16</xdr:row>
      <xdr:rowOff>58355</xdr:rowOff>
    </xdr:to>
    <xdr:cxnSp macro="">
      <xdr:nvCxnSpPr>
        <xdr:cNvPr id="721" name="Connecteur droit avec flèche 720">
          <a:extLst>
            <a:ext uri="{FF2B5EF4-FFF2-40B4-BE49-F238E27FC236}">
              <a16:creationId xmlns="" xmlns:a16="http://schemas.microsoft.com/office/drawing/2014/main" id="{00000000-0008-0000-2400-0000D1020000}"/>
            </a:ext>
          </a:extLst>
        </xdr:cNvPr>
        <xdr:cNvCxnSpPr/>
      </xdr:nvCxnSpPr>
      <xdr:spPr>
        <a:xfrm rot="5400000" flipH="1" flipV="1">
          <a:off x="13060929" y="1108050"/>
          <a:ext cx="39099" cy="1175800"/>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90</xdr:col>
      <xdr:colOff>57785</xdr:colOff>
      <xdr:row>16</xdr:row>
      <xdr:rowOff>9525</xdr:rowOff>
    </xdr:from>
    <xdr:to>
      <xdr:col>93</xdr:col>
      <xdr:colOff>58155</xdr:colOff>
      <xdr:row>17</xdr:row>
      <xdr:rowOff>58042</xdr:rowOff>
    </xdr:to>
    <xdr:sp macro="" textlink="">
      <xdr:nvSpPr>
        <xdr:cNvPr id="722" name="ZoneTexte 721">
          <a:extLst>
            <a:ext uri="{FF2B5EF4-FFF2-40B4-BE49-F238E27FC236}">
              <a16:creationId xmlns="" xmlns:a16="http://schemas.microsoft.com/office/drawing/2014/main" id="{00000000-0008-0000-2400-0000D2020000}"/>
            </a:ext>
          </a:extLst>
        </xdr:cNvPr>
        <xdr:cNvSpPr txBox="1"/>
      </xdr:nvSpPr>
      <xdr:spPr>
        <a:xfrm>
          <a:off x="12906375" y="1657350"/>
          <a:ext cx="476250"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15</a:t>
          </a:r>
        </a:p>
      </xdr:txBody>
    </xdr:sp>
    <xdr:clientData/>
  </xdr:twoCellAnchor>
  <xdr:twoCellAnchor>
    <xdr:from>
      <xdr:col>85</xdr:col>
      <xdr:colOff>23166</xdr:colOff>
      <xdr:row>16</xdr:row>
      <xdr:rowOff>57172</xdr:rowOff>
    </xdr:from>
    <xdr:to>
      <xdr:col>89</xdr:col>
      <xdr:colOff>2659</xdr:colOff>
      <xdr:row>19</xdr:row>
      <xdr:rowOff>46560</xdr:rowOff>
    </xdr:to>
    <xdr:sp macro="" textlink="">
      <xdr:nvSpPr>
        <xdr:cNvPr id="723" name="ZoneTexte 722">
          <a:extLst>
            <a:ext uri="{FF2B5EF4-FFF2-40B4-BE49-F238E27FC236}">
              <a16:creationId xmlns="" xmlns:a16="http://schemas.microsoft.com/office/drawing/2014/main" id="{00000000-0008-0000-2400-0000D3020000}"/>
            </a:ext>
          </a:extLst>
        </xdr:cNvPr>
        <xdr:cNvSpPr txBox="1"/>
      </xdr:nvSpPr>
      <xdr:spPr>
        <a:xfrm rot="1828187">
          <a:off x="12161826" y="1713887"/>
          <a:ext cx="570552" cy="2817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13</a:t>
          </a:r>
        </a:p>
      </xdr:txBody>
    </xdr:sp>
    <xdr:clientData/>
  </xdr:twoCellAnchor>
  <xdr:twoCellAnchor>
    <xdr:from>
      <xdr:col>85</xdr:col>
      <xdr:colOff>3175</xdr:colOff>
      <xdr:row>16</xdr:row>
      <xdr:rowOff>27986</xdr:rowOff>
    </xdr:from>
    <xdr:to>
      <xdr:col>86</xdr:col>
      <xdr:colOff>58021</xdr:colOff>
      <xdr:row>18</xdr:row>
      <xdr:rowOff>58405</xdr:rowOff>
    </xdr:to>
    <xdr:cxnSp macro="">
      <xdr:nvCxnSpPr>
        <xdr:cNvPr id="724" name="Connecteur droit 723">
          <a:extLst>
            <a:ext uri="{FF2B5EF4-FFF2-40B4-BE49-F238E27FC236}">
              <a16:creationId xmlns="" xmlns:a16="http://schemas.microsoft.com/office/drawing/2014/main" id="{00000000-0008-0000-2400-0000D4020000}"/>
            </a:ext>
          </a:extLst>
        </xdr:cNvPr>
        <xdr:cNvCxnSpPr/>
      </xdr:nvCxnSpPr>
      <xdr:spPr>
        <a:xfrm rot="5400000">
          <a:off x="12151214" y="1684847"/>
          <a:ext cx="232364" cy="18889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86</xdr:col>
      <xdr:colOff>57785</xdr:colOff>
      <xdr:row>16</xdr:row>
      <xdr:rowOff>57196</xdr:rowOff>
    </xdr:from>
    <xdr:to>
      <xdr:col>87</xdr:col>
      <xdr:colOff>75278</xdr:colOff>
      <xdr:row>19</xdr:row>
      <xdr:rowOff>13355</xdr:rowOff>
    </xdr:to>
    <xdr:cxnSp macro="">
      <xdr:nvCxnSpPr>
        <xdr:cNvPr id="725" name="Connecteur droit 724">
          <a:extLst>
            <a:ext uri="{FF2B5EF4-FFF2-40B4-BE49-F238E27FC236}">
              <a16:creationId xmlns="" xmlns:a16="http://schemas.microsoft.com/office/drawing/2014/main" id="{00000000-0008-0000-2400-0000D5020000}"/>
            </a:ext>
          </a:extLst>
        </xdr:cNvPr>
        <xdr:cNvCxnSpPr/>
      </xdr:nvCxnSpPr>
      <xdr:spPr>
        <a:xfrm rot="5400000">
          <a:off x="12313139" y="1741997"/>
          <a:ext cx="232364" cy="18889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85</xdr:col>
      <xdr:colOff>36830</xdr:colOff>
      <xdr:row>17</xdr:row>
      <xdr:rowOff>12700</xdr:rowOff>
    </xdr:from>
    <xdr:to>
      <xdr:col>87</xdr:col>
      <xdr:colOff>20934</xdr:colOff>
      <xdr:row>18</xdr:row>
      <xdr:rowOff>71979</xdr:rowOff>
    </xdr:to>
    <xdr:cxnSp macro="">
      <xdr:nvCxnSpPr>
        <xdr:cNvPr id="726" name="Connecteur droit 725">
          <a:extLst>
            <a:ext uri="{FF2B5EF4-FFF2-40B4-BE49-F238E27FC236}">
              <a16:creationId xmlns="" xmlns:a16="http://schemas.microsoft.com/office/drawing/2014/main" id="{00000000-0008-0000-2400-0000D6020000}"/>
            </a:ext>
          </a:extLst>
        </xdr:cNvPr>
        <xdr:cNvCxnSpPr/>
      </xdr:nvCxnSpPr>
      <xdr:spPr>
        <a:xfrm>
          <a:off x="12201525" y="1762125"/>
          <a:ext cx="266700" cy="1524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95</xdr:col>
      <xdr:colOff>19685</xdr:colOff>
      <xdr:row>10</xdr:row>
      <xdr:rowOff>60960</xdr:rowOff>
    </xdr:from>
    <xdr:to>
      <xdr:col>98</xdr:col>
      <xdr:colOff>60960</xdr:colOff>
      <xdr:row>15</xdr:row>
      <xdr:rowOff>58260</xdr:rowOff>
    </xdr:to>
    <xdr:cxnSp macro="">
      <xdr:nvCxnSpPr>
        <xdr:cNvPr id="727" name="Connecteur droit 726">
          <a:extLst>
            <a:ext uri="{FF2B5EF4-FFF2-40B4-BE49-F238E27FC236}">
              <a16:creationId xmlns="" xmlns:a16="http://schemas.microsoft.com/office/drawing/2014/main" id="{00000000-0008-0000-2400-0000D7020000}"/>
            </a:ext>
          </a:extLst>
        </xdr:cNvPr>
        <xdr:cNvCxnSpPr/>
      </xdr:nvCxnSpPr>
      <xdr:spPr>
        <a:xfrm rot="16200000" flipV="1">
          <a:off x="13558840" y="1138235"/>
          <a:ext cx="504824" cy="457203"/>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58530</xdr:colOff>
      <xdr:row>10</xdr:row>
      <xdr:rowOff>8789</xdr:rowOff>
    </xdr:from>
    <xdr:to>
      <xdr:col>98</xdr:col>
      <xdr:colOff>61536</xdr:colOff>
      <xdr:row>15</xdr:row>
      <xdr:rowOff>1971</xdr:rowOff>
    </xdr:to>
    <xdr:sp macro="" textlink="">
      <xdr:nvSpPr>
        <xdr:cNvPr id="728" name="ZoneTexte 727">
          <a:extLst>
            <a:ext uri="{FF2B5EF4-FFF2-40B4-BE49-F238E27FC236}">
              <a16:creationId xmlns="" xmlns:a16="http://schemas.microsoft.com/office/drawing/2014/main" id="{00000000-0008-0000-2400-0000D8020000}"/>
            </a:ext>
          </a:extLst>
        </xdr:cNvPr>
        <xdr:cNvSpPr txBox="1"/>
      </xdr:nvSpPr>
      <xdr:spPr>
        <a:xfrm rot="3015194">
          <a:off x="13690250" y="1175109"/>
          <a:ext cx="466623" cy="2866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15</a:t>
          </a:r>
        </a:p>
      </xdr:txBody>
    </xdr:sp>
    <xdr:clientData/>
  </xdr:twoCellAnchor>
  <xdr:twoCellAnchor>
    <xdr:from>
      <xdr:col>94</xdr:col>
      <xdr:colOff>20539</xdr:colOff>
      <xdr:row>10</xdr:row>
      <xdr:rowOff>57784</xdr:rowOff>
    </xdr:from>
    <xdr:to>
      <xdr:col>96</xdr:col>
      <xdr:colOff>135</xdr:colOff>
      <xdr:row>12</xdr:row>
      <xdr:rowOff>16298</xdr:rowOff>
    </xdr:to>
    <xdr:cxnSp macro="">
      <xdr:nvCxnSpPr>
        <xdr:cNvPr id="729" name="Connecteur droit 728">
          <a:extLst>
            <a:ext uri="{FF2B5EF4-FFF2-40B4-BE49-F238E27FC236}">
              <a16:creationId xmlns="" xmlns:a16="http://schemas.microsoft.com/office/drawing/2014/main" id="{00000000-0008-0000-2400-0000D9020000}"/>
            </a:ext>
          </a:extLst>
        </xdr:cNvPr>
        <xdr:cNvCxnSpPr/>
      </xdr:nvCxnSpPr>
      <xdr:spPr>
        <a:xfrm rot="10800000" flipV="1">
          <a:off x="13481904" y="1114424"/>
          <a:ext cx="234097" cy="1592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2036</xdr:colOff>
      <xdr:row>14</xdr:row>
      <xdr:rowOff>10159</xdr:rowOff>
    </xdr:from>
    <xdr:to>
      <xdr:col>99</xdr:col>
      <xdr:colOff>20141</xdr:colOff>
      <xdr:row>15</xdr:row>
      <xdr:rowOff>58241</xdr:rowOff>
    </xdr:to>
    <xdr:cxnSp macro="">
      <xdr:nvCxnSpPr>
        <xdr:cNvPr id="730" name="Connecteur droit 729">
          <a:extLst>
            <a:ext uri="{FF2B5EF4-FFF2-40B4-BE49-F238E27FC236}">
              <a16:creationId xmlns="" xmlns:a16="http://schemas.microsoft.com/office/drawing/2014/main" id="{00000000-0008-0000-2400-0000DA020000}"/>
            </a:ext>
          </a:extLst>
        </xdr:cNvPr>
        <xdr:cNvCxnSpPr/>
      </xdr:nvCxnSpPr>
      <xdr:spPr>
        <a:xfrm rot="10800000" flipV="1">
          <a:off x="13867261" y="1457324"/>
          <a:ext cx="296414" cy="1614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38100</xdr:colOff>
      <xdr:row>13</xdr:row>
      <xdr:rowOff>19050</xdr:rowOff>
    </xdr:from>
    <xdr:to>
      <xdr:col>25</xdr:col>
      <xdr:colOff>38100</xdr:colOff>
      <xdr:row>25</xdr:row>
      <xdr:rowOff>0</xdr:rowOff>
    </xdr:to>
    <xdr:cxnSp macro="">
      <xdr:nvCxnSpPr>
        <xdr:cNvPr id="887299" name="Straight Connector 267">
          <a:extLst>
            <a:ext uri="{FF2B5EF4-FFF2-40B4-BE49-F238E27FC236}">
              <a16:creationId xmlns="" xmlns:a16="http://schemas.microsoft.com/office/drawing/2014/main" id="{00000000-0008-0000-2400-0000038A0D00}"/>
            </a:ext>
          </a:extLst>
        </xdr:cNvPr>
        <xdr:cNvCxnSpPr>
          <a:cxnSpLocks noChangeShapeType="1"/>
        </xdr:cNvCxnSpPr>
      </xdr:nvCxnSpPr>
      <xdr:spPr bwMode="auto">
        <a:xfrm rot="16200000" flipH="1">
          <a:off x="2968625" y="2028825"/>
          <a:ext cx="1123950" cy="0"/>
        </a:xfrm>
        <a:prstGeom prst="line">
          <a:avLst/>
        </a:prstGeom>
        <a:noFill/>
        <a:ln w="19050" algn="ctr">
          <a:solidFill>
            <a:srgbClr val="000000"/>
          </a:solidFill>
          <a:prstDash val="dashDot"/>
          <a:round/>
          <a:headEnd/>
          <a:tailEnd/>
        </a:ln>
        <a:extLst>
          <a:ext uri="{909E8E84-426E-40DD-AFC4-6F175D3DCCD1}">
            <a14:hiddenFill xmlns:a14="http://schemas.microsoft.com/office/drawing/2010/main">
              <a:noFill/>
            </a14:hiddenFill>
          </a:ext>
        </a:extLst>
      </xdr:spPr>
    </xdr:cxnSp>
    <xdr:clientData/>
  </xdr:twoCellAnchor>
</xdr:wsDr>
</file>

<file path=xl/drawings/drawing6.xml><?xml version="1.0" encoding="utf-8"?>
<xdr:wsDr xmlns:xdr="http://schemas.openxmlformats.org/drawingml/2006/spreadsheetDrawing" xmlns:a="http://schemas.openxmlformats.org/drawingml/2006/main">
  <xdr:twoCellAnchor>
    <xdr:from>
      <xdr:col>22</xdr:col>
      <xdr:colOff>74295</xdr:colOff>
      <xdr:row>101</xdr:row>
      <xdr:rowOff>635</xdr:rowOff>
    </xdr:from>
    <xdr:to>
      <xdr:col>29</xdr:col>
      <xdr:colOff>20068</xdr:colOff>
      <xdr:row>104</xdr:row>
      <xdr:rowOff>47676</xdr:rowOff>
    </xdr:to>
    <xdr:sp macro="" textlink="">
      <xdr:nvSpPr>
        <xdr:cNvPr id="2" name="Rectangle 1">
          <a:extLst>
            <a:ext uri="{FF2B5EF4-FFF2-40B4-BE49-F238E27FC236}">
              <a16:creationId xmlns="" xmlns:a16="http://schemas.microsoft.com/office/drawing/2014/main" id="{00000000-0008-0000-2500-000002000000}"/>
            </a:ext>
          </a:extLst>
        </xdr:cNvPr>
        <xdr:cNvSpPr/>
      </xdr:nvSpPr>
      <xdr:spPr>
        <a:xfrm>
          <a:off x="3733800" y="11553825"/>
          <a:ext cx="742950" cy="38873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26</xdr:col>
      <xdr:colOff>20320</xdr:colOff>
      <xdr:row>101</xdr:row>
      <xdr:rowOff>61249</xdr:rowOff>
    </xdr:from>
    <xdr:to>
      <xdr:col>28</xdr:col>
      <xdr:colOff>56969</xdr:colOff>
      <xdr:row>104</xdr:row>
      <xdr:rowOff>92</xdr:rowOff>
    </xdr:to>
    <xdr:sp macro="" textlink="">
      <xdr:nvSpPr>
        <xdr:cNvPr id="3" name="Rectangle 2">
          <a:extLst>
            <a:ext uri="{FF2B5EF4-FFF2-40B4-BE49-F238E27FC236}">
              <a16:creationId xmlns="" xmlns:a16="http://schemas.microsoft.com/office/drawing/2014/main" id="{00000000-0008-0000-2500-000003000000}"/>
            </a:ext>
          </a:extLst>
        </xdr:cNvPr>
        <xdr:cNvSpPr/>
      </xdr:nvSpPr>
      <xdr:spPr>
        <a:xfrm>
          <a:off x="4133850" y="11609359"/>
          <a:ext cx="276225" cy="293534"/>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23</xdr:col>
      <xdr:colOff>24765</xdr:colOff>
      <xdr:row>101</xdr:row>
      <xdr:rowOff>57760</xdr:rowOff>
    </xdr:from>
    <xdr:to>
      <xdr:col>25</xdr:col>
      <xdr:colOff>56676</xdr:colOff>
      <xdr:row>104</xdr:row>
      <xdr:rowOff>30995</xdr:rowOff>
    </xdr:to>
    <xdr:sp macro="" textlink="">
      <xdr:nvSpPr>
        <xdr:cNvPr id="4" name="Rectangle 3">
          <a:extLst>
            <a:ext uri="{FF2B5EF4-FFF2-40B4-BE49-F238E27FC236}">
              <a16:creationId xmlns="" xmlns:a16="http://schemas.microsoft.com/office/drawing/2014/main" id="{00000000-0008-0000-2500-000004000000}"/>
            </a:ext>
          </a:extLst>
        </xdr:cNvPr>
        <xdr:cNvSpPr/>
      </xdr:nvSpPr>
      <xdr:spPr>
        <a:xfrm>
          <a:off x="3781425" y="11610950"/>
          <a:ext cx="276225" cy="293534"/>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138</xdr:col>
      <xdr:colOff>139700</xdr:colOff>
      <xdr:row>98</xdr:row>
      <xdr:rowOff>19050</xdr:rowOff>
    </xdr:from>
    <xdr:to>
      <xdr:col>153</xdr:col>
      <xdr:colOff>6350</xdr:colOff>
      <xdr:row>105</xdr:row>
      <xdr:rowOff>31750</xdr:rowOff>
    </xdr:to>
    <xdr:sp macro="" textlink="">
      <xdr:nvSpPr>
        <xdr:cNvPr id="886658" name="Rectangle 26" descr="Light vertical">
          <a:extLst>
            <a:ext uri="{FF2B5EF4-FFF2-40B4-BE49-F238E27FC236}">
              <a16:creationId xmlns="" xmlns:a16="http://schemas.microsoft.com/office/drawing/2014/main" id="{00000000-0008-0000-2500-000082870D00}"/>
            </a:ext>
          </a:extLst>
        </xdr:cNvPr>
        <xdr:cNvSpPr>
          <a:spLocks noChangeArrowheads="1"/>
        </xdr:cNvSpPr>
      </xdr:nvSpPr>
      <xdr:spPr bwMode="auto">
        <a:xfrm>
          <a:off x="16344900" y="11220450"/>
          <a:ext cx="2000250" cy="8128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82</xdr:col>
      <xdr:colOff>57150</xdr:colOff>
      <xdr:row>98</xdr:row>
      <xdr:rowOff>31750</xdr:rowOff>
    </xdr:from>
    <xdr:to>
      <xdr:col>100</xdr:col>
      <xdr:colOff>19050</xdr:colOff>
      <xdr:row>105</xdr:row>
      <xdr:rowOff>38100</xdr:rowOff>
    </xdr:to>
    <xdr:sp macro="" textlink="">
      <xdr:nvSpPr>
        <xdr:cNvPr id="886659" name="Rectangle 26" descr="Light vertical">
          <a:extLst>
            <a:ext uri="{FF2B5EF4-FFF2-40B4-BE49-F238E27FC236}">
              <a16:creationId xmlns="" xmlns:a16="http://schemas.microsoft.com/office/drawing/2014/main" id="{00000000-0008-0000-2500-000083870D00}"/>
            </a:ext>
          </a:extLst>
        </xdr:cNvPr>
        <xdr:cNvSpPr>
          <a:spLocks noChangeArrowheads="1"/>
        </xdr:cNvSpPr>
      </xdr:nvSpPr>
      <xdr:spPr bwMode="auto">
        <a:xfrm>
          <a:off x="10547350" y="11233150"/>
          <a:ext cx="2019300" cy="80645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23</xdr:col>
      <xdr:colOff>74930</xdr:colOff>
      <xdr:row>47</xdr:row>
      <xdr:rowOff>635</xdr:rowOff>
    </xdr:from>
    <xdr:to>
      <xdr:col>28</xdr:col>
      <xdr:colOff>57866</xdr:colOff>
      <xdr:row>51</xdr:row>
      <xdr:rowOff>61016</xdr:rowOff>
    </xdr:to>
    <xdr:sp macro="" textlink="">
      <xdr:nvSpPr>
        <xdr:cNvPr id="7" name="Ellipse 6">
          <a:extLst>
            <a:ext uri="{FF2B5EF4-FFF2-40B4-BE49-F238E27FC236}">
              <a16:creationId xmlns="" xmlns:a16="http://schemas.microsoft.com/office/drawing/2014/main" id="{00000000-0008-0000-2500-000007000000}"/>
            </a:ext>
          </a:extLst>
        </xdr:cNvPr>
        <xdr:cNvSpPr/>
      </xdr:nvSpPr>
      <xdr:spPr>
        <a:xfrm>
          <a:off x="3857625" y="5381625"/>
          <a:ext cx="533400" cy="495300"/>
        </a:xfrm>
        <a:prstGeom prst="ellipse">
          <a:avLst/>
        </a:prstGeom>
        <a:solidFill>
          <a:schemeClr val="accent6">
            <a:lumMod val="60000"/>
            <a:lumOff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47</xdr:col>
      <xdr:colOff>19050</xdr:colOff>
      <xdr:row>29</xdr:row>
      <xdr:rowOff>63500</xdr:rowOff>
    </xdr:from>
    <xdr:to>
      <xdr:col>56</xdr:col>
      <xdr:colOff>0</xdr:colOff>
      <xdr:row>35</xdr:row>
      <xdr:rowOff>31750</xdr:rowOff>
    </xdr:to>
    <xdr:sp macro="" textlink="">
      <xdr:nvSpPr>
        <xdr:cNvPr id="886661" name="Rectangle 447" descr="Cork">
          <a:extLst>
            <a:ext uri="{FF2B5EF4-FFF2-40B4-BE49-F238E27FC236}">
              <a16:creationId xmlns="" xmlns:a16="http://schemas.microsoft.com/office/drawing/2014/main" id="{00000000-0008-0000-2500-000085870D00}"/>
            </a:ext>
          </a:extLst>
        </xdr:cNvPr>
        <xdr:cNvSpPr>
          <a:spLocks noChangeArrowheads="1"/>
        </xdr:cNvSpPr>
      </xdr:nvSpPr>
      <xdr:spPr bwMode="auto">
        <a:xfrm>
          <a:off x="6508750" y="3378200"/>
          <a:ext cx="1009650" cy="654050"/>
        </a:xfrm>
        <a:prstGeom prst="rect">
          <a:avLst/>
        </a:prstGeom>
        <a:blipFill dpi="0" rotWithShape="0">
          <a:blip xmlns:r="http://schemas.openxmlformats.org/officeDocument/2006/relationships" r:embed="rId2"/>
          <a:srcRect/>
          <a:tile tx="0" ty="0" sx="100000" sy="100000" flip="none" algn="tl"/>
        </a:blipFill>
        <a:ln w="9525">
          <a:solidFill>
            <a:srgbClr val="000000"/>
          </a:solidFill>
          <a:miter lim="800000"/>
          <a:headEnd/>
          <a:tailEnd/>
        </a:ln>
      </xdr:spPr>
    </xdr:sp>
    <xdr:clientData/>
  </xdr:twoCellAnchor>
  <xdr:twoCellAnchor>
    <xdr:from>
      <xdr:col>3</xdr:col>
      <xdr:colOff>412750</xdr:colOff>
      <xdr:row>29</xdr:row>
      <xdr:rowOff>63500</xdr:rowOff>
    </xdr:from>
    <xdr:to>
      <xdr:col>11</xdr:col>
      <xdr:colOff>88900</xdr:colOff>
      <xdr:row>35</xdr:row>
      <xdr:rowOff>31750</xdr:rowOff>
    </xdr:to>
    <xdr:sp macro="" textlink="">
      <xdr:nvSpPr>
        <xdr:cNvPr id="886662" name="Rectangle 447" descr="Cork">
          <a:extLst>
            <a:ext uri="{FF2B5EF4-FFF2-40B4-BE49-F238E27FC236}">
              <a16:creationId xmlns="" xmlns:a16="http://schemas.microsoft.com/office/drawing/2014/main" id="{00000000-0008-0000-2500-000086870D00}"/>
            </a:ext>
          </a:extLst>
        </xdr:cNvPr>
        <xdr:cNvSpPr>
          <a:spLocks noChangeArrowheads="1"/>
        </xdr:cNvSpPr>
      </xdr:nvSpPr>
      <xdr:spPr bwMode="auto">
        <a:xfrm>
          <a:off x="1377950" y="3378200"/>
          <a:ext cx="1085850" cy="654050"/>
        </a:xfrm>
        <a:prstGeom prst="rect">
          <a:avLst/>
        </a:prstGeom>
        <a:blipFill dpi="0" rotWithShape="0">
          <a:blip xmlns:r="http://schemas.openxmlformats.org/officeDocument/2006/relationships" r:embed="rId2"/>
          <a:srcRect/>
          <a:tile tx="0" ty="0" sx="100000" sy="100000" flip="none" algn="tl"/>
        </a:blipFill>
        <a:ln w="9525">
          <a:solidFill>
            <a:srgbClr val="000000"/>
          </a:solidFill>
          <a:miter lim="800000"/>
          <a:headEnd/>
          <a:tailEnd/>
        </a:ln>
      </xdr:spPr>
    </xdr:sp>
    <xdr:clientData/>
  </xdr:twoCellAnchor>
  <xdr:twoCellAnchor>
    <xdr:from>
      <xdr:col>125</xdr:col>
      <xdr:colOff>6350</xdr:colOff>
      <xdr:row>91</xdr:row>
      <xdr:rowOff>31750</xdr:rowOff>
    </xdr:from>
    <xdr:to>
      <xdr:col>126</xdr:col>
      <xdr:colOff>19050</xdr:colOff>
      <xdr:row>122</xdr:row>
      <xdr:rowOff>6350</xdr:rowOff>
    </xdr:to>
    <xdr:sp macro="" textlink="">
      <xdr:nvSpPr>
        <xdr:cNvPr id="886663" name="Rectangle 343">
          <a:extLst>
            <a:ext uri="{FF2B5EF4-FFF2-40B4-BE49-F238E27FC236}">
              <a16:creationId xmlns="" xmlns:a16="http://schemas.microsoft.com/office/drawing/2014/main" id="{00000000-0008-0000-2500-000087870D00}"/>
            </a:ext>
          </a:extLst>
        </xdr:cNvPr>
        <xdr:cNvSpPr>
          <a:spLocks noChangeArrowheads="1"/>
        </xdr:cNvSpPr>
      </xdr:nvSpPr>
      <xdr:spPr bwMode="auto">
        <a:xfrm>
          <a:off x="14471650" y="10433050"/>
          <a:ext cx="133350" cy="351790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124</xdr:col>
      <xdr:colOff>76200</xdr:colOff>
      <xdr:row>88</xdr:row>
      <xdr:rowOff>88900</xdr:rowOff>
    </xdr:from>
    <xdr:to>
      <xdr:col>126</xdr:col>
      <xdr:colOff>44450</xdr:colOff>
      <xdr:row>91</xdr:row>
      <xdr:rowOff>31750</xdr:rowOff>
    </xdr:to>
    <xdr:sp macro="" textlink="">
      <xdr:nvSpPr>
        <xdr:cNvPr id="886664" name="Rectangle 354" descr="Outlined diamond">
          <a:extLst>
            <a:ext uri="{FF2B5EF4-FFF2-40B4-BE49-F238E27FC236}">
              <a16:creationId xmlns="" xmlns:a16="http://schemas.microsoft.com/office/drawing/2014/main" id="{00000000-0008-0000-2500-000088870D00}"/>
            </a:ext>
          </a:extLst>
        </xdr:cNvPr>
        <xdr:cNvSpPr>
          <a:spLocks noChangeArrowheads="1"/>
        </xdr:cNvSpPr>
      </xdr:nvSpPr>
      <xdr:spPr bwMode="auto">
        <a:xfrm flipV="1">
          <a:off x="14420850" y="10147300"/>
          <a:ext cx="209550" cy="28575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137</xdr:col>
      <xdr:colOff>82550</xdr:colOff>
      <xdr:row>91</xdr:row>
      <xdr:rowOff>6350</xdr:rowOff>
    </xdr:from>
    <xdr:to>
      <xdr:col>138</xdr:col>
      <xdr:colOff>63500</xdr:colOff>
      <xdr:row>123</xdr:row>
      <xdr:rowOff>6350</xdr:rowOff>
    </xdr:to>
    <xdr:sp macro="" textlink="">
      <xdr:nvSpPr>
        <xdr:cNvPr id="886665" name="Rectangle 343">
          <a:extLst>
            <a:ext uri="{FF2B5EF4-FFF2-40B4-BE49-F238E27FC236}">
              <a16:creationId xmlns="" xmlns:a16="http://schemas.microsoft.com/office/drawing/2014/main" id="{00000000-0008-0000-2500-000089870D00}"/>
            </a:ext>
          </a:extLst>
        </xdr:cNvPr>
        <xdr:cNvSpPr>
          <a:spLocks noChangeArrowheads="1"/>
        </xdr:cNvSpPr>
      </xdr:nvSpPr>
      <xdr:spPr bwMode="auto">
        <a:xfrm>
          <a:off x="16109950" y="10407650"/>
          <a:ext cx="158750" cy="365760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137</xdr:col>
      <xdr:colOff>57150</xdr:colOff>
      <xdr:row>88</xdr:row>
      <xdr:rowOff>88900</xdr:rowOff>
    </xdr:from>
    <xdr:to>
      <xdr:col>138</xdr:col>
      <xdr:colOff>82550</xdr:colOff>
      <xdr:row>91</xdr:row>
      <xdr:rowOff>31750</xdr:rowOff>
    </xdr:to>
    <xdr:sp macro="" textlink="">
      <xdr:nvSpPr>
        <xdr:cNvPr id="886666" name="Rectangle 354" descr="Outlined diamond">
          <a:extLst>
            <a:ext uri="{FF2B5EF4-FFF2-40B4-BE49-F238E27FC236}">
              <a16:creationId xmlns="" xmlns:a16="http://schemas.microsoft.com/office/drawing/2014/main" id="{00000000-0008-0000-2500-00008A870D00}"/>
            </a:ext>
          </a:extLst>
        </xdr:cNvPr>
        <xdr:cNvSpPr>
          <a:spLocks noChangeArrowheads="1"/>
        </xdr:cNvSpPr>
      </xdr:nvSpPr>
      <xdr:spPr bwMode="auto">
        <a:xfrm flipV="1">
          <a:off x="16084550" y="10147300"/>
          <a:ext cx="203200" cy="28575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101</xdr:col>
      <xdr:colOff>19050</xdr:colOff>
      <xdr:row>91</xdr:row>
      <xdr:rowOff>50800</xdr:rowOff>
    </xdr:from>
    <xdr:to>
      <xdr:col>111</xdr:col>
      <xdr:colOff>25400</xdr:colOff>
      <xdr:row>122</xdr:row>
      <xdr:rowOff>57150</xdr:rowOff>
    </xdr:to>
    <xdr:sp macro="" textlink="">
      <xdr:nvSpPr>
        <xdr:cNvPr id="886667" name="Rectangle 343">
          <a:extLst>
            <a:ext uri="{FF2B5EF4-FFF2-40B4-BE49-F238E27FC236}">
              <a16:creationId xmlns="" xmlns:a16="http://schemas.microsoft.com/office/drawing/2014/main" id="{00000000-0008-0000-2500-00008B870D00}"/>
            </a:ext>
          </a:extLst>
        </xdr:cNvPr>
        <xdr:cNvSpPr>
          <a:spLocks noChangeArrowheads="1"/>
        </xdr:cNvSpPr>
      </xdr:nvSpPr>
      <xdr:spPr bwMode="auto">
        <a:xfrm>
          <a:off x="12680950" y="10452100"/>
          <a:ext cx="120650" cy="354965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86</xdr:col>
      <xdr:colOff>0</xdr:colOff>
      <xdr:row>105</xdr:row>
      <xdr:rowOff>31750</xdr:rowOff>
    </xdr:from>
    <xdr:to>
      <xdr:col>151</xdr:col>
      <xdr:colOff>114300</xdr:colOff>
      <xdr:row>127</xdr:row>
      <xdr:rowOff>63500</xdr:rowOff>
    </xdr:to>
    <xdr:sp macro="" textlink="">
      <xdr:nvSpPr>
        <xdr:cNvPr id="886668" name="Rectangle 439" descr="Newsprint">
          <a:extLst>
            <a:ext uri="{FF2B5EF4-FFF2-40B4-BE49-F238E27FC236}">
              <a16:creationId xmlns="" xmlns:a16="http://schemas.microsoft.com/office/drawing/2014/main" id="{00000000-0008-0000-2500-00008C870D00}"/>
            </a:ext>
          </a:extLst>
        </xdr:cNvPr>
        <xdr:cNvSpPr>
          <a:spLocks noChangeArrowheads="1"/>
        </xdr:cNvSpPr>
      </xdr:nvSpPr>
      <xdr:spPr bwMode="auto">
        <a:xfrm>
          <a:off x="10947400" y="12033250"/>
          <a:ext cx="7226300" cy="2546350"/>
        </a:xfrm>
        <a:prstGeom prst="rect">
          <a:avLst/>
        </a:prstGeom>
        <a:blipFill dpi="0" rotWithShape="0">
          <a:blip xmlns:r="http://schemas.openxmlformats.org/officeDocument/2006/relationships" r:embed="rId4"/>
          <a:srcRect/>
          <a:tile tx="0" ty="0" sx="100000" sy="100000" flip="none" algn="tl"/>
        </a:blipFill>
        <a:ln w="9525">
          <a:solidFill>
            <a:srgbClr val="000000"/>
          </a:solidFill>
          <a:miter lim="800000"/>
          <a:headEnd/>
          <a:tailEnd/>
        </a:ln>
      </xdr:spPr>
    </xdr:sp>
    <xdr:clientData/>
  </xdr:twoCellAnchor>
  <xdr:twoCellAnchor>
    <xdr:from>
      <xdr:col>83</xdr:col>
      <xdr:colOff>38100</xdr:colOff>
      <xdr:row>105</xdr:row>
      <xdr:rowOff>19050</xdr:rowOff>
    </xdr:from>
    <xdr:to>
      <xdr:col>152</xdr:col>
      <xdr:colOff>63500</xdr:colOff>
      <xdr:row>106</xdr:row>
      <xdr:rowOff>31750</xdr:rowOff>
    </xdr:to>
    <xdr:sp macro="" textlink="">
      <xdr:nvSpPr>
        <xdr:cNvPr id="886669" name="Rectangle 441">
          <a:extLst>
            <a:ext uri="{FF2B5EF4-FFF2-40B4-BE49-F238E27FC236}">
              <a16:creationId xmlns="" xmlns:a16="http://schemas.microsoft.com/office/drawing/2014/main" id="{00000000-0008-0000-2500-00008D870D00}"/>
            </a:ext>
          </a:extLst>
        </xdr:cNvPr>
        <xdr:cNvSpPr>
          <a:spLocks noChangeArrowheads="1"/>
        </xdr:cNvSpPr>
      </xdr:nvSpPr>
      <xdr:spPr bwMode="auto">
        <a:xfrm rot="5400000">
          <a:off x="14389100" y="8274050"/>
          <a:ext cx="127000" cy="7620000"/>
        </a:xfrm>
        <a:prstGeom prst="rect">
          <a:avLst/>
        </a:prstGeom>
        <a:solidFill>
          <a:srgbClr val="00B0F0">
            <a:alpha val="58038"/>
          </a:srgbClr>
        </a:solidFill>
        <a:ln w="9525">
          <a:solidFill>
            <a:srgbClr val="000000"/>
          </a:solidFill>
          <a:miter lim="800000"/>
          <a:headEnd/>
          <a:tailEnd/>
        </a:ln>
      </xdr:spPr>
    </xdr:sp>
    <xdr:clientData/>
  </xdr:twoCellAnchor>
  <xdr:twoCellAnchor>
    <xdr:from>
      <xdr:col>92</xdr:col>
      <xdr:colOff>31750</xdr:colOff>
      <xdr:row>95</xdr:row>
      <xdr:rowOff>6350</xdr:rowOff>
    </xdr:from>
    <xdr:to>
      <xdr:col>145</xdr:col>
      <xdr:colOff>95250</xdr:colOff>
      <xdr:row>105</xdr:row>
      <xdr:rowOff>31750</xdr:rowOff>
    </xdr:to>
    <xdr:sp macro="" textlink="">
      <xdr:nvSpPr>
        <xdr:cNvPr id="886670" name="Rectangle 26" descr="Light vertical">
          <a:extLst>
            <a:ext uri="{FF2B5EF4-FFF2-40B4-BE49-F238E27FC236}">
              <a16:creationId xmlns="" xmlns:a16="http://schemas.microsoft.com/office/drawing/2014/main" id="{00000000-0008-0000-2500-00008E870D00}"/>
            </a:ext>
          </a:extLst>
        </xdr:cNvPr>
        <xdr:cNvSpPr>
          <a:spLocks noChangeArrowheads="1"/>
        </xdr:cNvSpPr>
      </xdr:nvSpPr>
      <xdr:spPr bwMode="auto">
        <a:xfrm>
          <a:off x="11664950" y="10864850"/>
          <a:ext cx="5695950" cy="11684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45</xdr:col>
      <xdr:colOff>63500</xdr:colOff>
      <xdr:row>12</xdr:row>
      <xdr:rowOff>19050</xdr:rowOff>
    </xdr:from>
    <xdr:to>
      <xdr:col>47</xdr:col>
      <xdr:colOff>19050</xdr:colOff>
      <xdr:row>36</xdr:row>
      <xdr:rowOff>50800</xdr:rowOff>
    </xdr:to>
    <xdr:sp macro="" textlink="">
      <xdr:nvSpPr>
        <xdr:cNvPr id="886671" name="Rectangle 452">
          <a:extLst>
            <a:ext uri="{FF2B5EF4-FFF2-40B4-BE49-F238E27FC236}">
              <a16:creationId xmlns="" xmlns:a16="http://schemas.microsoft.com/office/drawing/2014/main" id="{00000000-0008-0000-2500-00008F870D00}"/>
            </a:ext>
          </a:extLst>
        </xdr:cNvPr>
        <xdr:cNvSpPr>
          <a:spLocks noChangeArrowheads="1"/>
        </xdr:cNvSpPr>
      </xdr:nvSpPr>
      <xdr:spPr bwMode="auto">
        <a:xfrm>
          <a:off x="6324600" y="1390650"/>
          <a:ext cx="184150" cy="2774950"/>
        </a:xfrm>
        <a:prstGeom prst="rect">
          <a:avLst/>
        </a:prstGeom>
        <a:solidFill>
          <a:srgbClr val="FFFFFF"/>
        </a:solidFill>
        <a:ln w="9525">
          <a:solidFill>
            <a:srgbClr val="000000"/>
          </a:solidFill>
          <a:miter lim="800000"/>
          <a:headEnd/>
          <a:tailEnd/>
        </a:ln>
      </xdr:spPr>
    </xdr:sp>
    <xdr:clientData/>
  </xdr:twoCellAnchor>
  <xdr:twoCellAnchor>
    <xdr:from>
      <xdr:col>10</xdr:col>
      <xdr:colOff>19050</xdr:colOff>
      <xdr:row>12</xdr:row>
      <xdr:rowOff>19050</xdr:rowOff>
    </xdr:from>
    <xdr:to>
      <xdr:col>11</xdr:col>
      <xdr:colOff>88900</xdr:colOff>
      <xdr:row>36</xdr:row>
      <xdr:rowOff>50800</xdr:rowOff>
    </xdr:to>
    <xdr:sp macro="" textlink="">
      <xdr:nvSpPr>
        <xdr:cNvPr id="886672" name="Rectangle 451">
          <a:extLst>
            <a:ext uri="{FF2B5EF4-FFF2-40B4-BE49-F238E27FC236}">
              <a16:creationId xmlns="" xmlns:a16="http://schemas.microsoft.com/office/drawing/2014/main" id="{00000000-0008-0000-2500-000090870D00}"/>
            </a:ext>
          </a:extLst>
        </xdr:cNvPr>
        <xdr:cNvSpPr>
          <a:spLocks noChangeArrowheads="1"/>
        </xdr:cNvSpPr>
      </xdr:nvSpPr>
      <xdr:spPr bwMode="auto">
        <a:xfrm>
          <a:off x="2279650" y="1390650"/>
          <a:ext cx="184150" cy="2774950"/>
        </a:xfrm>
        <a:prstGeom prst="rect">
          <a:avLst/>
        </a:prstGeom>
        <a:solidFill>
          <a:srgbClr val="FFFFFF"/>
        </a:solidFill>
        <a:ln w="12700">
          <a:solidFill>
            <a:srgbClr val="000000"/>
          </a:solidFill>
          <a:miter lim="800000"/>
          <a:headEnd/>
          <a:tailEnd/>
        </a:ln>
      </xdr:spPr>
    </xdr:sp>
    <xdr:clientData/>
  </xdr:twoCellAnchor>
  <xdr:twoCellAnchor>
    <xdr:from>
      <xdr:col>11</xdr:col>
      <xdr:colOff>88900</xdr:colOff>
      <xdr:row>12</xdr:row>
      <xdr:rowOff>19050</xdr:rowOff>
    </xdr:from>
    <xdr:to>
      <xdr:col>45</xdr:col>
      <xdr:colOff>88900</xdr:colOff>
      <xdr:row>14</xdr:row>
      <xdr:rowOff>0</xdr:rowOff>
    </xdr:to>
    <xdr:sp macro="" textlink="">
      <xdr:nvSpPr>
        <xdr:cNvPr id="886673" name="Rectangle 448">
          <a:extLst>
            <a:ext uri="{FF2B5EF4-FFF2-40B4-BE49-F238E27FC236}">
              <a16:creationId xmlns="" xmlns:a16="http://schemas.microsoft.com/office/drawing/2014/main" id="{00000000-0008-0000-2500-000091870D00}"/>
            </a:ext>
          </a:extLst>
        </xdr:cNvPr>
        <xdr:cNvSpPr>
          <a:spLocks noChangeArrowheads="1"/>
        </xdr:cNvSpPr>
      </xdr:nvSpPr>
      <xdr:spPr bwMode="auto">
        <a:xfrm>
          <a:off x="2463800" y="1390650"/>
          <a:ext cx="3886200" cy="209550"/>
        </a:xfrm>
        <a:prstGeom prst="rect">
          <a:avLst/>
        </a:prstGeom>
        <a:solidFill>
          <a:srgbClr val="FFFFFF"/>
        </a:solidFill>
        <a:ln w="9525">
          <a:solidFill>
            <a:srgbClr val="000000"/>
          </a:solidFill>
          <a:miter lim="800000"/>
          <a:headEnd/>
          <a:tailEnd/>
        </a:ln>
      </xdr:spPr>
    </xdr:sp>
    <xdr:clientData/>
  </xdr:twoCellAnchor>
  <xdr:twoCellAnchor>
    <xdr:from>
      <xdr:col>18</xdr:col>
      <xdr:colOff>0</xdr:colOff>
      <xdr:row>57</xdr:row>
      <xdr:rowOff>6350</xdr:rowOff>
    </xdr:from>
    <xdr:to>
      <xdr:col>52</xdr:col>
      <xdr:colOff>6350</xdr:colOff>
      <xdr:row>57</xdr:row>
      <xdr:rowOff>6350</xdr:rowOff>
    </xdr:to>
    <xdr:sp macro="" textlink="">
      <xdr:nvSpPr>
        <xdr:cNvPr id="886674" name="Line 44">
          <a:extLst>
            <a:ext uri="{FF2B5EF4-FFF2-40B4-BE49-F238E27FC236}">
              <a16:creationId xmlns="" xmlns:a16="http://schemas.microsoft.com/office/drawing/2014/main" id="{00000000-0008-0000-2500-000092870D00}"/>
            </a:ext>
          </a:extLst>
        </xdr:cNvPr>
        <xdr:cNvSpPr>
          <a:spLocks noChangeShapeType="1"/>
        </xdr:cNvSpPr>
      </xdr:nvSpPr>
      <xdr:spPr bwMode="auto">
        <a:xfrm>
          <a:off x="3175000" y="6521450"/>
          <a:ext cx="38925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69</xdr:col>
      <xdr:colOff>57785</xdr:colOff>
      <xdr:row>4</xdr:row>
      <xdr:rowOff>0</xdr:rowOff>
    </xdr:from>
    <xdr:to>
      <xdr:col>80</xdr:col>
      <xdr:colOff>24826</xdr:colOff>
      <xdr:row>4</xdr:row>
      <xdr:rowOff>0</xdr:rowOff>
    </xdr:to>
    <xdr:sp macro="" textlink="">
      <xdr:nvSpPr>
        <xdr:cNvPr id="22" name="Text Box 143">
          <a:extLst>
            <a:ext uri="{FF2B5EF4-FFF2-40B4-BE49-F238E27FC236}">
              <a16:creationId xmlns="" xmlns:a16="http://schemas.microsoft.com/office/drawing/2014/main" id="{00000000-0008-0000-2500-000016000000}"/>
            </a:ext>
          </a:extLst>
        </xdr:cNvPr>
        <xdr:cNvSpPr txBox="1">
          <a:spLocks noChangeArrowheads="1"/>
        </xdr:cNvSpPr>
      </xdr:nvSpPr>
      <xdr:spPr bwMode="auto">
        <a:xfrm>
          <a:off x="9077325" y="457200"/>
          <a:ext cx="1219200" cy="0"/>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fr-FR" sz="800" b="1" i="0" strike="noStrike">
              <a:solidFill>
                <a:srgbClr val="000000"/>
              </a:solidFill>
              <a:latin typeface="Arial"/>
              <a:cs typeface="Arial"/>
            </a:rPr>
            <a:t>Plastic Sheeting/paille</a:t>
          </a:r>
        </a:p>
      </xdr:txBody>
    </xdr:sp>
    <xdr:clientData/>
  </xdr:twoCellAnchor>
  <xdr:twoCellAnchor>
    <xdr:from>
      <xdr:col>73</xdr:col>
      <xdr:colOff>29210</xdr:colOff>
      <xdr:row>4</xdr:row>
      <xdr:rowOff>0</xdr:rowOff>
    </xdr:from>
    <xdr:to>
      <xdr:col>84</xdr:col>
      <xdr:colOff>2101</xdr:colOff>
      <xdr:row>4</xdr:row>
      <xdr:rowOff>0</xdr:rowOff>
    </xdr:to>
    <xdr:sp macro="" textlink="">
      <xdr:nvSpPr>
        <xdr:cNvPr id="23" name="Text Box 167">
          <a:extLst>
            <a:ext uri="{FF2B5EF4-FFF2-40B4-BE49-F238E27FC236}">
              <a16:creationId xmlns="" xmlns:a16="http://schemas.microsoft.com/office/drawing/2014/main" id="{00000000-0008-0000-2500-000017000000}"/>
            </a:ext>
          </a:extLst>
        </xdr:cNvPr>
        <xdr:cNvSpPr txBox="1">
          <a:spLocks noChangeArrowheads="1"/>
        </xdr:cNvSpPr>
      </xdr:nvSpPr>
      <xdr:spPr bwMode="auto">
        <a:xfrm>
          <a:off x="9525000" y="457200"/>
          <a:ext cx="1219200" cy="0"/>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fr-FR" sz="800" b="1" i="0" strike="noStrike">
              <a:solidFill>
                <a:srgbClr val="000000"/>
              </a:solidFill>
              <a:latin typeface="Arial"/>
              <a:cs typeface="Arial"/>
            </a:rPr>
            <a:t>Plastic Sheeting/paille</a:t>
          </a:r>
        </a:p>
      </xdr:txBody>
    </xdr:sp>
    <xdr:clientData/>
  </xdr:twoCellAnchor>
  <xdr:twoCellAnchor>
    <xdr:from>
      <xdr:col>31</xdr:col>
      <xdr:colOff>74295</xdr:colOff>
      <xdr:row>57</xdr:row>
      <xdr:rowOff>60960</xdr:rowOff>
    </xdr:from>
    <xdr:to>
      <xdr:col>36</xdr:col>
      <xdr:colOff>4714</xdr:colOff>
      <xdr:row>59</xdr:row>
      <xdr:rowOff>57912</xdr:rowOff>
    </xdr:to>
    <xdr:sp macro="" textlink="">
      <xdr:nvSpPr>
        <xdr:cNvPr id="24" name="Text Box 171">
          <a:extLst>
            <a:ext uri="{FF2B5EF4-FFF2-40B4-BE49-F238E27FC236}">
              <a16:creationId xmlns="" xmlns:a16="http://schemas.microsoft.com/office/drawing/2014/main" id="{00000000-0008-0000-2500-000018000000}"/>
            </a:ext>
          </a:extLst>
        </xdr:cNvPr>
        <xdr:cNvSpPr txBox="1">
          <a:spLocks noChangeArrowheads="1"/>
        </xdr:cNvSpPr>
      </xdr:nvSpPr>
      <xdr:spPr bwMode="auto">
        <a:xfrm>
          <a:off x="4762500" y="6562725"/>
          <a:ext cx="523875" cy="238125"/>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3.60 m</a:t>
          </a:r>
        </a:p>
      </xdr:txBody>
    </xdr:sp>
    <xdr:clientData/>
  </xdr:twoCellAnchor>
  <xdr:twoCellAnchor>
    <xdr:from>
      <xdr:col>109</xdr:col>
      <xdr:colOff>95250</xdr:colOff>
      <xdr:row>4</xdr:row>
      <xdr:rowOff>0</xdr:rowOff>
    </xdr:from>
    <xdr:to>
      <xdr:col>109</xdr:col>
      <xdr:colOff>95250</xdr:colOff>
      <xdr:row>4</xdr:row>
      <xdr:rowOff>0</xdr:rowOff>
    </xdr:to>
    <xdr:sp macro="" textlink="">
      <xdr:nvSpPr>
        <xdr:cNvPr id="886678" name="Line 238">
          <a:extLst>
            <a:ext uri="{FF2B5EF4-FFF2-40B4-BE49-F238E27FC236}">
              <a16:creationId xmlns="" xmlns:a16="http://schemas.microsoft.com/office/drawing/2014/main" id="{00000000-0008-0000-2500-000096870D00}"/>
            </a:ext>
          </a:extLst>
        </xdr:cNvPr>
        <xdr:cNvSpPr>
          <a:spLocks noChangeShapeType="1"/>
        </xdr:cNvSpPr>
      </xdr:nvSpPr>
      <xdr:spPr bwMode="auto">
        <a:xfrm>
          <a:off x="12776200" y="457200"/>
          <a:ext cx="0"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109</xdr:col>
      <xdr:colOff>184150</xdr:colOff>
      <xdr:row>4</xdr:row>
      <xdr:rowOff>0</xdr:rowOff>
    </xdr:from>
    <xdr:to>
      <xdr:col>109</xdr:col>
      <xdr:colOff>184150</xdr:colOff>
      <xdr:row>4</xdr:row>
      <xdr:rowOff>63500</xdr:rowOff>
    </xdr:to>
    <xdr:sp macro="" textlink="">
      <xdr:nvSpPr>
        <xdr:cNvPr id="886679" name="Line 239">
          <a:extLst>
            <a:ext uri="{FF2B5EF4-FFF2-40B4-BE49-F238E27FC236}">
              <a16:creationId xmlns="" xmlns:a16="http://schemas.microsoft.com/office/drawing/2014/main" id="{00000000-0008-0000-2500-000097870D00}"/>
            </a:ext>
          </a:extLst>
        </xdr:cNvPr>
        <xdr:cNvSpPr>
          <a:spLocks noChangeShapeType="1"/>
        </xdr:cNvSpPr>
      </xdr:nvSpPr>
      <xdr:spPr bwMode="auto">
        <a:xfrm>
          <a:off x="12776200" y="457200"/>
          <a:ext cx="0" cy="6350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63</xdr:row>
      <xdr:rowOff>6350</xdr:rowOff>
    </xdr:from>
    <xdr:to>
      <xdr:col>51</xdr:col>
      <xdr:colOff>76200</xdr:colOff>
      <xdr:row>81</xdr:row>
      <xdr:rowOff>57150</xdr:rowOff>
    </xdr:to>
    <xdr:sp macro="" textlink="">
      <xdr:nvSpPr>
        <xdr:cNvPr id="886680" name="Rectangle 259" descr="Cork">
          <a:extLst>
            <a:ext uri="{FF2B5EF4-FFF2-40B4-BE49-F238E27FC236}">
              <a16:creationId xmlns="" xmlns:a16="http://schemas.microsoft.com/office/drawing/2014/main" id="{00000000-0008-0000-2500-000098870D00}"/>
            </a:ext>
          </a:extLst>
        </xdr:cNvPr>
        <xdr:cNvSpPr>
          <a:spLocks noChangeArrowheads="1"/>
        </xdr:cNvSpPr>
      </xdr:nvSpPr>
      <xdr:spPr bwMode="auto">
        <a:xfrm>
          <a:off x="3175000" y="7207250"/>
          <a:ext cx="3848100" cy="2108200"/>
        </a:xfrm>
        <a:prstGeom prst="rect">
          <a:avLst/>
        </a:prstGeom>
        <a:blipFill dpi="0" rotWithShape="0">
          <a:blip xmlns:r="http://schemas.openxmlformats.org/officeDocument/2006/relationships" r:embed="rId5"/>
          <a:srcRect/>
          <a:tile tx="0" ty="0" sx="100000" sy="100000" flip="none" algn="tl"/>
        </a:blipFill>
        <a:ln w="9525">
          <a:solidFill>
            <a:srgbClr val="000000"/>
          </a:solidFill>
          <a:miter lim="800000"/>
          <a:headEnd/>
          <a:tailEnd/>
        </a:ln>
      </xdr:spPr>
    </xdr:sp>
    <xdr:clientData/>
  </xdr:twoCellAnchor>
  <xdr:twoCellAnchor>
    <xdr:from>
      <xdr:col>8</xdr:col>
      <xdr:colOff>31750</xdr:colOff>
      <xdr:row>60</xdr:row>
      <xdr:rowOff>57150</xdr:rowOff>
    </xdr:from>
    <xdr:to>
      <xdr:col>8</xdr:col>
      <xdr:colOff>31750</xdr:colOff>
      <xdr:row>84</xdr:row>
      <xdr:rowOff>19050</xdr:rowOff>
    </xdr:to>
    <xdr:sp macro="" textlink="">
      <xdr:nvSpPr>
        <xdr:cNvPr id="886681" name="Line 260">
          <a:extLst>
            <a:ext uri="{FF2B5EF4-FFF2-40B4-BE49-F238E27FC236}">
              <a16:creationId xmlns="" xmlns:a16="http://schemas.microsoft.com/office/drawing/2014/main" id="{00000000-0008-0000-2500-000099870D00}"/>
            </a:ext>
          </a:extLst>
        </xdr:cNvPr>
        <xdr:cNvSpPr>
          <a:spLocks noChangeShapeType="1"/>
        </xdr:cNvSpPr>
      </xdr:nvSpPr>
      <xdr:spPr bwMode="auto">
        <a:xfrm flipH="1">
          <a:off x="2063750" y="6915150"/>
          <a:ext cx="0" cy="27051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24765</xdr:colOff>
      <xdr:row>70</xdr:row>
      <xdr:rowOff>60960</xdr:rowOff>
    </xdr:from>
    <xdr:to>
      <xdr:col>7</xdr:col>
      <xdr:colOff>75363</xdr:colOff>
      <xdr:row>72</xdr:row>
      <xdr:rowOff>47630</xdr:rowOff>
    </xdr:to>
    <xdr:sp macro="" textlink="">
      <xdr:nvSpPr>
        <xdr:cNvPr id="29" name="Text Box 261">
          <a:extLst>
            <a:ext uri="{FF2B5EF4-FFF2-40B4-BE49-F238E27FC236}">
              <a16:creationId xmlns="" xmlns:a16="http://schemas.microsoft.com/office/drawing/2014/main" id="{00000000-0008-0000-2500-00001D000000}"/>
            </a:ext>
          </a:extLst>
        </xdr:cNvPr>
        <xdr:cNvSpPr txBox="1">
          <a:spLocks noChangeArrowheads="1"/>
        </xdr:cNvSpPr>
      </xdr:nvSpPr>
      <xdr:spPr bwMode="auto">
        <a:xfrm>
          <a:off x="1600200" y="8039100"/>
          <a:ext cx="438150" cy="2571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2.85m</a:t>
          </a:r>
        </a:p>
      </xdr:txBody>
    </xdr:sp>
    <xdr:clientData/>
  </xdr:twoCellAnchor>
  <xdr:twoCellAnchor>
    <xdr:from>
      <xdr:col>18</xdr:col>
      <xdr:colOff>0</xdr:colOff>
      <xdr:row>62</xdr:row>
      <xdr:rowOff>63500</xdr:rowOff>
    </xdr:from>
    <xdr:to>
      <xdr:col>19</xdr:col>
      <xdr:colOff>76200</xdr:colOff>
      <xdr:row>82</xdr:row>
      <xdr:rowOff>0</xdr:rowOff>
    </xdr:to>
    <xdr:sp macro="" textlink="">
      <xdr:nvSpPr>
        <xdr:cNvPr id="886683" name="Rectangle 262" descr="Horizontal brick">
          <a:extLst>
            <a:ext uri="{FF2B5EF4-FFF2-40B4-BE49-F238E27FC236}">
              <a16:creationId xmlns="" xmlns:a16="http://schemas.microsoft.com/office/drawing/2014/main" id="{00000000-0008-0000-2500-00009B870D00}"/>
            </a:ext>
          </a:extLst>
        </xdr:cNvPr>
        <xdr:cNvSpPr>
          <a:spLocks noChangeArrowheads="1"/>
        </xdr:cNvSpPr>
      </xdr:nvSpPr>
      <xdr:spPr bwMode="auto">
        <a:xfrm>
          <a:off x="3175000" y="7150100"/>
          <a:ext cx="190500" cy="22225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40</xdr:col>
      <xdr:colOff>31750</xdr:colOff>
      <xdr:row>62</xdr:row>
      <xdr:rowOff>63500</xdr:rowOff>
    </xdr:from>
    <xdr:to>
      <xdr:col>42</xdr:col>
      <xdr:colOff>19050</xdr:colOff>
      <xdr:row>82</xdr:row>
      <xdr:rowOff>31750</xdr:rowOff>
    </xdr:to>
    <xdr:sp macro="" textlink="">
      <xdr:nvSpPr>
        <xdr:cNvPr id="886684" name="Rectangle 263" descr="Horizontal brick">
          <a:extLst>
            <a:ext uri="{FF2B5EF4-FFF2-40B4-BE49-F238E27FC236}">
              <a16:creationId xmlns="" xmlns:a16="http://schemas.microsoft.com/office/drawing/2014/main" id="{00000000-0008-0000-2500-00009C870D00}"/>
            </a:ext>
          </a:extLst>
        </xdr:cNvPr>
        <xdr:cNvSpPr>
          <a:spLocks noChangeArrowheads="1"/>
        </xdr:cNvSpPr>
      </xdr:nvSpPr>
      <xdr:spPr bwMode="auto">
        <a:xfrm>
          <a:off x="5721350" y="7150100"/>
          <a:ext cx="215900" cy="22542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25</xdr:col>
      <xdr:colOff>88900</xdr:colOff>
      <xdr:row>63</xdr:row>
      <xdr:rowOff>0</xdr:rowOff>
    </xdr:from>
    <xdr:to>
      <xdr:col>27</xdr:col>
      <xdr:colOff>63500</xdr:colOff>
      <xdr:row>82</xdr:row>
      <xdr:rowOff>6350</xdr:rowOff>
    </xdr:to>
    <xdr:sp macro="" textlink="">
      <xdr:nvSpPr>
        <xdr:cNvPr id="886685" name="Rectangle 264" descr="Horizontal brick">
          <a:extLst>
            <a:ext uri="{FF2B5EF4-FFF2-40B4-BE49-F238E27FC236}">
              <a16:creationId xmlns="" xmlns:a16="http://schemas.microsoft.com/office/drawing/2014/main" id="{00000000-0008-0000-2500-00009D870D00}"/>
            </a:ext>
          </a:extLst>
        </xdr:cNvPr>
        <xdr:cNvSpPr>
          <a:spLocks noChangeArrowheads="1"/>
        </xdr:cNvSpPr>
      </xdr:nvSpPr>
      <xdr:spPr bwMode="auto">
        <a:xfrm>
          <a:off x="4064000" y="7200900"/>
          <a:ext cx="203200" cy="21780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50</xdr:col>
      <xdr:colOff>0</xdr:colOff>
      <xdr:row>63</xdr:row>
      <xdr:rowOff>0</xdr:rowOff>
    </xdr:from>
    <xdr:to>
      <xdr:col>51</xdr:col>
      <xdr:colOff>76200</xdr:colOff>
      <xdr:row>82</xdr:row>
      <xdr:rowOff>6350</xdr:rowOff>
    </xdr:to>
    <xdr:sp macro="" textlink="">
      <xdr:nvSpPr>
        <xdr:cNvPr id="886686" name="Rectangle 265" descr="Horizontal brick">
          <a:extLst>
            <a:ext uri="{FF2B5EF4-FFF2-40B4-BE49-F238E27FC236}">
              <a16:creationId xmlns="" xmlns:a16="http://schemas.microsoft.com/office/drawing/2014/main" id="{00000000-0008-0000-2500-00009E870D00}"/>
            </a:ext>
          </a:extLst>
        </xdr:cNvPr>
        <xdr:cNvSpPr>
          <a:spLocks noChangeArrowheads="1"/>
        </xdr:cNvSpPr>
      </xdr:nvSpPr>
      <xdr:spPr bwMode="auto">
        <a:xfrm>
          <a:off x="6832600" y="7200900"/>
          <a:ext cx="190500" cy="21780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17</xdr:col>
      <xdr:colOff>88900</xdr:colOff>
      <xdr:row>60</xdr:row>
      <xdr:rowOff>57150</xdr:rowOff>
    </xdr:from>
    <xdr:to>
      <xdr:col>51</xdr:col>
      <xdr:colOff>76200</xdr:colOff>
      <xdr:row>63</xdr:row>
      <xdr:rowOff>0</xdr:rowOff>
    </xdr:to>
    <xdr:sp macro="" textlink="">
      <xdr:nvSpPr>
        <xdr:cNvPr id="886687" name="Rectangle 266" descr="Horizontal brick">
          <a:extLst>
            <a:ext uri="{FF2B5EF4-FFF2-40B4-BE49-F238E27FC236}">
              <a16:creationId xmlns="" xmlns:a16="http://schemas.microsoft.com/office/drawing/2014/main" id="{00000000-0008-0000-2500-00009F870D00}"/>
            </a:ext>
          </a:extLst>
        </xdr:cNvPr>
        <xdr:cNvSpPr>
          <a:spLocks noChangeArrowheads="1"/>
        </xdr:cNvSpPr>
      </xdr:nvSpPr>
      <xdr:spPr bwMode="auto">
        <a:xfrm rot="-5400000">
          <a:off x="4943475" y="5121275"/>
          <a:ext cx="285750" cy="38735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17</xdr:col>
      <xdr:colOff>88900</xdr:colOff>
      <xdr:row>81</xdr:row>
      <xdr:rowOff>57150</xdr:rowOff>
    </xdr:from>
    <xdr:to>
      <xdr:col>51</xdr:col>
      <xdr:colOff>76200</xdr:colOff>
      <xdr:row>84</xdr:row>
      <xdr:rowOff>0</xdr:rowOff>
    </xdr:to>
    <xdr:sp macro="" textlink="">
      <xdr:nvSpPr>
        <xdr:cNvPr id="886688" name="Rectangle 267" descr="Horizontal brick">
          <a:extLst>
            <a:ext uri="{FF2B5EF4-FFF2-40B4-BE49-F238E27FC236}">
              <a16:creationId xmlns="" xmlns:a16="http://schemas.microsoft.com/office/drawing/2014/main" id="{00000000-0008-0000-2500-0000A0870D00}"/>
            </a:ext>
          </a:extLst>
        </xdr:cNvPr>
        <xdr:cNvSpPr>
          <a:spLocks noChangeArrowheads="1"/>
        </xdr:cNvSpPr>
      </xdr:nvSpPr>
      <xdr:spPr bwMode="auto">
        <a:xfrm rot="-5400000">
          <a:off x="4943475" y="7521575"/>
          <a:ext cx="285750" cy="38735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27</xdr:col>
      <xdr:colOff>63500</xdr:colOff>
      <xdr:row>78</xdr:row>
      <xdr:rowOff>6350</xdr:rowOff>
    </xdr:from>
    <xdr:to>
      <xdr:col>40</xdr:col>
      <xdr:colOff>31750</xdr:colOff>
      <xdr:row>78</xdr:row>
      <xdr:rowOff>19050</xdr:rowOff>
    </xdr:to>
    <xdr:sp macro="" textlink="">
      <xdr:nvSpPr>
        <xdr:cNvPr id="886689" name="Line 268">
          <a:extLst>
            <a:ext uri="{FF2B5EF4-FFF2-40B4-BE49-F238E27FC236}">
              <a16:creationId xmlns="" xmlns:a16="http://schemas.microsoft.com/office/drawing/2014/main" id="{00000000-0008-0000-2500-0000A1870D00}"/>
            </a:ext>
          </a:extLst>
        </xdr:cNvPr>
        <xdr:cNvSpPr>
          <a:spLocks noChangeShapeType="1"/>
        </xdr:cNvSpPr>
      </xdr:nvSpPr>
      <xdr:spPr bwMode="auto">
        <a:xfrm>
          <a:off x="4267200" y="8921750"/>
          <a:ext cx="1454150" cy="127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32</xdr:col>
      <xdr:colOff>56515</xdr:colOff>
      <xdr:row>76</xdr:row>
      <xdr:rowOff>0</xdr:rowOff>
    </xdr:from>
    <xdr:to>
      <xdr:col>35</xdr:col>
      <xdr:colOff>56515</xdr:colOff>
      <xdr:row>77</xdr:row>
      <xdr:rowOff>48083</xdr:rowOff>
    </xdr:to>
    <xdr:sp macro="" textlink="">
      <xdr:nvSpPr>
        <xdr:cNvPr id="37" name="Text Box 269">
          <a:extLst>
            <a:ext uri="{FF2B5EF4-FFF2-40B4-BE49-F238E27FC236}">
              <a16:creationId xmlns="" xmlns:a16="http://schemas.microsoft.com/office/drawing/2014/main" id="{00000000-0008-0000-2500-000025000000}"/>
            </a:ext>
          </a:extLst>
        </xdr:cNvPr>
        <xdr:cNvSpPr txBox="1">
          <a:spLocks noChangeArrowheads="1"/>
        </xdr:cNvSpPr>
      </xdr:nvSpPr>
      <xdr:spPr bwMode="auto">
        <a:xfrm>
          <a:off x="4867275" y="8686800"/>
          <a:ext cx="342900" cy="1809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1.4m</a:t>
          </a:r>
        </a:p>
      </xdr:txBody>
    </xdr:sp>
    <xdr:clientData/>
  </xdr:twoCellAnchor>
  <xdr:twoCellAnchor>
    <xdr:from>
      <xdr:col>42</xdr:col>
      <xdr:colOff>19050</xdr:colOff>
      <xdr:row>78</xdr:row>
      <xdr:rowOff>19050</xdr:rowOff>
    </xdr:from>
    <xdr:to>
      <xdr:col>49</xdr:col>
      <xdr:colOff>76200</xdr:colOff>
      <xdr:row>78</xdr:row>
      <xdr:rowOff>19050</xdr:rowOff>
    </xdr:to>
    <xdr:sp macro="" textlink="">
      <xdr:nvSpPr>
        <xdr:cNvPr id="886691" name="Line 270">
          <a:extLst>
            <a:ext uri="{FF2B5EF4-FFF2-40B4-BE49-F238E27FC236}">
              <a16:creationId xmlns="" xmlns:a16="http://schemas.microsoft.com/office/drawing/2014/main" id="{00000000-0008-0000-2500-0000A3870D00}"/>
            </a:ext>
          </a:extLst>
        </xdr:cNvPr>
        <xdr:cNvSpPr>
          <a:spLocks noChangeShapeType="1"/>
        </xdr:cNvSpPr>
      </xdr:nvSpPr>
      <xdr:spPr bwMode="auto">
        <a:xfrm flipV="1">
          <a:off x="5937250" y="8934450"/>
          <a:ext cx="8572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56515</xdr:colOff>
      <xdr:row>71</xdr:row>
      <xdr:rowOff>61595</xdr:rowOff>
    </xdr:from>
    <xdr:to>
      <xdr:col>25</xdr:col>
      <xdr:colOff>56515</xdr:colOff>
      <xdr:row>73</xdr:row>
      <xdr:rowOff>57622</xdr:rowOff>
    </xdr:to>
    <xdr:sp macro="" textlink="">
      <xdr:nvSpPr>
        <xdr:cNvPr id="39" name="Text Box 272">
          <a:extLst>
            <a:ext uri="{FF2B5EF4-FFF2-40B4-BE49-F238E27FC236}">
              <a16:creationId xmlns="" xmlns:a16="http://schemas.microsoft.com/office/drawing/2014/main" id="{00000000-0008-0000-2500-000027000000}"/>
            </a:ext>
          </a:extLst>
        </xdr:cNvPr>
        <xdr:cNvSpPr txBox="1">
          <a:spLocks noChangeArrowheads="1"/>
        </xdr:cNvSpPr>
      </xdr:nvSpPr>
      <xdr:spPr bwMode="auto">
        <a:xfrm>
          <a:off x="3609975" y="8134350"/>
          <a:ext cx="457200" cy="2762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2.45m</a:t>
          </a:r>
        </a:p>
      </xdr:txBody>
    </xdr:sp>
    <xdr:clientData/>
  </xdr:twoCellAnchor>
  <xdr:twoCellAnchor>
    <xdr:from>
      <xdr:col>44</xdr:col>
      <xdr:colOff>4445</xdr:colOff>
      <xdr:row>75</xdr:row>
      <xdr:rowOff>57785</xdr:rowOff>
    </xdr:from>
    <xdr:to>
      <xdr:col>47</xdr:col>
      <xdr:colOff>102851</xdr:colOff>
      <xdr:row>77</xdr:row>
      <xdr:rowOff>48134</xdr:rowOff>
    </xdr:to>
    <xdr:sp macro="" textlink="">
      <xdr:nvSpPr>
        <xdr:cNvPr id="40" name="Text Box 273">
          <a:extLst>
            <a:ext uri="{FF2B5EF4-FFF2-40B4-BE49-F238E27FC236}">
              <a16:creationId xmlns="" xmlns:a16="http://schemas.microsoft.com/office/drawing/2014/main" id="{00000000-0008-0000-2500-000028000000}"/>
            </a:ext>
          </a:extLst>
        </xdr:cNvPr>
        <xdr:cNvSpPr txBox="1">
          <a:spLocks noChangeArrowheads="1"/>
        </xdr:cNvSpPr>
      </xdr:nvSpPr>
      <xdr:spPr bwMode="auto">
        <a:xfrm>
          <a:off x="6200775" y="8629650"/>
          <a:ext cx="419100" cy="2381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0.70m</a:t>
          </a:r>
        </a:p>
      </xdr:txBody>
    </xdr:sp>
    <xdr:clientData/>
  </xdr:twoCellAnchor>
  <xdr:twoCellAnchor>
    <xdr:from>
      <xdr:col>21</xdr:col>
      <xdr:colOff>50800</xdr:colOff>
      <xdr:row>63</xdr:row>
      <xdr:rowOff>6350</xdr:rowOff>
    </xdr:from>
    <xdr:to>
      <xdr:col>21</xdr:col>
      <xdr:colOff>50800</xdr:colOff>
      <xdr:row>81</xdr:row>
      <xdr:rowOff>63500</xdr:rowOff>
    </xdr:to>
    <xdr:sp macro="" textlink="">
      <xdr:nvSpPr>
        <xdr:cNvPr id="886694" name="Line 274">
          <a:extLst>
            <a:ext uri="{FF2B5EF4-FFF2-40B4-BE49-F238E27FC236}">
              <a16:creationId xmlns="" xmlns:a16="http://schemas.microsoft.com/office/drawing/2014/main" id="{00000000-0008-0000-2500-0000A6870D00}"/>
            </a:ext>
          </a:extLst>
        </xdr:cNvPr>
        <xdr:cNvSpPr>
          <a:spLocks noChangeShapeType="1"/>
        </xdr:cNvSpPr>
      </xdr:nvSpPr>
      <xdr:spPr bwMode="auto">
        <a:xfrm flipH="1">
          <a:off x="3568700" y="7207250"/>
          <a:ext cx="0" cy="21145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50800</xdr:colOff>
      <xdr:row>58</xdr:row>
      <xdr:rowOff>57150</xdr:rowOff>
    </xdr:from>
    <xdr:to>
      <xdr:col>18</xdr:col>
      <xdr:colOff>6350</xdr:colOff>
      <xdr:row>63</xdr:row>
      <xdr:rowOff>63500</xdr:rowOff>
    </xdr:to>
    <xdr:sp macro="" textlink="">
      <xdr:nvSpPr>
        <xdr:cNvPr id="886695" name="Line 275">
          <a:extLst>
            <a:ext uri="{FF2B5EF4-FFF2-40B4-BE49-F238E27FC236}">
              <a16:creationId xmlns="" xmlns:a16="http://schemas.microsoft.com/office/drawing/2014/main" id="{00000000-0008-0000-2500-0000A7870D00}"/>
            </a:ext>
          </a:extLst>
        </xdr:cNvPr>
        <xdr:cNvSpPr>
          <a:spLocks noChangeShapeType="1"/>
        </xdr:cNvSpPr>
      </xdr:nvSpPr>
      <xdr:spPr bwMode="auto">
        <a:xfrm flipH="1" flipV="1">
          <a:off x="2197100" y="6686550"/>
          <a:ext cx="984250" cy="577850"/>
        </a:xfrm>
        <a:prstGeom prst="line">
          <a:avLst/>
        </a:prstGeom>
        <a:noFill/>
        <a:ln w="9525">
          <a:solidFill>
            <a:srgbClr val="00000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29</xdr:col>
      <xdr:colOff>38100</xdr:colOff>
      <xdr:row>81</xdr:row>
      <xdr:rowOff>57150</xdr:rowOff>
    </xdr:from>
    <xdr:to>
      <xdr:col>30</xdr:col>
      <xdr:colOff>38100</xdr:colOff>
      <xdr:row>83</xdr:row>
      <xdr:rowOff>63500</xdr:rowOff>
    </xdr:to>
    <xdr:sp macro="" textlink="">
      <xdr:nvSpPr>
        <xdr:cNvPr id="886696" name="Rectangle 314">
          <a:extLst>
            <a:ext uri="{FF2B5EF4-FFF2-40B4-BE49-F238E27FC236}">
              <a16:creationId xmlns="" xmlns:a16="http://schemas.microsoft.com/office/drawing/2014/main" id="{00000000-0008-0000-2500-0000A8870D00}"/>
            </a:ext>
          </a:extLst>
        </xdr:cNvPr>
        <xdr:cNvSpPr>
          <a:spLocks noChangeArrowheads="1"/>
        </xdr:cNvSpPr>
      </xdr:nvSpPr>
      <xdr:spPr bwMode="auto">
        <a:xfrm>
          <a:off x="4470400" y="9315450"/>
          <a:ext cx="114300" cy="234950"/>
        </a:xfrm>
        <a:prstGeom prst="rect">
          <a:avLst/>
        </a:prstGeom>
        <a:solidFill>
          <a:srgbClr val="969696"/>
        </a:solidFill>
        <a:ln w="9525">
          <a:solidFill>
            <a:srgbClr val="000000"/>
          </a:solidFill>
          <a:miter lim="800000"/>
          <a:headEnd/>
          <a:tailEnd/>
        </a:ln>
      </xdr:spPr>
    </xdr:sp>
    <xdr:clientData/>
  </xdr:twoCellAnchor>
  <xdr:twoCellAnchor>
    <xdr:from>
      <xdr:col>33</xdr:col>
      <xdr:colOff>19050</xdr:colOff>
      <xdr:row>81</xdr:row>
      <xdr:rowOff>57150</xdr:rowOff>
    </xdr:from>
    <xdr:to>
      <xdr:col>34</xdr:col>
      <xdr:colOff>19050</xdr:colOff>
      <xdr:row>83</xdr:row>
      <xdr:rowOff>63500</xdr:rowOff>
    </xdr:to>
    <xdr:sp macro="" textlink="">
      <xdr:nvSpPr>
        <xdr:cNvPr id="886697" name="Rectangle 315">
          <a:extLst>
            <a:ext uri="{FF2B5EF4-FFF2-40B4-BE49-F238E27FC236}">
              <a16:creationId xmlns="" xmlns:a16="http://schemas.microsoft.com/office/drawing/2014/main" id="{00000000-0008-0000-2500-0000A9870D00}"/>
            </a:ext>
          </a:extLst>
        </xdr:cNvPr>
        <xdr:cNvSpPr>
          <a:spLocks noChangeArrowheads="1"/>
        </xdr:cNvSpPr>
      </xdr:nvSpPr>
      <xdr:spPr bwMode="auto">
        <a:xfrm>
          <a:off x="4908550" y="9315450"/>
          <a:ext cx="114300" cy="234950"/>
        </a:xfrm>
        <a:prstGeom prst="rect">
          <a:avLst/>
        </a:prstGeom>
        <a:solidFill>
          <a:srgbClr val="969696"/>
        </a:solidFill>
        <a:ln w="9525">
          <a:solidFill>
            <a:srgbClr val="000000"/>
          </a:solidFill>
          <a:miter lim="800000"/>
          <a:headEnd/>
          <a:tailEnd/>
        </a:ln>
      </xdr:spPr>
    </xdr:sp>
    <xdr:clientData/>
  </xdr:twoCellAnchor>
  <xdr:twoCellAnchor>
    <xdr:from>
      <xdr:col>36</xdr:col>
      <xdr:colOff>57150</xdr:colOff>
      <xdr:row>81</xdr:row>
      <xdr:rowOff>57150</xdr:rowOff>
    </xdr:from>
    <xdr:to>
      <xdr:col>37</xdr:col>
      <xdr:colOff>57150</xdr:colOff>
      <xdr:row>83</xdr:row>
      <xdr:rowOff>63500</xdr:rowOff>
    </xdr:to>
    <xdr:sp macro="" textlink="">
      <xdr:nvSpPr>
        <xdr:cNvPr id="886698" name="Rectangle 316">
          <a:extLst>
            <a:ext uri="{FF2B5EF4-FFF2-40B4-BE49-F238E27FC236}">
              <a16:creationId xmlns="" xmlns:a16="http://schemas.microsoft.com/office/drawing/2014/main" id="{00000000-0008-0000-2500-0000AA870D00}"/>
            </a:ext>
          </a:extLst>
        </xdr:cNvPr>
        <xdr:cNvSpPr>
          <a:spLocks noChangeArrowheads="1"/>
        </xdr:cNvSpPr>
      </xdr:nvSpPr>
      <xdr:spPr bwMode="auto">
        <a:xfrm>
          <a:off x="5289550" y="9315450"/>
          <a:ext cx="114300" cy="234950"/>
        </a:xfrm>
        <a:prstGeom prst="rect">
          <a:avLst/>
        </a:prstGeom>
        <a:solidFill>
          <a:srgbClr val="969696"/>
        </a:solidFill>
        <a:ln w="9525">
          <a:solidFill>
            <a:srgbClr val="000000"/>
          </a:solidFill>
          <a:miter lim="800000"/>
          <a:headEnd/>
          <a:tailEnd/>
        </a:ln>
      </xdr:spPr>
    </xdr:sp>
    <xdr:clientData/>
  </xdr:twoCellAnchor>
  <xdr:twoCellAnchor>
    <xdr:from>
      <xdr:col>29</xdr:col>
      <xdr:colOff>6350</xdr:colOff>
      <xdr:row>60</xdr:row>
      <xdr:rowOff>63500</xdr:rowOff>
    </xdr:from>
    <xdr:to>
      <xdr:col>30</xdr:col>
      <xdr:colOff>6350</xdr:colOff>
      <xdr:row>63</xdr:row>
      <xdr:rowOff>0</xdr:rowOff>
    </xdr:to>
    <xdr:sp macro="" textlink="">
      <xdr:nvSpPr>
        <xdr:cNvPr id="886699" name="Rectangle 317">
          <a:extLst>
            <a:ext uri="{FF2B5EF4-FFF2-40B4-BE49-F238E27FC236}">
              <a16:creationId xmlns="" xmlns:a16="http://schemas.microsoft.com/office/drawing/2014/main" id="{00000000-0008-0000-2500-0000AB870D00}"/>
            </a:ext>
          </a:extLst>
        </xdr:cNvPr>
        <xdr:cNvSpPr>
          <a:spLocks noChangeArrowheads="1"/>
        </xdr:cNvSpPr>
      </xdr:nvSpPr>
      <xdr:spPr bwMode="auto">
        <a:xfrm>
          <a:off x="4438650" y="6921500"/>
          <a:ext cx="114300" cy="279400"/>
        </a:xfrm>
        <a:prstGeom prst="rect">
          <a:avLst/>
        </a:prstGeom>
        <a:solidFill>
          <a:srgbClr val="969696"/>
        </a:solidFill>
        <a:ln w="9525">
          <a:solidFill>
            <a:srgbClr val="000000"/>
          </a:solidFill>
          <a:miter lim="800000"/>
          <a:headEnd/>
          <a:tailEnd/>
        </a:ln>
      </xdr:spPr>
    </xdr:sp>
    <xdr:clientData/>
  </xdr:twoCellAnchor>
  <xdr:twoCellAnchor>
    <xdr:from>
      <xdr:col>32</xdr:col>
      <xdr:colOff>76200</xdr:colOff>
      <xdr:row>60</xdr:row>
      <xdr:rowOff>63500</xdr:rowOff>
    </xdr:from>
    <xdr:to>
      <xdr:col>33</xdr:col>
      <xdr:colOff>76200</xdr:colOff>
      <xdr:row>62</xdr:row>
      <xdr:rowOff>76200</xdr:rowOff>
    </xdr:to>
    <xdr:sp macro="" textlink="">
      <xdr:nvSpPr>
        <xdr:cNvPr id="886700" name="Rectangle 318">
          <a:extLst>
            <a:ext uri="{FF2B5EF4-FFF2-40B4-BE49-F238E27FC236}">
              <a16:creationId xmlns="" xmlns:a16="http://schemas.microsoft.com/office/drawing/2014/main" id="{00000000-0008-0000-2500-0000AC870D00}"/>
            </a:ext>
          </a:extLst>
        </xdr:cNvPr>
        <xdr:cNvSpPr>
          <a:spLocks noChangeArrowheads="1"/>
        </xdr:cNvSpPr>
      </xdr:nvSpPr>
      <xdr:spPr bwMode="auto">
        <a:xfrm>
          <a:off x="4851400" y="6921500"/>
          <a:ext cx="114300" cy="241300"/>
        </a:xfrm>
        <a:prstGeom prst="rect">
          <a:avLst/>
        </a:prstGeom>
        <a:solidFill>
          <a:srgbClr val="969696"/>
        </a:solidFill>
        <a:ln w="9525">
          <a:solidFill>
            <a:srgbClr val="000000"/>
          </a:solidFill>
          <a:miter lim="800000"/>
          <a:headEnd/>
          <a:tailEnd/>
        </a:ln>
      </xdr:spPr>
    </xdr:sp>
    <xdr:clientData/>
  </xdr:twoCellAnchor>
  <xdr:twoCellAnchor>
    <xdr:from>
      <xdr:col>36</xdr:col>
      <xdr:colOff>88900</xdr:colOff>
      <xdr:row>60</xdr:row>
      <xdr:rowOff>57150</xdr:rowOff>
    </xdr:from>
    <xdr:to>
      <xdr:col>37</xdr:col>
      <xdr:colOff>88900</xdr:colOff>
      <xdr:row>63</xdr:row>
      <xdr:rowOff>6350</xdr:rowOff>
    </xdr:to>
    <xdr:sp macro="" textlink="">
      <xdr:nvSpPr>
        <xdr:cNvPr id="886701" name="Rectangle 319">
          <a:extLst>
            <a:ext uri="{FF2B5EF4-FFF2-40B4-BE49-F238E27FC236}">
              <a16:creationId xmlns="" xmlns:a16="http://schemas.microsoft.com/office/drawing/2014/main" id="{00000000-0008-0000-2500-0000AD870D00}"/>
            </a:ext>
          </a:extLst>
        </xdr:cNvPr>
        <xdr:cNvSpPr>
          <a:spLocks noChangeArrowheads="1"/>
        </xdr:cNvSpPr>
      </xdr:nvSpPr>
      <xdr:spPr bwMode="auto">
        <a:xfrm>
          <a:off x="5321300" y="6915150"/>
          <a:ext cx="114300" cy="292100"/>
        </a:xfrm>
        <a:prstGeom prst="rect">
          <a:avLst/>
        </a:prstGeom>
        <a:solidFill>
          <a:srgbClr val="969696"/>
        </a:solidFill>
        <a:ln w="9525">
          <a:solidFill>
            <a:srgbClr val="000000"/>
          </a:solidFill>
          <a:miter lim="800000"/>
          <a:headEnd/>
          <a:tailEnd/>
        </a:ln>
      </xdr:spPr>
    </xdr:sp>
    <xdr:clientData/>
  </xdr:twoCellAnchor>
  <xdr:twoCellAnchor>
    <xdr:from>
      <xdr:col>29</xdr:col>
      <xdr:colOff>88900</xdr:colOff>
      <xdr:row>74</xdr:row>
      <xdr:rowOff>31750</xdr:rowOff>
    </xdr:from>
    <xdr:to>
      <xdr:col>30</xdr:col>
      <xdr:colOff>38100</xdr:colOff>
      <xdr:row>82</xdr:row>
      <xdr:rowOff>57150</xdr:rowOff>
    </xdr:to>
    <xdr:sp macro="" textlink="">
      <xdr:nvSpPr>
        <xdr:cNvPr id="886702" name="Line 322">
          <a:extLst>
            <a:ext uri="{FF2B5EF4-FFF2-40B4-BE49-F238E27FC236}">
              <a16:creationId xmlns="" xmlns:a16="http://schemas.microsoft.com/office/drawing/2014/main" id="{00000000-0008-0000-2500-0000AE870D00}"/>
            </a:ext>
          </a:extLst>
        </xdr:cNvPr>
        <xdr:cNvSpPr>
          <a:spLocks noChangeShapeType="1"/>
        </xdr:cNvSpPr>
      </xdr:nvSpPr>
      <xdr:spPr bwMode="auto">
        <a:xfrm flipH="1">
          <a:off x="4521200" y="8489950"/>
          <a:ext cx="63500" cy="9398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24765</xdr:colOff>
      <xdr:row>70</xdr:row>
      <xdr:rowOff>60960</xdr:rowOff>
    </xdr:from>
    <xdr:to>
      <xdr:col>40</xdr:col>
      <xdr:colOff>24765</xdr:colOff>
      <xdr:row>74</xdr:row>
      <xdr:rowOff>60960</xdr:rowOff>
    </xdr:to>
    <xdr:sp macro="" textlink="">
      <xdr:nvSpPr>
        <xdr:cNvPr id="50" name="Text Box 323">
          <a:extLst>
            <a:ext uri="{FF2B5EF4-FFF2-40B4-BE49-F238E27FC236}">
              <a16:creationId xmlns="" xmlns:a16="http://schemas.microsoft.com/office/drawing/2014/main" id="{00000000-0008-0000-2500-000032000000}"/>
            </a:ext>
          </a:extLst>
        </xdr:cNvPr>
        <xdr:cNvSpPr txBox="1">
          <a:spLocks noChangeArrowheads="1"/>
        </xdr:cNvSpPr>
      </xdr:nvSpPr>
      <xdr:spPr bwMode="auto">
        <a:xfrm>
          <a:off x="4352925" y="8048625"/>
          <a:ext cx="1371600" cy="4476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Ouvertures/barbacane de 10cm chaque 0.5 m</a:t>
          </a:r>
        </a:p>
      </xdr:txBody>
    </xdr:sp>
    <xdr:clientData/>
  </xdr:twoCellAnchor>
  <xdr:twoCellAnchor>
    <xdr:from>
      <xdr:col>3</xdr:col>
      <xdr:colOff>426720</xdr:colOff>
      <xdr:row>56</xdr:row>
      <xdr:rowOff>94615</xdr:rowOff>
    </xdr:from>
    <xdr:to>
      <xdr:col>15</xdr:col>
      <xdr:colOff>75543</xdr:colOff>
      <xdr:row>59</xdr:row>
      <xdr:rowOff>61019</xdr:rowOff>
    </xdr:to>
    <xdr:sp macro="" textlink="">
      <xdr:nvSpPr>
        <xdr:cNvPr id="51" name="Text Box 324">
          <a:extLst>
            <a:ext uri="{FF2B5EF4-FFF2-40B4-BE49-F238E27FC236}">
              <a16:creationId xmlns="" xmlns:a16="http://schemas.microsoft.com/office/drawing/2014/main" id="{00000000-0008-0000-2500-000033000000}"/>
            </a:ext>
          </a:extLst>
        </xdr:cNvPr>
        <xdr:cNvSpPr txBox="1">
          <a:spLocks noChangeArrowheads="1"/>
        </xdr:cNvSpPr>
      </xdr:nvSpPr>
      <xdr:spPr bwMode="auto">
        <a:xfrm>
          <a:off x="1504950" y="6496050"/>
          <a:ext cx="1438275" cy="2857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1" i="0" u="sng" strike="noStrike">
              <a:solidFill>
                <a:srgbClr val="000000"/>
              </a:solidFill>
              <a:latin typeface="Arial"/>
              <a:cs typeface="Arial"/>
            </a:rPr>
            <a:t>Mur en brique de 20cm</a:t>
          </a:r>
        </a:p>
      </xdr:txBody>
    </xdr:sp>
    <xdr:clientData/>
  </xdr:twoCellAnchor>
  <xdr:twoCellAnchor>
    <xdr:from>
      <xdr:col>19</xdr:col>
      <xdr:colOff>88900</xdr:colOff>
      <xdr:row>120</xdr:row>
      <xdr:rowOff>6350</xdr:rowOff>
    </xdr:from>
    <xdr:to>
      <xdr:col>21</xdr:col>
      <xdr:colOff>63500</xdr:colOff>
      <xdr:row>143</xdr:row>
      <xdr:rowOff>31750</xdr:rowOff>
    </xdr:to>
    <xdr:sp macro="" textlink="">
      <xdr:nvSpPr>
        <xdr:cNvPr id="886705" name="Rectangle 326" descr="Horizontal brick">
          <a:extLst>
            <a:ext uri="{FF2B5EF4-FFF2-40B4-BE49-F238E27FC236}">
              <a16:creationId xmlns="" xmlns:a16="http://schemas.microsoft.com/office/drawing/2014/main" id="{00000000-0008-0000-2500-0000B1870D00}"/>
            </a:ext>
          </a:extLst>
        </xdr:cNvPr>
        <xdr:cNvSpPr>
          <a:spLocks noChangeArrowheads="1"/>
        </xdr:cNvSpPr>
      </xdr:nvSpPr>
      <xdr:spPr bwMode="auto">
        <a:xfrm>
          <a:off x="3378200" y="13722350"/>
          <a:ext cx="203200" cy="26543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41</xdr:col>
      <xdr:colOff>6350</xdr:colOff>
      <xdr:row>119</xdr:row>
      <xdr:rowOff>57150</xdr:rowOff>
    </xdr:from>
    <xdr:to>
      <xdr:col>43</xdr:col>
      <xdr:colOff>19050</xdr:colOff>
      <xdr:row>142</xdr:row>
      <xdr:rowOff>63500</xdr:rowOff>
    </xdr:to>
    <xdr:sp macro="" textlink="">
      <xdr:nvSpPr>
        <xdr:cNvPr id="886706" name="Rectangle 327" descr="Horizontal brick">
          <a:extLst>
            <a:ext uri="{FF2B5EF4-FFF2-40B4-BE49-F238E27FC236}">
              <a16:creationId xmlns="" xmlns:a16="http://schemas.microsoft.com/office/drawing/2014/main" id="{00000000-0008-0000-2500-0000B2870D00}"/>
            </a:ext>
          </a:extLst>
        </xdr:cNvPr>
        <xdr:cNvSpPr>
          <a:spLocks noChangeArrowheads="1"/>
        </xdr:cNvSpPr>
      </xdr:nvSpPr>
      <xdr:spPr bwMode="auto">
        <a:xfrm>
          <a:off x="5810250" y="13658850"/>
          <a:ext cx="241300" cy="26352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19</xdr:col>
      <xdr:colOff>0</xdr:colOff>
      <xdr:row>142</xdr:row>
      <xdr:rowOff>57150</xdr:rowOff>
    </xdr:from>
    <xdr:to>
      <xdr:col>22</xdr:col>
      <xdr:colOff>57150</xdr:colOff>
      <xdr:row>145</xdr:row>
      <xdr:rowOff>0</xdr:rowOff>
    </xdr:to>
    <xdr:sp macro="" textlink="">
      <xdr:nvSpPr>
        <xdr:cNvPr id="886707" name="Rectangle 329">
          <a:extLst>
            <a:ext uri="{FF2B5EF4-FFF2-40B4-BE49-F238E27FC236}">
              <a16:creationId xmlns="" xmlns:a16="http://schemas.microsoft.com/office/drawing/2014/main" id="{00000000-0008-0000-2500-0000B3870D00}"/>
            </a:ext>
          </a:extLst>
        </xdr:cNvPr>
        <xdr:cNvSpPr>
          <a:spLocks noChangeArrowheads="1"/>
        </xdr:cNvSpPr>
      </xdr:nvSpPr>
      <xdr:spPr bwMode="auto">
        <a:xfrm>
          <a:off x="3289300" y="16287750"/>
          <a:ext cx="400050" cy="285750"/>
        </a:xfrm>
        <a:prstGeom prst="rect">
          <a:avLst/>
        </a:prstGeom>
        <a:solidFill>
          <a:srgbClr val="FFFFFF"/>
        </a:solidFill>
        <a:ln w="9525">
          <a:solidFill>
            <a:srgbClr val="000000"/>
          </a:solidFill>
          <a:miter lim="800000"/>
          <a:headEnd/>
          <a:tailEnd/>
        </a:ln>
      </xdr:spPr>
    </xdr:sp>
    <xdr:clientData/>
  </xdr:twoCellAnchor>
  <xdr:twoCellAnchor>
    <xdr:from>
      <xdr:col>39</xdr:col>
      <xdr:colOff>76200</xdr:colOff>
      <xdr:row>142</xdr:row>
      <xdr:rowOff>63500</xdr:rowOff>
    </xdr:from>
    <xdr:to>
      <xdr:col>43</xdr:col>
      <xdr:colOff>57150</xdr:colOff>
      <xdr:row>145</xdr:row>
      <xdr:rowOff>0</xdr:rowOff>
    </xdr:to>
    <xdr:sp macro="" textlink="">
      <xdr:nvSpPr>
        <xdr:cNvPr id="886708" name="Rectangle 330">
          <a:extLst>
            <a:ext uri="{FF2B5EF4-FFF2-40B4-BE49-F238E27FC236}">
              <a16:creationId xmlns="" xmlns:a16="http://schemas.microsoft.com/office/drawing/2014/main" id="{00000000-0008-0000-2500-0000B4870D00}"/>
            </a:ext>
          </a:extLst>
        </xdr:cNvPr>
        <xdr:cNvSpPr>
          <a:spLocks noChangeArrowheads="1"/>
        </xdr:cNvSpPr>
      </xdr:nvSpPr>
      <xdr:spPr bwMode="auto">
        <a:xfrm>
          <a:off x="5651500" y="16294100"/>
          <a:ext cx="438150" cy="279400"/>
        </a:xfrm>
        <a:prstGeom prst="rect">
          <a:avLst/>
        </a:prstGeom>
        <a:solidFill>
          <a:srgbClr val="FFFFFF"/>
        </a:solidFill>
        <a:ln w="9525">
          <a:solidFill>
            <a:srgbClr val="000000"/>
          </a:solidFill>
          <a:miter lim="800000"/>
          <a:headEnd/>
          <a:tailEnd/>
        </a:ln>
      </xdr:spPr>
    </xdr:sp>
    <xdr:clientData/>
  </xdr:twoCellAnchor>
  <xdr:twoCellAnchor>
    <xdr:from>
      <xdr:col>21</xdr:col>
      <xdr:colOff>57150</xdr:colOff>
      <xdr:row>142</xdr:row>
      <xdr:rowOff>57150</xdr:rowOff>
    </xdr:from>
    <xdr:to>
      <xdr:col>41</xdr:col>
      <xdr:colOff>19050</xdr:colOff>
      <xdr:row>142</xdr:row>
      <xdr:rowOff>57150</xdr:rowOff>
    </xdr:to>
    <xdr:sp macro="" textlink="">
      <xdr:nvSpPr>
        <xdr:cNvPr id="886709" name="Line 331">
          <a:extLst>
            <a:ext uri="{FF2B5EF4-FFF2-40B4-BE49-F238E27FC236}">
              <a16:creationId xmlns="" xmlns:a16="http://schemas.microsoft.com/office/drawing/2014/main" id="{00000000-0008-0000-2500-0000B5870D00}"/>
            </a:ext>
          </a:extLst>
        </xdr:cNvPr>
        <xdr:cNvSpPr>
          <a:spLocks noChangeShapeType="1"/>
        </xdr:cNvSpPr>
      </xdr:nvSpPr>
      <xdr:spPr bwMode="auto">
        <a:xfrm flipV="1">
          <a:off x="3575050" y="16287750"/>
          <a:ext cx="2247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88900</xdr:colOff>
      <xdr:row>118</xdr:row>
      <xdr:rowOff>31750</xdr:rowOff>
    </xdr:from>
    <xdr:to>
      <xdr:col>43</xdr:col>
      <xdr:colOff>19050</xdr:colOff>
      <xdr:row>119</xdr:row>
      <xdr:rowOff>57150</xdr:rowOff>
    </xdr:to>
    <xdr:sp macro="" textlink="">
      <xdr:nvSpPr>
        <xdr:cNvPr id="886710" name="Rectangle 332">
          <a:extLst>
            <a:ext uri="{FF2B5EF4-FFF2-40B4-BE49-F238E27FC236}">
              <a16:creationId xmlns="" xmlns:a16="http://schemas.microsoft.com/office/drawing/2014/main" id="{00000000-0008-0000-2500-0000B6870D00}"/>
            </a:ext>
          </a:extLst>
        </xdr:cNvPr>
        <xdr:cNvSpPr>
          <a:spLocks noChangeArrowheads="1"/>
        </xdr:cNvSpPr>
      </xdr:nvSpPr>
      <xdr:spPr bwMode="auto">
        <a:xfrm>
          <a:off x="3378200" y="13519150"/>
          <a:ext cx="2673350" cy="139700"/>
        </a:xfrm>
        <a:prstGeom prst="rect">
          <a:avLst/>
        </a:prstGeom>
        <a:solidFill>
          <a:srgbClr val="FFFFFF"/>
        </a:solidFill>
        <a:ln w="9525">
          <a:solidFill>
            <a:srgbClr val="000000"/>
          </a:solidFill>
          <a:miter lim="800000"/>
          <a:headEnd/>
          <a:tailEnd/>
        </a:ln>
      </xdr:spPr>
    </xdr:sp>
    <xdr:clientData/>
  </xdr:twoCellAnchor>
  <xdr:twoCellAnchor>
    <xdr:from>
      <xdr:col>20</xdr:col>
      <xdr:colOff>0</xdr:colOff>
      <xdr:row>99</xdr:row>
      <xdr:rowOff>19050</xdr:rowOff>
    </xdr:from>
    <xdr:to>
      <xdr:col>21</xdr:col>
      <xdr:colOff>50800</xdr:colOff>
      <xdr:row>118</xdr:row>
      <xdr:rowOff>50800</xdr:rowOff>
    </xdr:to>
    <xdr:sp macro="" textlink="">
      <xdr:nvSpPr>
        <xdr:cNvPr id="886711" name="Rectangle 334" descr="Horizontal brick">
          <a:extLst>
            <a:ext uri="{FF2B5EF4-FFF2-40B4-BE49-F238E27FC236}">
              <a16:creationId xmlns="" xmlns:a16="http://schemas.microsoft.com/office/drawing/2014/main" id="{00000000-0008-0000-2500-0000B7870D00}"/>
            </a:ext>
          </a:extLst>
        </xdr:cNvPr>
        <xdr:cNvSpPr>
          <a:spLocks noChangeArrowheads="1"/>
        </xdr:cNvSpPr>
      </xdr:nvSpPr>
      <xdr:spPr bwMode="auto">
        <a:xfrm>
          <a:off x="3403600" y="11334750"/>
          <a:ext cx="165100" cy="2203450"/>
        </a:xfrm>
        <a:prstGeom prst="rect">
          <a:avLst/>
        </a:prstGeom>
        <a:noFill/>
        <a:ln w="9525">
          <a:solidFill>
            <a:srgbClr val="0000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76200</xdr:colOff>
      <xdr:row>98</xdr:row>
      <xdr:rowOff>57150</xdr:rowOff>
    </xdr:from>
    <xdr:to>
      <xdr:col>33</xdr:col>
      <xdr:colOff>38100</xdr:colOff>
      <xdr:row>118</xdr:row>
      <xdr:rowOff>19050</xdr:rowOff>
    </xdr:to>
    <xdr:sp macro="" textlink="">
      <xdr:nvSpPr>
        <xdr:cNvPr id="886712" name="Rectangle 335" descr="Horizontal brick">
          <a:extLst>
            <a:ext uri="{FF2B5EF4-FFF2-40B4-BE49-F238E27FC236}">
              <a16:creationId xmlns="" xmlns:a16="http://schemas.microsoft.com/office/drawing/2014/main" id="{00000000-0008-0000-2500-0000B8870D00}"/>
            </a:ext>
          </a:extLst>
        </xdr:cNvPr>
        <xdr:cNvSpPr>
          <a:spLocks noChangeArrowheads="1"/>
        </xdr:cNvSpPr>
      </xdr:nvSpPr>
      <xdr:spPr bwMode="auto">
        <a:xfrm>
          <a:off x="4737100" y="11258550"/>
          <a:ext cx="190500" cy="22479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50800</xdr:colOff>
      <xdr:row>98</xdr:row>
      <xdr:rowOff>19050</xdr:rowOff>
    </xdr:from>
    <xdr:to>
      <xdr:col>33</xdr:col>
      <xdr:colOff>38100</xdr:colOff>
      <xdr:row>99</xdr:row>
      <xdr:rowOff>19050</xdr:rowOff>
    </xdr:to>
    <xdr:sp macro="" textlink="">
      <xdr:nvSpPr>
        <xdr:cNvPr id="886713" name="Rectangle 336">
          <a:extLst>
            <a:ext uri="{FF2B5EF4-FFF2-40B4-BE49-F238E27FC236}">
              <a16:creationId xmlns="" xmlns:a16="http://schemas.microsoft.com/office/drawing/2014/main" id="{00000000-0008-0000-2500-0000B9870D00}"/>
            </a:ext>
          </a:extLst>
        </xdr:cNvPr>
        <xdr:cNvSpPr>
          <a:spLocks noChangeArrowheads="1"/>
        </xdr:cNvSpPr>
      </xdr:nvSpPr>
      <xdr:spPr bwMode="auto">
        <a:xfrm flipV="1">
          <a:off x="3111500" y="11220450"/>
          <a:ext cx="1816100" cy="114300"/>
        </a:xfrm>
        <a:prstGeom prst="rect">
          <a:avLst/>
        </a:prstGeom>
        <a:solidFill>
          <a:srgbClr val="FFFFFF"/>
        </a:solidFill>
        <a:ln w="9525">
          <a:solidFill>
            <a:srgbClr val="000000"/>
          </a:solidFill>
          <a:miter lim="800000"/>
          <a:headEnd/>
          <a:tailEnd/>
        </a:ln>
      </xdr:spPr>
    </xdr:sp>
    <xdr:clientData/>
  </xdr:twoCellAnchor>
  <xdr:twoCellAnchor>
    <xdr:from>
      <xdr:col>34</xdr:col>
      <xdr:colOff>6350</xdr:colOff>
      <xdr:row>88</xdr:row>
      <xdr:rowOff>342900</xdr:rowOff>
    </xdr:from>
    <xdr:to>
      <xdr:col>35</xdr:col>
      <xdr:colOff>0</xdr:colOff>
      <xdr:row>119</xdr:row>
      <xdr:rowOff>63500</xdr:rowOff>
    </xdr:to>
    <xdr:sp macro="" textlink="">
      <xdr:nvSpPr>
        <xdr:cNvPr id="886714" name="Rectangle 343">
          <a:extLst>
            <a:ext uri="{FF2B5EF4-FFF2-40B4-BE49-F238E27FC236}">
              <a16:creationId xmlns="" xmlns:a16="http://schemas.microsoft.com/office/drawing/2014/main" id="{00000000-0008-0000-2500-0000BA870D00}"/>
            </a:ext>
          </a:extLst>
        </xdr:cNvPr>
        <xdr:cNvSpPr>
          <a:spLocks noChangeArrowheads="1"/>
        </xdr:cNvSpPr>
      </xdr:nvSpPr>
      <xdr:spPr bwMode="auto">
        <a:xfrm>
          <a:off x="5010150" y="10172700"/>
          <a:ext cx="107950" cy="349250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31</xdr:col>
      <xdr:colOff>31750</xdr:colOff>
      <xdr:row>119</xdr:row>
      <xdr:rowOff>57150</xdr:rowOff>
    </xdr:from>
    <xdr:to>
      <xdr:col>33</xdr:col>
      <xdr:colOff>63500</xdr:colOff>
      <xdr:row>121</xdr:row>
      <xdr:rowOff>57150</xdr:rowOff>
    </xdr:to>
    <xdr:sp macro="" textlink="">
      <xdr:nvSpPr>
        <xdr:cNvPr id="886715" name="Rectangle 344">
          <a:extLst>
            <a:ext uri="{FF2B5EF4-FFF2-40B4-BE49-F238E27FC236}">
              <a16:creationId xmlns="" xmlns:a16="http://schemas.microsoft.com/office/drawing/2014/main" id="{00000000-0008-0000-2500-0000BB870D00}"/>
            </a:ext>
          </a:extLst>
        </xdr:cNvPr>
        <xdr:cNvSpPr>
          <a:spLocks noChangeArrowheads="1"/>
        </xdr:cNvSpPr>
      </xdr:nvSpPr>
      <xdr:spPr bwMode="auto">
        <a:xfrm>
          <a:off x="4692650" y="13658850"/>
          <a:ext cx="260350" cy="228600"/>
        </a:xfrm>
        <a:prstGeom prst="rect">
          <a:avLst/>
        </a:prstGeom>
        <a:solidFill>
          <a:srgbClr val="FFFFFF"/>
        </a:solidFill>
        <a:ln w="9525">
          <a:solidFill>
            <a:srgbClr val="000000"/>
          </a:solidFill>
          <a:miter lim="800000"/>
          <a:headEnd/>
          <a:tailEnd/>
        </a:ln>
      </xdr:spPr>
    </xdr:sp>
    <xdr:clientData/>
  </xdr:twoCellAnchor>
  <xdr:twoCellAnchor>
    <xdr:from>
      <xdr:col>21</xdr:col>
      <xdr:colOff>57150</xdr:colOff>
      <xdr:row>134</xdr:row>
      <xdr:rowOff>31750</xdr:rowOff>
    </xdr:from>
    <xdr:to>
      <xdr:col>41</xdr:col>
      <xdr:colOff>38100</xdr:colOff>
      <xdr:row>134</xdr:row>
      <xdr:rowOff>38100</xdr:rowOff>
    </xdr:to>
    <xdr:sp macro="" textlink="">
      <xdr:nvSpPr>
        <xdr:cNvPr id="886716" name="Line 347">
          <a:extLst>
            <a:ext uri="{FF2B5EF4-FFF2-40B4-BE49-F238E27FC236}">
              <a16:creationId xmlns="" xmlns:a16="http://schemas.microsoft.com/office/drawing/2014/main" id="{00000000-0008-0000-2500-0000BC870D00}"/>
            </a:ext>
          </a:extLst>
        </xdr:cNvPr>
        <xdr:cNvSpPr>
          <a:spLocks noChangeShapeType="1"/>
        </xdr:cNvSpPr>
      </xdr:nvSpPr>
      <xdr:spPr bwMode="auto">
        <a:xfrm flipV="1">
          <a:off x="3575050" y="15347950"/>
          <a:ext cx="2266950" cy="63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33</xdr:col>
      <xdr:colOff>57150</xdr:colOff>
      <xdr:row>86</xdr:row>
      <xdr:rowOff>57150</xdr:rowOff>
    </xdr:from>
    <xdr:to>
      <xdr:col>35</xdr:col>
      <xdr:colOff>38100</xdr:colOff>
      <xdr:row>89</xdr:row>
      <xdr:rowOff>0</xdr:rowOff>
    </xdr:to>
    <xdr:sp macro="" textlink="">
      <xdr:nvSpPr>
        <xdr:cNvPr id="886717" name="Rectangle 354" descr="Outlined diamond">
          <a:extLst>
            <a:ext uri="{FF2B5EF4-FFF2-40B4-BE49-F238E27FC236}">
              <a16:creationId xmlns="" xmlns:a16="http://schemas.microsoft.com/office/drawing/2014/main" id="{00000000-0008-0000-2500-0000BD870D00}"/>
            </a:ext>
          </a:extLst>
        </xdr:cNvPr>
        <xdr:cNvSpPr>
          <a:spLocks noChangeArrowheads="1"/>
        </xdr:cNvSpPr>
      </xdr:nvSpPr>
      <xdr:spPr bwMode="auto">
        <a:xfrm flipV="1">
          <a:off x="4946650" y="9886950"/>
          <a:ext cx="209550" cy="28575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editAs="oneCell">
    <xdr:from>
      <xdr:col>29</xdr:col>
      <xdr:colOff>24765</xdr:colOff>
      <xdr:row>133</xdr:row>
      <xdr:rowOff>1</xdr:rowOff>
    </xdr:from>
    <xdr:to>
      <xdr:col>71</xdr:col>
      <xdr:colOff>74930</xdr:colOff>
      <xdr:row>138</xdr:row>
      <xdr:rowOff>82075</xdr:rowOff>
    </xdr:to>
    <xdr:sp macro="" textlink="">
      <xdr:nvSpPr>
        <xdr:cNvPr id="65" name="Text Box 355">
          <a:extLst>
            <a:ext uri="{FF2B5EF4-FFF2-40B4-BE49-F238E27FC236}">
              <a16:creationId xmlns="" xmlns:a16="http://schemas.microsoft.com/office/drawing/2014/main" id="{00000000-0008-0000-2500-000041000000}"/>
            </a:ext>
          </a:extLst>
        </xdr:cNvPr>
        <xdr:cNvSpPr txBox="1">
          <a:spLocks noChangeArrowheads="1"/>
        </xdr:cNvSpPr>
      </xdr:nvSpPr>
      <xdr:spPr bwMode="auto">
        <a:xfrm>
          <a:off x="4457700" y="15201901"/>
          <a:ext cx="4886325" cy="6572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245</a:t>
          </a:r>
        </a:p>
      </xdr:txBody>
    </xdr:sp>
    <xdr:clientData/>
  </xdr:twoCellAnchor>
  <xdr:twoCellAnchor>
    <xdr:from>
      <xdr:col>28</xdr:col>
      <xdr:colOff>6350</xdr:colOff>
      <xdr:row>119</xdr:row>
      <xdr:rowOff>50800</xdr:rowOff>
    </xdr:from>
    <xdr:to>
      <xdr:col>28</xdr:col>
      <xdr:colOff>6350</xdr:colOff>
      <xdr:row>142</xdr:row>
      <xdr:rowOff>50800</xdr:rowOff>
    </xdr:to>
    <xdr:sp macro="" textlink="">
      <xdr:nvSpPr>
        <xdr:cNvPr id="886719" name="Line 356">
          <a:extLst>
            <a:ext uri="{FF2B5EF4-FFF2-40B4-BE49-F238E27FC236}">
              <a16:creationId xmlns="" xmlns:a16="http://schemas.microsoft.com/office/drawing/2014/main" id="{00000000-0008-0000-2500-0000BF870D00}"/>
            </a:ext>
          </a:extLst>
        </xdr:cNvPr>
        <xdr:cNvSpPr>
          <a:spLocks noChangeShapeType="1"/>
        </xdr:cNvSpPr>
      </xdr:nvSpPr>
      <xdr:spPr bwMode="auto">
        <a:xfrm>
          <a:off x="4324350" y="13652500"/>
          <a:ext cx="0" cy="26289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25</xdr:col>
      <xdr:colOff>74930</xdr:colOff>
      <xdr:row>127</xdr:row>
      <xdr:rowOff>47626</xdr:rowOff>
    </xdr:from>
    <xdr:to>
      <xdr:col>115</xdr:col>
      <xdr:colOff>95249</xdr:colOff>
      <xdr:row>136</xdr:row>
      <xdr:rowOff>697</xdr:rowOff>
    </xdr:to>
    <xdr:sp macro="" textlink="">
      <xdr:nvSpPr>
        <xdr:cNvPr id="67" name="Text Box 359">
          <a:extLst>
            <a:ext uri="{FF2B5EF4-FFF2-40B4-BE49-F238E27FC236}">
              <a16:creationId xmlns="" xmlns:a16="http://schemas.microsoft.com/office/drawing/2014/main" id="{00000000-0008-0000-2500-000043000000}"/>
            </a:ext>
          </a:extLst>
        </xdr:cNvPr>
        <xdr:cNvSpPr txBox="1">
          <a:spLocks noChangeArrowheads="1"/>
        </xdr:cNvSpPr>
      </xdr:nvSpPr>
      <xdr:spPr bwMode="auto">
        <a:xfrm>
          <a:off x="4095750" y="14582776"/>
          <a:ext cx="9305925" cy="9715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160</a:t>
          </a:r>
        </a:p>
      </xdr:txBody>
    </xdr:sp>
    <xdr:clientData/>
  </xdr:twoCellAnchor>
  <xdr:twoCellAnchor>
    <xdr:from>
      <xdr:col>20</xdr:col>
      <xdr:colOff>6350</xdr:colOff>
      <xdr:row>101</xdr:row>
      <xdr:rowOff>0</xdr:rowOff>
    </xdr:from>
    <xdr:to>
      <xdr:col>21</xdr:col>
      <xdr:colOff>57150</xdr:colOff>
      <xdr:row>118</xdr:row>
      <xdr:rowOff>38100</xdr:rowOff>
    </xdr:to>
    <xdr:sp macro="" textlink="">
      <xdr:nvSpPr>
        <xdr:cNvPr id="886721" name="Rectangle 360">
          <a:extLst>
            <a:ext uri="{FF2B5EF4-FFF2-40B4-BE49-F238E27FC236}">
              <a16:creationId xmlns="" xmlns:a16="http://schemas.microsoft.com/office/drawing/2014/main" id="{00000000-0008-0000-2500-0000C1870D00}"/>
            </a:ext>
          </a:extLst>
        </xdr:cNvPr>
        <xdr:cNvSpPr>
          <a:spLocks noChangeArrowheads="1"/>
        </xdr:cNvSpPr>
      </xdr:nvSpPr>
      <xdr:spPr bwMode="auto">
        <a:xfrm>
          <a:off x="3409950" y="11544300"/>
          <a:ext cx="165100" cy="1981200"/>
        </a:xfrm>
        <a:prstGeom prst="rect">
          <a:avLst/>
        </a:prstGeom>
        <a:solidFill>
          <a:srgbClr val="FFFFFF"/>
        </a:solidFill>
        <a:ln w="9525">
          <a:solidFill>
            <a:srgbClr val="000000"/>
          </a:solidFill>
          <a:miter lim="800000"/>
          <a:headEnd/>
          <a:tailEnd/>
        </a:ln>
      </xdr:spPr>
    </xdr:sp>
    <xdr:clientData/>
  </xdr:twoCellAnchor>
  <xdr:twoCellAnchor>
    <xdr:from>
      <xdr:col>20</xdr:col>
      <xdr:colOff>88900</xdr:colOff>
      <xdr:row>100</xdr:row>
      <xdr:rowOff>63500</xdr:rowOff>
    </xdr:from>
    <xdr:to>
      <xdr:col>20</xdr:col>
      <xdr:colOff>88900</xdr:colOff>
      <xdr:row>118</xdr:row>
      <xdr:rowOff>38100</xdr:rowOff>
    </xdr:to>
    <xdr:sp macro="" textlink="">
      <xdr:nvSpPr>
        <xdr:cNvPr id="886722" name="Line 361">
          <a:extLst>
            <a:ext uri="{FF2B5EF4-FFF2-40B4-BE49-F238E27FC236}">
              <a16:creationId xmlns="" xmlns:a16="http://schemas.microsoft.com/office/drawing/2014/main" id="{00000000-0008-0000-2500-0000C2870D00}"/>
            </a:ext>
          </a:extLst>
        </xdr:cNvPr>
        <xdr:cNvSpPr>
          <a:spLocks noChangeShapeType="1"/>
        </xdr:cNvSpPr>
      </xdr:nvSpPr>
      <xdr:spPr bwMode="auto">
        <a:xfrm>
          <a:off x="3492500" y="11493500"/>
          <a:ext cx="0" cy="2032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99</xdr:row>
      <xdr:rowOff>38100</xdr:rowOff>
    </xdr:from>
    <xdr:to>
      <xdr:col>21</xdr:col>
      <xdr:colOff>57150</xdr:colOff>
      <xdr:row>101</xdr:row>
      <xdr:rowOff>0</xdr:rowOff>
    </xdr:to>
    <xdr:sp macro="" textlink="">
      <xdr:nvSpPr>
        <xdr:cNvPr id="886723" name="Rectangle 362">
          <a:extLst>
            <a:ext uri="{FF2B5EF4-FFF2-40B4-BE49-F238E27FC236}">
              <a16:creationId xmlns="" xmlns:a16="http://schemas.microsoft.com/office/drawing/2014/main" id="{00000000-0008-0000-2500-0000C3870D00}"/>
            </a:ext>
          </a:extLst>
        </xdr:cNvPr>
        <xdr:cNvSpPr>
          <a:spLocks noChangeArrowheads="1"/>
        </xdr:cNvSpPr>
      </xdr:nvSpPr>
      <xdr:spPr bwMode="auto">
        <a:xfrm>
          <a:off x="3403600" y="11353800"/>
          <a:ext cx="171450" cy="190500"/>
        </a:xfrm>
        <a:prstGeom prst="rect">
          <a:avLst/>
        </a:prstGeom>
        <a:solidFill>
          <a:srgbClr val="FFFFFF"/>
        </a:solidFill>
        <a:ln w="9525">
          <a:solidFill>
            <a:srgbClr val="000000"/>
          </a:solidFill>
          <a:miter lim="800000"/>
          <a:headEnd/>
          <a:tailEnd/>
        </a:ln>
      </xdr:spPr>
    </xdr:sp>
    <xdr:clientData/>
  </xdr:twoCellAnchor>
  <xdr:twoCellAnchor>
    <xdr:from>
      <xdr:col>16</xdr:col>
      <xdr:colOff>19050</xdr:colOff>
      <xdr:row>94</xdr:row>
      <xdr:rowOff>38100</xdr:rowOff>
    </xdr:from>
    <xdr:to>
      <xdr:col>37</xdr:col>
      <xdr:colOff>88900</xdr:colOff>
      <xdr:row>95</xdr:row>
      <xdr:rowOff>6350</xdr:rowOff>
    </xdr:to>
    <xdr:sp macro="" textlink="">
      <xdr:nvSpPr>
        <xdr:cNvPr id="886724" name="Rectangle 337">
          <a:extLst>
            <a:ext uri="{FF2B5EF4-FFF2-40B4-BE49-F238E27FC236}">
              <a16:creationId xmlns="" xmlns:a16="http://schemas.microsoft.com/office/drawing/2014/main" id="{00000000-0008-0000-2500-0000C4870D00}"/>
            </a:ext>
          </a:extLst>
        </xdr:cNvPr>
        <xdr:cNvSpPr>
          <a:spLocks noChangeArrowheads="1"/>
        </xdr:cNvSpPr>
      </xdr:nvSpPr>
      <xdr:spPr bwMode="auto">
        <a:xfrm rot="20461670" flipH="1">
          <a:off x="2965450" y="10782300"/>
          <a:ext cx="2470150" cy="82550"/>
        </a:xfrm>
        <a:prstGeom prst="rect">
          <a:avLst/>
        </a:prstGeom>
        <a:solidFill>
          <a:srgbClr val="FFFFFF"/>
        </a:solidFill>
        <a:ln w="9525">
          <a:solidFill>
            <a:srgbClr val="000000"/>
          </a:solidFill>
          <a:miter lim="800000"/>
          <a:headEnd/>
          <a:tailEnd/>
        </a:ln>
      </xdr:spPr>
    </xdr:sp>
    <xdr:clientData/>
  </xdr:twoCellAnchor>
  <xdr:twoCellAnchor>
    <xdr:from>
      <xdr:col>31</xdr:col>
      <xdr:colOff>0</xdr:colOff>
      <xdr:row>92</xdr:row>
      <xdr:rowOff>63500</xdr:rowOff>
    </xdr:from>
    <xdr:to>
      <xdr:col>31</xdr:col>
      <xdr:colOff>57150</xdr:colOff>
      <xdr:row>99</xdr:row>
      <xdr:rowOff>31750</xdr:rowOff>
    </xdr:to>
    <xdr:sp macro="" textlink="">
      <xdr:nvSpPr>
        <xdr:cNvPr id="886725" name="Rectangle 338">
          <a:extLst>
            <a:ext uri="{FF2B5EF4-FFF2-40B4-BE49-F238E27FC236}">
              <a16:creationId xmlns="" xmlns:a16="http://schemas.microsoft.com/office/drawing/2014/main" id="{00000000-0008-0000-2500-0000C5870D00}"/>
            </a:ext>
          </a:extLst>
        </xdr:cNvPr>
        <xdr:cNvSpPr>
          <a:spLocks noChangeArrowheads="1"/>
        </xdr:cNvSpPr>
      </xdr:nvSpPr>
      <xdr:spPr bwMode="auto">
        <a:xfrm>
          <a:off x="4660900" y="10579100"/>
          <a:ext cx="57150" cy="768350"/>
        </a:xfrm>
        <a:prstGeom prst="rect">
          <a:avLst/>
        </a:prstGeom>
        <a:solidFill>
          <a:srgbClr val="FFFFFF"/>
        </a:solidFill>
        <a:ln w="9525">
          <a:solidFill>
            <a:srgbClr val="000000"/>
          </a:solidFill>
          <a:miter lim="800000"/>
          <a:headEnd/>
          <a:tailEnd/>
        </a:ln>
      </xdr:spPr>
    </xdr:sp>
    <xdr:clientData/>
  </xdr:twoCellAnchor>
  <xdr:twoCellAnchor>
    <xdr:from>
      <xdr:col>28</xdr:col>
      <xdr:colOff>38100</xdr:colOff>
      <xdr:row>94</xdr:row>
      <xdr:rowOff>6350</xdr:rowOff>
    </xdr:from>
    <xdr:to>
      <xdr:col>29</xdr:col>
      <xdr:colOff>0</xdr:colOff>
      <xdr:row>99</xdr:row>
      <xdr:rowOff>19050</xdr:rowOff>
    </xdr:to>
    <xdr:sp macro="" textlink="">
      <xdr:nvSpPr>
        <xdr:cNvPr id="886726" name="Rectangle 339">
          <a:extLst>
            <a:ext uri="{FF2B5EF4-FFF2-40B4-BE49-F238E27FC236}">
              <a16:creationId xmlns="" xmlns:a16="http://schemas.microsoft.com/office/drawing/2014/main" id="{00000000-0008-0000-2500-0000C6870D00}"/>
            </a:ext>
          </a:extLst>
        </xdr:cNvPr>
        <xdr:cNvSpPr>
          <a:spLocks noChangeArrowheads="1"/>
        </xdr:cNvSpPr>
      </xdr:nvSpPr>
      <xdr:spPr bwMode="auto">
        <a:xfrm flipH="1">
          <a:off x="4356100" y="10750550"/>
          <a:ext cx="76200" cy="584200"/>
        </a:xfrm>
        <a:prstGeom prst="rect">
          <a:avLst/>
        </a:prstGeom>
        <a:solidFill>
          <a:srgbClr val="FFFFFF"/>
        </a:solidFill>
        <a:ln w="9525">
          <a:solidFill>
            <a:srgbClr val="000000"/>
          </a:solidFill>
          <a:miter lim="800000"/>
          <a:headEnd/>
          <a:tailEnd/>
        </a:ln>
      </xdr:spPr>
    </xdr:sp>
    <xdr:clientData/>
  </xdr:twoCellAnchor>
  <xdr:twoCellAnchor>
    <xdr:from>
      <xdr:col>25</xdr:col>
      <xdr:colOff>38100</xdr:colOff>
      <xdr:row>95</xdr:row>
      <xdr:rowOff>19050</xdr:rowOff>
    </xdr:from>
    <xdr:to>
      <xdr:col>25</xdr:col>
      <xdr:colOff>76200</xdr:colOff>
      <xdr:row>99</xdr:row>
      <xdr:rowOff>31750</xdr:rowOff>
    </xdr:to>
    <xdr:sp macro="" textlink="">
      <xdr:nvSpPr>
        <xdr:cNvPr id="886727" name="Rectangle 340">
          <a:extLst>
            <a:ext uri="{FF2B5EF4-FFF2-40B4-BE49-F238E27FC236}">
              <a16:creationId xmlns="" xmlns:a16="http://schemas.microsoft.com/office/drawing/2014/main" id="{00000000-0008-0000-2500-0000C7870D00}"/>
            </a:ext>
          </a:extLst>
        </xdr:cNvPr>
        <xdr:cNvSpPr>
          <a:spLocks noChangeArrowheads="1"/>
        </xdr:cNvSpPr>
      </xdr:nvSpPr>
      <xdr:spPr bwMode="auto">
        <a:xfrm flipH="1">
          <a:off x="4013200" y="10877550"/>
          <a:ext cx="38100" cy="469900"/>
        </a:xfrm>
        <a:prstGeom prst="rect">
          <a:avLst/>
        </a:prstGeom>
        <a:solidFill>
          <a:srgbClr val="FFFFFF"/>
        </a:solidFill>
        <a:ln w="9525">
          <a:solidFill>
            <a:srgbClr val="000000"/>
          </a:solidFill>
          <a:miter lim="800000"/>
          <a:headEnd/>
          <a:tailEnd/>
        </a:ln>
      </xdr:spPr>
    </xdr:sp>
    <xdr:clientData/>
  </xdr:twoCellAnchor>
  <xdr:twoCellAnchor>
    <xdr:from>
      <xdr:col>22</xdr:col>
      <xdr:colOff>76200</xdr:colOff>
      <xdr:row>96</xdr:row>
      <xdr:rowOff>19050</xdr:rowOff>
    </xdr:from>
    <xdr:to>
      <xdr:col>23</xdr:col>
      <xdr:colOff>38100</xdr:colOff>
      <xdr:row>99</xdr:row>
      <xdr:rowOff>31750</xdr:rowOff>
    </xdr:to>
    <xdr:sp macro="" textlink="">
      <xdr:nvSpPr>
        <xdr:cNvPr id="886728" name="Rectangle 341">
          <a:extLst>
            <a:ext uri="{FF2B5EF4-FFF2-40B4-BE49-F238E27FC236}">
              <a16:creationId xmlns="" xmlns:a16="http://schemas.microsoft.com/office/drawing/2014/main" id="{00000000-0008-0000-2500-0000C8870D00}"/>
            </a:ext>
          </a:extLst>
        </xdr:cNvPr>
        <xdr:cNvSpPr>
          <a:spLocks noChangeArrowheads="1"/>
        </xdr:cNvSpPr>
      </xdr:nvSpPr>
      <xdr:spPr bwMode="auto">
        <a:xfrm flipH="1">
          <a:off x="3708400" y="10991850"/>
          <a:ext cx="76200" cy="355600"/>
        </a:xfrm>
        <a:prstGeom prst="rect">
          <a:avLst/>
        </a:prstGeom>
        <a:solidFill>
          <a:srgbClr val="FFFFFF"/>
        </a:solidFill>
        <a:ln w="9525">
          <a:solidFill>
            <a:srgbClr val="000000"/>
          </a:solidFill>
          <a:miter lim="800000"/>
          <a:headEnd/>
          <a:tailEnd/>
        </a:ln>
      </xdr:spPr>
    </xdr:sp>
    <xdr:clientData/>
  </xdr:twoCellAnchor>
  <xdr:twoCellAnchor>
    <xdr:from>
      <xdr:col>14</xdr:col>
      <xdr:colOff>63500</xdr:colOff>
      <xdr:row>90</xdr:row>
      <xdr:rowOff>38100</xdr:rowOff>
    </xdr:from>
    <xdr:to>
      <xdr:col>38</xdr:col>
      <xdr:colOff>31750</xdr:colOff>
      <xdr:row>98</xdr:row>
      <xdr:rowOff>63500</xdr:rowOff>
    </xdr:to>
    <xdr:sp macro="" textlink="">
      <xdr:nvSpPr>
        <xdr:cNvPr id="886729" name="Line 352">
          <a:extLst>
            <a:ext uri="{FF2B5EF4-FFF2-40B4-BE49-F238E27FC236}">
              <a16:creationId xmlns="" xmlns:a16="http://schemas.microsoft.com/office/drawing/2014/main" id="{00000000-0008-0000-2500-0000C9870D00}"/>
            </a:ext>
          </a:extLst>
        </xdr:cNvPr>
        <xdr:cNvSpPr>
          <a:spLocks noChangeShapeType="1"/>
        </xdr:cNvSpPr>
      </xdr:nvSpPr>
      <xdr:spPr bwMode="auto">
        <a:xfrm flipH="1">
          <a:off x="2781300" y="10325100"/>
          <a:ext cx="2711450" cy="93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76200</xdr:colOff>
      <xdr:row>92</xdr:row>
      <xdr:rowOff>38100</xdr:rowOff>
    </xdr:from>
    <xdr:to>
      <xdr:col>33</xdr:col>
      <xdr:colOff>50800</xdr:colOff>
      <xdr:row>99</xdr:row>
      <xdr:rowOff>19050</xdr:rowOff>
    </xdr:to>
    <xdr:sp macro="" textlink="">
      <xdr:nvSpPr>
        <xdr:cNvPr id="886730" name="Rectangle 364" descr="Horizontal brick">
          <a:extLst>
            <a:ext uri="{FF2B5EF4-FFF2-40B4-BE49-F238E27FC236}">
              <a16:creationId xmlns="" xmlns:a16="http://schemas.microsoft.com/office/drawing/2014/main" id="{00000000-0008-0000-2500-0000CA870D00}"/>
            </a:ext>
          </a:extLst>
        </xdr:cNvPr>
        <xdr:cNvSpPr>
          <a:spLocks noChangeArrowheads="1"/>
        </xdr:cNvSpPr>
      </xdr:nvSpPr>
      <xdr:spPr bwMode="auto">
        <a:xfrm>
          <a:off x="4737100" y="10553700"/>
          <a:ext cx="203200" cy="7810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26</xdr:col>
      <xdr:colOff>76200</xdr:colOff>
      <xdr:row>99</xdr:row>
      <xdr:rowOff>31750</xdr:rowOff>
    </xdr:from>
    <xdr:to>
      <xdr:col>26</xdr:col>
      <xdr:colOff>88900</xdr:colOff>
      <xdr:row>118</xdr:row>
      <xdr:rowOff>31750</xdr:rowOff>
    </xdr:to>
    <xdr:sp macro="" textlink="">
      <xdr:nvSpPr>
        <xdr:cNvPr id="886731" name="Line 365">
          <a:extLst>
            <a:ext uri="{FF2B5EF4-FFF2-40B4-BE49-F238E27FC236}">
              <a16:creationId xmlns="" xmlns:a16="http://schemas.microsoft.com/office/drawing/2014/main" id="{00000000-0008-0000-2500-0000CB870D00}"/>
            </a:ext>
          </a:extLst>
        </xdr:cNvPr>
        <xdr:cNvSpPr>
          <a:spLocks noChangeShapeType="1"/>
        </xdr:cNvSpPr>
      </xdr:nvSpPr>
      <xdr:spPr bwMode="auto">
        <a:xfrm flipH="1">
          <a:off x="4165600" y="11347450"/>
          <a:ext cx="12700" cy="21717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6350</xdr:colOff>
      <xdr:row>90</xdr:row>
      <xdr:rowOff>0</xdr:rowOff>
    </xdr:from>
    <xdr:to>
      <xdr:col>14</xdr:col>
      <xdr:colOff>6350</xdr:colOff>
      <xdr:row>98</xdr:row>
      <xdr:rowOff>57150</xdr:rowOff>
    </xdr:to>
    <xdr:sp macro="" textlink="">
      <xdr:nvSpPr>
        <xdr:cNvPr id="886732" name="Line 367">
          <a:extLst>
            <a:ext uri="{FF2B5EF4-FFF2-40B4-BE49-F238E27FC236}">
              <a16:creationId xmlns="" xmlns:a16="http://schemas.microsoft.com/office/drawing/2014/main" id="{00000000-0008-0000-2500-0000CC870D00}"/>
            </a:ext>
          </a:extLst>
        </xdr:cNvPr>
        <xdr:cNvSpPr>
          <a:spLocks noChangeShapeType="1"/>
        </xdr:cNvSpPr>
      </xdr:nvSpPr>
      <xdr:spPr bwMode="auto">
        <a:xfrm>
          <a:off x="2724150" y="10287000"/>
          <a:ext cx="0" cy="9715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15</xdr:col>
      <xdr:colOff>6350</xdr:colOff>
      <xdr:row>95</xdr:row>
      <xdr:rowOff>19050</xdr:rowOff>
    </xdr:from>
    <xdr:to>
      <xdr:col>15</xdr:col>
      <xdr:colOff>63500</xdr:colOff>
      <xdr:row>107</xdr:row>
      <xdr:rowOff>57150</xdr:rowOff>
    </xdr:to>
    <xdr:sp macro="" textlink="">
      <xdr:nvSpPr>
        <xdr:cNvPr id="886733" name="Text Box 368">
          <a:extLst>
            <a:ext uri="{FF2B5EF4-FFF2-40B4-BE49-F238E27FC236}">
              <a16:creationId xmlns="" xmlns:a16="http://schemas.microsoft.com/office/drawing/2014/main" id="{00000000-0008-0000-2500-0000CD870D00}"/>
            </a:ext>
          </a:extLst>
        </xdr:cNvPr>
        <xdr:cNvSpPr txBox="1">
          <a:spLocks noChangeArrowheads="1"/>
        </xdr:cNvSpPr>
      </xdr:nvSpPr>
      <xdr:spPr bwMode="auto">
        <a:xfrm>
          <a:off x="2838450" y="10877550"/>
          <a:ext cx="57150" cy="140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6350</xdr:colOff>
      <xdr:row>95</xdr:row>
      <xdr:rowOff>6350</xdr:rowOff>
    </xdr:from>
    <xdr:to>
      <xdr:col>15</xdr:col>
      <xdr:colOff>63500</xdr:colOff>
      <xdr:row>107</xdr:row>
      <xdr:rowOff>57150</xdr:rowOff>
    </xdr:to>
    <xdr:sp macro="" textlink="">
      <xdr:nvSpPr>
        <xdr:cNvPr id="886734" name="Text Box 369">
          <a:extLst>
            <a:ext uri="{FF2B5EF4-FFF2-40B4-BE49-F238E27FC236}">
              <a16:creationId xmlns="" xmlns:a16="http://schemas.microsoft.com/office/drawing/2014/main" id="{00000000-0008-0000-2500-0000CE870D00}"/>
            </a:ext>
          </a:extLst>
        </xdr:cNvPr>
        <xdr:cNvSpPr txBox="1">
          <a:spLocks noChangeArrowheads="1"/>
        </xdr:cNvSpPr>
      </xdr:nvSpPr>
      <xdr:spPr bwMode="auto">
        <a:xfrm>
          <a:off x="2838450" y="10864850"/>
          <a:ext cx="57150" cy="142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15</xdr:col>
      <xdr:colOff>47625</xdr:colOff>
      <xdr:row>94</xdr:row>
      <xdr:rowOff>0</xdr:rowOff>
    </xdr:from>
    <xdr:ext cx="161070" cy="189511"/>
    <xdr:sp macro="" textlink="">
      <xdr:nvSpPr>
        <xdr:cNvPr id="82" name="Text Box 370">
          <a:extLst>
            <a:ext uri="{FF2B5EF4-FFF2-40B4-BE49-F238E27FC236}">
              <a16:creationId xmlns="" xmlns:a16="http://schemas.microsoft.com/office/drawing/2014/main" id="{00000000-0008-0000-2500-000052000000}"/>
            </a:ext>
          </a:extLst>
        </xdr:cNvPr>
        <xdr:cNvSpPr txBox="1">
          <a:spLocks noChangeArrowheads="1"/>
        </xdr:cNvSpPr>
      </xdr:nvSpPr>
      <xdr:spPr bwMode="auto">
        <a:xfrm>
          <a:off x="2886075" y="10744200"/>
          <a:ext cx="161070"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fr-FR" sz="1000" b="1" i="0" strike="noStrike">
              <a:solidFill>
                <a:srgbClr val="000000"/>
              </a:solidFill>
              <a:latin typeface="Arial"/>
              <a:cs typeface="Arial"/>
            </a:rPr>
            <a:t>40</a:t>
          </a:r>
        </a:p>
      </xdr:txBody>
    </xdr:sp>
    <xdr:clientData/>
  </xdr:oneCellAnchor>
  <xdr:twoCellAnchor>
    <xdr:from>
      <xdr:col>13</xdr:col>
      <xdr:colOff>63500</xdr:colOff>
      <xdr:row>122</xdr:row>
      <xdr:rowOff>57150</xdr:rowOff>
    </xdr:from>
    <xdr:to>
      <xdr:col>19</xdr:col>
      <xdr:colOff>57150</xdr:colOff>
      <xdr:row>122</xdr:row>
      <xdr:rowOff>57150</xdr:rowOff>
    </xdr:to>
    <xdr:sp macro="" textlink="">
      <xdr:nvSpPr>
        <xdr:cNvPr id="886736" name="Line 377">
          <a:extLst>
            <a:ext uri="{FF2B5EF4-FFF2-40B4-BE49-F238E27FC236}">
              <a16:creationId xmlns="" xmlns:a16="http://schemas.microsoft.com/office/drawing/2014/main" id="{00000000-0008-0000-2500-0000D0870D00}"/>
            </a:ext>
          </a:extLst>
        </xdr:cNvPr>
        <xdr:cNvSpPr>
          <a:spLocks noChangeShapeType="1"/>
        </xdr:cNvSpPr>
      </xdr:nvSpPr>
      <xdr:spPr bwMode="auto">
        <a:xfrm>
          <a:off x="2667000" y="14001750"/>
          <a:ext cx="6794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63500</xdr:colOff>
      <xdr:row>118</xdr:row>
      <xdr:rowOff>31750</xdr:rowOff>
    </xdr:from>
    <xdr:to>
      <xdr:col>39</xdr:col>
      <xdr:colOff>0</xdr:colOff>
      <xdr:row>119</xdr:row>
      <xdr:rowOff>57150</xdr:rowOff>
    </xdr:to>
    <xdr:sp macro="" textlink="">
      <xdr:nvSpPr>
        <xdr:cNvPr id="886737" name="Rectangle 379">
          <a:extLst>
            <a:ext uri="{FF2B5EF4-FFF2-40B4-BE49-F238E27FC236}">
              <a16:creationId xmlns="" xmlns:a16="http://schemas.microsoft.com/office/drawing/2014/main" id="{00000000-0008-0000-2500-0000D1870D00}"/>
            </a:ext>
          </a:extLst>
        </xdr:cNvPr>
        <xdr:cNvSpPr>
          <a:spLocks noChangeArrowheads="1"/>
        </xdr:cNvSpPr>
      </xdr:nvSpPr>
      <xdr:spPr bwMode="auto">
        <a:xfrm>
          <a:off x="5181600" y="13519150"/>
          <a:ext cx="393700" cy="139700"/>
        </a:xfrm>
        <a:prstGeom prst="rect">
          <a:avLst/>
        </a:prstGeom>
        <a:solidFill>
          <a:srgbClr val="FFFFFF"/>
        </a:solidFill>
        <a:ln w="9525">
          <a:solidFill>
            <a:srgbClr val="000000"/>
          </a:solidFill>
          <a:miter lim="800000"/>
          <a:headEnd/>
          <a:tailEnd/>
        </a:ln>
      </xdr:spPr>
    </xdr:sp>
    <xdr:clientData/>
  </xdr:twoCellAnchor>
  <xdr:twoCellAnchor>
    <xdr:from>
      <xdr:col>25</xdr:col>
      <xdr:colOff>0</xdr:colOff>
      <xdr:row>118</xdr:row>
      <xdr:rowOff>38100</xdr:rowOff>
    </xdr:from>
    <xdr:to>
      <xdr:col>28</xdr:col>
      <xdr:colOff>0</xdr:colOff>
      <xdr:row>119</xdr:row>
      <xdr:rowOff>63500</xdr:rowOff>
    </xdr:to>
    <xdr:sp macro="" textlink="">
      <xdr:nvSpPr>
        <xdr:cNvPr id="886738" name="Rectangle 380">
          <a:extLst>
            <a:ext uri="{FF2B5EF4-FFF2-40B4-BE49-F238E27FC236}">
              <a16:creationId xmlns="" xmlns:a16="http://schemas.microsoft.com/office/drawing/2014/main" id="{00000000-0008-0000-2500-0000D2870D00}"/>
            </a:ext>
          </a:extLst>
        </xdr:cNvPr>
        <xdr:cNvSpPr>
          <a:spLocks noChangeArrowheads="1"/>
        </xdr:cNvSpPr>
      </xdr:nvSpPr>
      <xdr:spPr bwMode="auto">
        <a:xfrm>
          <a:off x="3975100" y="13525500"/>
          <a:ext cx="342900" cy="139700"/>
        </a:xfrm>
        <a:prstGeom prst="rect">
          <a:avLst/>
        </a:prstGeom>
        <a:solidFill>
          <a:srgbClr val="FFFFFF"/>
        </a:solidFill>
        <a:ln w="9525">
          <a:solidFill>
            <a:srgbClr val="000000"/>
          </a:solidFill>
          <a:miter lim="800000"/>
          <a:headEnd/>
          <a:tailEnd/>
        </a:ln>
      </xdr:spPr>
    </xdr:sp>
    <xdr:clientData/>
  </xdr:twoCellAnchor>
  <xdr:twoCellAnchor>
    <xdr:from>
      <xdr:col>23</xdr:col>
      <xdr:colOff>0</xdr:colOff>
      <xdr:row>101</xdr:row>
      <xdr:rowOff>0</xdr:rowOff>
    </xdr:from>
    <xdr:to>
      <xdr:col>23</xdr:col>
      <xdr:colOff>0</xdr:colOff>
      <xdr:row>118</xdr:row>
      <xdr:rowOff>38100</xdr:rowOff>
    </xdr:to>
    <xdr:sp macro="" textlink="">
      <xdr:nvSpPr>
        <xdr:cNvPr id="886739" name="Line 381">
          <a:extLst>
            <a:ext uri="{FF2B5EF4-FFF2-40B4-BE49-F238E27FC236}">
              <a16:creationId xmlns="" xmlns:a16="http://schemas.microsoft.com/office/drawing/2014/main" id="{00000000-0008-0000-2500-0000D3870D00}"/>
            </a:ext>
          </a:extLst>
        </xdr:cNvPr>
        <xdr:cNvSpPr>
          <a:spLocks noChangeShapeType="1"/>
        </xdr:cNvSpPr>
      </xdr:nvSpPr>
      <xdr:spPr bwMode="auto">
        <a:xfrm>
          <a:off x="3746500" y="11544300"/>
          <a:ext cx="0" cy="19812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23</xdr:col>
      <xdr:colOff>0</xdr:colOff>
      <xdr:row>110</xdr:row>
      <xdr:rowOff>0</xdr:rowOff>
    </xdr:from>
    <xdr:to>
      <xdr:col>23</xdr:col>
      <xdr:colOff>57150</xdr:colOff>
      <xdr:row>122</xdr:row>
      <xdr:rowOff>50800</xdr:rowOff>
    </xdr:to>
    <xdr:sp macro="" textlink="">
      <xdr:nvSpPr>
        <xdr:cNvPr id="886740" name="Text Box 382">
          <a:extLst>
            <a:ext uri="{FF2B5EF4-FFF2-40B4-BE49-F238E27FC236}">
              <a16:creationId xmlns="" xmlns:a16="http://schemas.microsoft.com/office/drawing/2014/main" id="{00000000-0008-0000-2500-0000D4870D00}"/>
            </a:ext>
          </a:extLst>
        </xdr:cNvPr>
        <xdr:cNvSpPr txBox="1">
          <a:spLocks noChangeArrowheads="1"/>
        </xdr:cNvSpPr>
      </xdr:nvSpPr>
      <xdr:spPr bwMode="auto">
        <a:xfrm>
          <a:off x="3746500" y="12573000"/>
          <a:ext cx="57150" cy="142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14</xdr:col>
      <xdr:colOff>6350</xdr:colOff>
      <xdr:row>108</xdr:row>
      <xdr:rowOff>0</xdr:rowOff>
    </xdr:from>
    <xdr:to>
      <xdr:col>19</xdr:col>
      <xdr:colOff>88900</xdr:colOff>
      <xdr:row>108</xdr:row>
      <xdr:rowOff>0</xdr:rowOff>
    </xdr:to>
    <xdr:sp macro="" textlink="">
      <xdr:nvSpPr>
        <xdr:cNvPr id="886741" name="Line 384">
          <a:extLst>
            <a:ext uri="{FF2B5EF4-FFF2-40B4-BE49-F238E27FC236}">
              <a16:creationId xmlns="" xmlns:a16="http://schemas.microsoft.com/office/drawing/2014/main" id="{00000000-0008-0000-2500-0000D5870D00}"/>
            </a:ext>
          </a:extLst>
        </xdr:cNvPr>
        <xdr:cNvSpPr>
          <a:spLocks noChangeShapeType="1"/>
        </xdr:cNvSpPr>
      </xdr:nvSpPr>
      <xdr:spPr bwMode="auto">
        <a:xfrm flipV="1">
          <a:off x="2724150" y="12344400"/>
          <a:ext cx="6540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105</xdr:row>
      <xdr:rowOff>0</xdr:rowOff>
    </xdr:from>
    <xdr:to>
      <xdr:col>14</xdr:col>
      <xdr:colOff>3200</xdr:colOff>
      <xdr:row>109</xdr:row>
      <xdr:rowOff>0</xdr:rowOff>
    </xdr:to>
    <xdr:sp macro="" textlink="">
      <xdr:nvSpPr>
        <xdr:cNvPr id="89" name="Text Box 385">
          <a:extLst>
            <a:ext uri="{FF2B5EF4-FFF2-40B4-BE49-F238E27FC236}">
              <a16:creationId xmlns="" xmlns:a16="http://schemas.microsoft.com/office/drawing/2014/main" id="{00000000-0008-0000-2500-000059000000}"/>
            </a:ext>
          </a:extLst>
        </xdr:cNvPr>
        <xdr:cNvSpPr txBox="1">
          <a:spLocks noChangeArrowheads="1"/>
        </xdr:cNvSpPr>
      </xdr:nvSpPr>
      <xdr:spPr bwMode="auto">
        <a:xfrm>
          <a:off x="1933575" y="12001500"/>
          <a:ext cx="809625" cy="4572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porte en bois mulingati</a:t>
          </a:r>
        </a:p>
      </xdr:txBody>
    </xdr:sp>
    <xdr:clientData/>
  </xdr:twoCellAnchor>
  <xdr:twoCellAnchor>
    <xdr:from>
      <xdr:col>36</xdr:col>
      <xdr:colOff>50800</xdr:colOff>
      <xdr:row>111</xdr:row>
      <xdr:rowOff>38100</xdr:rowOff>
    </xdr:from>
    <xdr:to>
      <xdr:col>46</xdr:col>
      <xdr:colOff>0</xdr:colOff>
      <xdr:row>118</xdr:row>
      <xdr:rowOff>19050</xdr:rowOff>
    </xdr:to>
    <xdr:sp macro="" textlink="">
      <xdr:nvSpPr>
        <xdr:cNvPr id="886743" name="Line 386">
          <a:extLst>
            <a:ext uri="{FF2B5EF4-FFF2-40B4-BE49-F238E27FC236}">
              <a16:creationId xmlns="" xmlns:a16="http://schemas.microsoft.com/office/drawing/2014/main" id="{00000000-0008-0000-2500-0000D7870D00}"/>
            </a:ext>
          </a:extLst>
        </xdr:cNvPr>
        <xdr:cNvSpPr>
          <a:spLocks noChangeShapeType="1"/>
        </xdr:cNvSpPr>
      </xdr:nvSpPr>
      <xdr:spPr bwMode="auto">
        <a:xfrm rot="10800000" flipV="1">
          <a:off x="5283200" y="12725400"/>
          <a:ext cx="1092200" cy="7810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42</xdr:col>
      <xdr:colOff>57150</xdr:colOff>
      <xdr:row>111</xdr:row>
      <xdr:rowOff>57150</xdr:rowOff>
    </xdr:from>
    <xdr:to>
      <xdr:col>45</xdr:col>
      <xdr:colOff>88900</xdr:colOff>
      <xdr:row>118</xdr:row>
      <xdr:rowOff>19050</xdr:rowOff>
    </xdr:to>
    <xdr:sp macro="" textlink="">
      <xdr:nvSpPr>
        <xdr:cNvPr id="886744" name="Line 387">
          <a:extLst>
            <a:ext uri="{FF2B5EF4-FFF2-40B4-BE49-F238E27FC236}">
              <a16:creationId xmlns="" xmlns:a16="http://schemas.microsoft.com/office/drawing/2014/main" id="{00000000-0008-0000-2500-0000D8870D00}"/>
            </a:ext>
          </a:extLst>
        </xdr:cNvPr>
        <xdr:cNvSpPr>
          <a:spLocks noChangeShapeType="1"/>
        </xdr:cNvSpPr>
      </xdr:nvSpPr>
      <xdr:spPr bwMode="auto">
        <a:xfrm flipH="1">
          <a:off x="5975350" y="12744450"/>
          <a:ext cx="374650" cy="762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45</xdr:col>
      <xdr:colOff>95249</xdr:colOff>
      <xdr:row>110</xdr:row>
      <xdr:rowOff>20320</xdr:rowOff>
    </xdr:from>
    <xdr:to>
      <xdr:col>62</xdr:col>
      <xdr:colOff>61115</xdr:colOff>
      <xdr:row>113</xdr:row>
      <xdr:rowOff>79664</xdr:rowOff>
    </xdr:to>
    <xdr:sp macro="" textlink="">
      <xdr:nvSpPr>
        <xdr:cNvPr id="92" name="Text Box 388">
          <a:extLst>
            <a:ext uri="{FF2B5EF4-FFF2-40B4-BE49-F238E27FC236}">
              <a16:creationId xmlns="" xmlns:a16="http://schemas.microsoft.com/office/drawing/2014/main" id="{00000000-0008-0000-2500-00005C000000}"/>
            </a:ext>
          </a:extLst>
        </xdr:cNvPr>
        <xdr:cNvSpPr txBox="1">
          <a:spLocks noChangeArrowheads="1"/>
        </xdr:cNvSpPr>
      </xdr:nvSpPr>
      <xdr:spPr bwMode="auto">
        <a:xfrm>
          <a:off x="6391274" y="12601575"/>
          <a:ext cx="1876425" cy="4000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dalle amovible armée</a:t>
          </a:r>
          <a:r>
            <a:rPr lang="fr-FR" sz="1000" b="0" i="0" strike="noStrike" baseline="0">
              <a:solidFill>
                <a:srgbClr val="000000"/>
              </a:solidFill>
              <a:latin typeface="Arial"/>
              <a:cs typeface="Arial"/>
            </a:rPr>
            <a:t> avec des </a:t>
          </a:r>
          <a:r>
            <a:rPr lang="az-Cyrl-AZ" sz="1000" b="0" i="0" baseline="0">
              <a:latin typeface="+mn-lt"/>
              <a:ea typeface="+mn-ea"/>
              <a:cs typeface="+mn-cs"/>
            </a:rPr>
            <a:t>ф</a:t>
          </a:r>
          <a:r>
            <a:rPr lang="fr-FR" sz="1000" b="0" i="0" baseline="0">
              <a:latin typeface="+mn-lt"/>
              <a:ea typeface="+mn-ea"/>
              <a:cs typeface="+mn-cs"/>
            </a:rPr>
            <a:t> 8mm</a:t>
          </a:r>
          <a:r>
            <a:rPr lang="fr-FR" sz="1000" b="0" i="0" strike="noStrike">
              <a:solidFill>
                <a:srgbClr val="000000"/>
              </a:solidFill>
              <a:latin typeface="Arial"/>
              <a:cs typeface="Arial"/>
            </a:rPr>
            <a:t> avec</a:t>
          </a:r>
          <a:r>
            <a:rPr lang="fr-FR" sz="1000" b="0" i="0" strike="noStrike" baseline="0">
              <a:solidFill>
                <a:srgbClr val="000000"/>
              </a:solidFill>
              <a:latin typeface="Arial"/>
              <a:cs typeface="Arial"/>
            </a:rPr>
            <a:t> 2crochets </a:t>
          </a:r>
          <a:endParaRPr lang="fr-FR" sz="1000" b="0" i="0" strike="noStrike">
            <a:solidFill>
              <a:srgbClr val="000000"/>
            </a:solidFill>
            <a:latin typeface="Arial"/>
            <a:cs typeface="Arial"/>
          </a:endParaRPr>
        </a:p>
      </xdr:txBody>
    </xdr:sp>
    <xdr:clientData/>
  </xdr:twoCellAnchor>
  <xdr:twoCellAnchor>
    <xdr:from>
      <xdr:col>31</xdr:col>
      <xdr:colOff>76200</xdr:colOff>
      <xdr:row>99</xdr:row>
      <xdr:rowOff>19050</xdr:rowOff>
    </xdr:from>
    <xdr:to>
      <xdr:col>33</xdr:col>
      <xdr:colOff>38100</xdr:colOff>
      <xdr:row>100</xdr:row>
      <xdr:rowOff>57150</xdr:rowOff>
    </xdr:to>
    <xdr:sp macro="" textlink="">
      <xdr:nvSpPr>
        <xdr:cNvPr id="886746" name="Rectangle 389">
          <a:extLst>
            <a:ext uri="{FF2B5EF4-FFF2-40B4-BE49-F238E27FC236}">
              <a16:creationId xmlns="" xmlns:a16="http://schemas.microsoft.com/office/drawing/2014/main" id="{00000000-0008-0000-2500-0000DA870D00}"/>
            </a:ext>
          </a:extLst>
        </xdr:cNvPr>
        <xdr:cNvSpPr>
          <a:spLocks noChangeArrowheads="1"/>
        </xdr:cNvSpPr>
      </xdr:nvSpPr>
      <xdr:spPr bwMode="auto">
        <a:xfrm>
          <a:off x="4737100" y="11334750"/>
          <a:ext cx="190500" cy="152400"/>
        </a:xfrm>
        <a:prstGeom prst="rect">
          <a:avLst/>
        </a:prstGeom>
        <a:solidFill>
          <a:srgbClr val="FFFFFF"/>
        </a:solidFill>
        <a:ln w="9525">
          <a:solidFill>
            <a:srgbClr val="000000"/>
          </a:solidFill>
          <a:miter lim="800000"/>
          <a:headEnd/>
          <a:tailEnd/>
        </a:ln>
      </xdr:spPr>
    </xdr:sp>
    <xdr:clientData/>
  </xdr:twoCellAnchor>
  <xdr:twoCellAnchor>
    <xdr:from>
      <xdr:col>31</xdr:col>
      <xdr:colOff>76200</xdr:colOff>
      <xdr:row>101</xdr:row>
      <xdr:rowOff>0</xdr:rowOff>
    </xdr:from>
    <xdr:to>
      <xdr:col>33</xdr:col>
      <xdr:colOff>38100</xdr:colOff>
      <xdr:row>118</xdr:row>
      <xdr:rowOff>19050</xdr:rowOff>
    </xdr:to>
    <xdr:sp macro="" textlink="">
      <xdr:nvSpPr>
        <xdr:cNvPr id="886747" name="Rectangle 390" descr="Horizontal brick">
          <a:extLst>
            <a:ext uri="{FF2B5EF4-FFF2-40B4-BE49-F238E27FC236}">
              <a16:creationId xmlns="" xmlns:a16="http://schemas.microsoft.com/office/drawing/2014/main" id="{00000000-0008-0000-2500-0000DB870D00}"/>
            </a:ext>
          </a:extLst>
        </xdr:cNvPr>
        <xdr:cNvSpPr>
          <a:spLocks noChangeArrowheads="1"/>
        </xdr:cNvSpPr>
      </xdr:nvSpPr>
      <xdr:spPr bwMode="auto">
        <a:xfrm flipH="1">
          <a:off x="4737100" y="11544300"/>
          <a:ext cx="190500" cy="19621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35</xdr:col>
      <xdr:colOff>6350</xdr:colOff>
      <xdr:row>93</xdr:row>
      <xdr:rowOff>0</xdr:rowOff>
    </xdr:from>
    <xdr:to>
      <xdr:col>41</xdr:col>
      <xdr:colOff>0</xdr:colOff>
      <xdr:row>93</xdr:row>
      <xdr:rowOff>6350</xdr:rowOff>
    </xdr:to>
    <xdr:sp macro="" textlink="">
      <xdr:nvSpPr>
        <xdr:cNvPr id="886748" name="Line 391">
          <a:extLst>
            <a:ext uri="{FF2B5EF4-FFF2-40B4-BE49-F238E27FC236}">
              <a16:creationId xmlns="" xmlns:a16="http://schemas.microsoft.com/office/drawing/2014/main" id="{00000000-0008-0000-2500-0000DC870D00}"/>
            </a:ext>
          </a:extLst>
        </xdr:cNvPr>
        <xdr:cNvSpPr>
          <a:spLocks noChangeShapeType="1"/>
        </xdr:cNvSpPr>
      </xdr:nvSpPr>
      <xdr:spPr bwMode="auto">
        <a:xfrm rot="10701805">
          <a:off x="5124450" y="10629900"/>
          <a:ext cx="679450" cy="6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42</xdr:col>
      <xdr:colOff>0</xdr:colOff>
      <xdr:row>93</xdr:row>
      <xdr:rowOff>6350</xdr:rowOff>
    </xdr:from>
    <xdr:to>
      <xdr:col>42</xdr:col>
      <xdr:colOff>57150</xdr:colOff>
      <xdr:row>105</xdr:row>
      <xdr:rowOff>57150</xdr:rowOff>
    </xdr:to>
    <xdr:sp macro="" textlink="">
      <xdr:nvSpPr>
        <xdr:cNvPr id="886749" name="Text Box 392">
          <a:extLst>
            <a:ext uri="{FF2B5EF4-FFF2-40B4-BE49-F238E27FC236}">
              <a16:creationId xmlns="" xmlns:a16="http://schemas.microsoft.com/office/drawing/2014/main" id="{00000000-0008-0000-2500-0000DD870D00}"/>
            </a:ext>
          </a:extLst>
        </xdr:cNvPr>
        <xdr:cNvSpPr txBox="1">
          <a:spLocks noChangeArrowheads="1"/>
        </xdr:cNvSpPr>
      </xdr:nvSpPr>
      <xdr:spPr bwMode="auto">
        <a:xfrm>
          <a:off x="5918200" y="10636250"/>
          <a:ext cx="57150" cy="142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41</xdr:col>
      <xdr:colOff>56515</xdr:colOff>
      <xdr:row>90</xdr:row>
      <xdr:rowOff>60960</xdr:rowOff>
    </xdr:from>
    <xdr:to>
      <xdr:col>47</xdr:col>
      <xdr:colOff>95034</xdr:colOff>
      <xdr:row>94</xdr:row>
      <xdr:rowOff>2570</xdr:rowOff>
    </xdr:to>
    <xdr:sp macro="" textlink="">
      <xdr:nvSpPr>
        <xdr:cNvPr id="97" name="Text Box 393">
          <a:extLst>
            <a:ext uri="{FF2B5EF4-FFF2-40B4-BE49-F238E27FC236}">
              <a16:creationId xmlns="" xmlns:a16="http://schemas.microsoft.com/office/drawing/2014/main" id="{00000000-0008-0000-2500-000061000000}"/>
            </a:ext>
          </a:extLst>
        </xdr:cNvPr>
        <xdr:cNvSpPr txBox="1">
          <a:spLocks noChangeArrowheads="1"/>
        </xdr:cNvSpPr>
      </xdr:nvSpPr>
      <xdr:spPr bwMode="auto">
        <a:xfrm>
          <a:off x="5886450" y="10325100"/>
          <a:ext cx="733425" cy="4476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tuyau PVC 160</a:t>
          </a:r>
        </a:p>
      </xdr:txBody>
    </xdr:sp>
    <xdr:clientData/>
  </xdr:twoCellAnchor>
  <xdr:twoCellAnchor>
    <xdr:from>
      <xdr:col>35</xdr:col>
      <xdr:colOff>63500</xdr:colOff>
      <xdr:row>98</xdr:row>
      <xdr:rowOff>63500</xdr:rowOff>
    </xdr:from>
    <xdr:to>
      <xdr:col>44</xdr:col>
      <xdr:colOff>57150</xdr:colOff>
      <xdr:row>99</xdr:row>
      <xdr:rowOff>0</xdr:rowOff>
    </xdr:to>
    <xdr:sp macro="" textlink="">
      <xdr:nvSpPr>
        <xdr:cNvPr id="886751" name="Line 394">
          <a:extLst>
            <a:ext uri="{FF2B5EF4-FFF2-40B4-BE49-F238E27FC236}">
              <a16:creationId xmlns="" xmlns:a16="http://schemas.microsoft.com/office/drawing/2014/main" id="{00000000-0008-0000-2500-0000DF870D00}"/>
            </a:ext>
          </a:extLst>
        </xdr:cNvPr>
        <xdr:cNvSpPr>
          <a:spLocks noChangeShapeType="1"/>
        </xdr:cNvSpPr>
      </xdr:nvSpPr>
      <xdr:spPr bwMode="auto">
        <a:xfrm rot="10701805">
          <a:off x="5181600" y="11264900"/>
          <a:ext cx="1022350" cy="508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45</xdr:col>
      <xdr:colOff>0</xdr:colOff>
      <xdr:row>97</xdr:row>
      <xdr:rowOff>61595</xdr:rowOff>
    </xdr:from>
    <xdr:to>
      <xdr:col>56</xdr:col>
      <xdr:colOff>0</xdr:colOff>
      <xdr:row>101</xdr:row>
      <xdr:rowOff>230</xdr:rowOff>
    </xdr:to>
    <xdr:sp macro="" textlink="">
      <xdr:nvSpPr>
        <xdr:cNvPr id="99" name="Text Box 395">
          <a:extLst>
            <a:ext uri="{FF2B5EF4-FFF2-40B4-BE49-F238E27FC236}">
              <a16:creationId xmlns="" xmlns:a16="http://schemas.microsoft.com/office/drawing/2014/main" id="{00000000-0008-0000-2500-000063000000}"/>
            </a:ext>
          </a:extLst>
        </xdr:cNvPr>
        <xdr:cNvSpPr txBox="1">
          <a:spLocks noChangeArrowheads="1"/>
        </xdr:cNvSpPr>
      </xdr:nvSpPr>
      <xdr:spPr bwMode="auto">
        <a:xfrm>
          <a:off x="6276975" y="11106150"/>
          <a:ext cx="1257300" cy="4381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charpente en bois linzo 7cmx7cm</a:t>
          </a:r>
        </a:p>
      </xdr:txBody>
    </xdr:sp>
    <xdr:clientData/>
  </xdr:twoCellAnchor>
  <xdr:twoCellAnchor>
    <xdr:from>
      <xdr:col>33</xdr:col>
      <xdr:colOff>19050</xdr:colOff>
      <xdr:row>100</xdr:row>
      <xdr:rowOff>0</xdr:rowOff>
    </xdr:from>
    <xdr:to>
      <xdr:col>47</xdr:col>
      <xdr:colOff>0</xdr:colOff>
      <xdr:row>103</xdr:row>
      <xdr:rowOff>19050</xdr:rowOff>
    </xdr:to>
    <xdr:sp macro="" textlink="">
      <xdr:nvSpPr>
        <xdr:cNvPr id="886753" name="Line 396">
          <a:extLst>
            <a:ext uri="{FF2B5EF4-FFF2-40B4-BE49-F238E27FC236}">
              <a16:creationId xmlns="" xmlns:a16="http://schemas.microsoft.com/office/drawing/2014/main" id="{00000000-0008-0000-2500-0000E1870D00}"/>
            </a:ext>
          </a:extLst>
        </xdr:cNvPr>
        <xdr:cNvSpPr>
          <a:spLocks noChangeShapeType="1"/>
        </xdr:cNvSpPr>
      </xdr:nvSpPr>
      <xdr:spPr bwMode="auto">
        <a:xfrm rot="10800000">
          <a:off x="4908550" y="11430000"/>
          <a:ext cx="1581150" cy="3619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47</xdr:col>
      <xdr:colOff>0</xdr:colOff>
      <xdr:row>103</xdr:row>
      <xdr:rowOff>0</xdr:rowOff>
    </xdr:from>
    <xdr:to>
      <xdr:col>58</xdr:col>
      <xdr:colOff>0</xdr:colOff>
      <xdr:row>108</xdr:row>
      <xdr:rowOff>0</xdr:rowOff>
    </xdr:to>
    <xdr:sp macro="" textlink="">
      <xdr:nvSpPr>
        <xdr:cNvPr id="101" name="Text Box 397">
          <a:extLst>
            <a:ext uri="{FF2B5EF4-FFF2-40B4-BE49-F238E27FC236}">
              <a16:creationId xmlns="" xmlns:a16="http://schemas.microsoft.com/office/drawing/2014/main" id="{00000000-0008-0000-2500-000065000000}"/>
            </a:ext>
          </a:extLst>
        </xdr:cNvPr>
        <xdr:cNvSpPr txBox="1">
          <a:spLocks noChangeArrowheads="1"/>
        </xdr:cNvSpPr>
      </xdr:nvSpPr>
      <xdr:spPr bwMode="auto">
        <a:xfrm>
          <a:off x="6505575" y="11772900"/>
          <a:ext cx="1257300" cy="5715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Chainage en beton arme 350kg/m3 avec Fb 8mm HA</a:t>
          </a:r>
        </a:p>
      </xdr:txBody>
    </xdr:sp>
    <xdr:clientData/>
  </xdr:twoCellAnchor>
  <xdr:twoCellAnchor>
    <xdr:from>
      <xdr:col>46</xdr:col>
      <xdr:colOff>57150</xdr:colOff>
      <xdr:row>117</xdr:row>
      <xdr:rowOff>19050</xdr:rowOff>
    </xdr:from>
    <xdr:to>
      <xdr:col>53</xdr:col>
      <xdr:colOff>57150</xdr:colOff>
      <xdr:row>119</xdr:row>
      <xdr:rowOff>50800</xdr:rowOff>
    </xdr:to>
    <xdr:sp macro="" textlink="">
      <xdr:nvSpPr>
        <xdr:cNvPr id="886755" name="Line 398">
          <a:extLst>
            <a:ext uri="{FF2B5EF4-FFF2-40B4-BE49-F238E27FC236}">
              <a16:creationId xmlns="" xmlns:a16="http://schemas.microsoft.com/office/drawing/2014/main" id="{00000000-0008-0000-2500-0000E3870D00}"/>
            </a:ext>
          </a:extLst>
        </xdr:cNvPr>
        <xdr:cNvSpPr>
          <a:spLocks noChangeShapeType="1"/>
        </xdr:cNvSpPr>
      </xdr:nvSpPr>
      <xdr:spPr bwMode="auto">
        <a:xfrm rot="10971210" flipV="1">
          <a:off x="6432550" y="13392150"/>
          <a:ext cx="800100" cy="260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52</xdr:col>
      <xdr:colOff>57784</xdr:colOff>
      <xdr:row>117</xdr:row>
      <xdr:rowOff>0</xdr:rowOff>
    </xdr:from>
    <xdr:to>
      <xdr:col>64</xdr:col>
      <xdr:colOff>114295</xdr:colOff>
      <xdr:row>122</xdr:row>
      <xdr:rowOff>0</xdr:rowOff>
    </xdr:to>
    <xdr:sp macro="" textlink="">
      <xdr:nvSpPr>
        <xdr:cNvPr id="103" name="Text Box 399">
          <a:extLst>
            <a:ext uri="{FF2B5EF4-FFF2-40B4-BE49-F238E27FC236}">
              <a16:creationId xmlns="" xmlns:a16="http://schemas.microsoft.com/office/drawing/2014/main" id="{00000000-0008-0000-2500-000067000000}"/>
            </a:ext>
          </a:extLst>
        </xdr:cNvPr>
        <xdr:cNvSpPr txBox="1">
          <a:spLocks noChangeArrowheads="1"/>
        </xdr:cNvSpPr>
      </xdr:nvSpPr>
      <xdr:spPr bwMode="auto">
        <a:xfrm>
          <a:off x="7143749" y="13373100"/>
          <a:ext cx="1419225" cy="5715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drainage en brique cuite au</a:t>
          </a:r>
          <a:r>
            <a:rPr lang="fr-FR" sz="1000" b="0" i="0" strike="noStrike" baseline="0">
              <a:solidFill>
                <a:srgbClr val="000000"/>
              </a:solidFill>
              <a:latin typeface="Arial"/>
              <a:cs typeface="Arial"/>
            </a:rPr>
            <a:t> MC</a:t>
          </a:r>
          <a:r>
            <a:rPr lang="fr-FR" sz="1000" b="0" i="0" strike="noStrike">
              <a:solidFill>
                <a:srgbClr val="000000"/>
              </a:solidFill>
              <a:latin typeface="Arial"/>
              <a:cs typeface="Arial"/>
            </a:rPr>
            <a:t> 300kg/m3 </a:t>
          </a:r>
        </a:p>
      </xdr:txBody>
    </xdr:sp>
    <xdr:clientData/>
  </xdr:twoCellAnchor>
  <xdr:twoCellAnchor>
    <xdr:from>
      <xdr:col>41</xdr:col>
      <xdr:colOff>0</xdr:colOff>
      <xdr:row>135</xdr:row>
      <xdr:rowOff>31750</xdr:rowOff>
    </xdr:from>
    <xdr:to>
      <xdr:col>43</xdr:col>
      <xdr:colOff>19050</xdr:colOff>
      <xdr:row>136</xdr:row>
      <xdr:rowOff>31750</xdr:rowOff>
    </xdr:to>
    <xdr:sp macro="" textlink="">
      <xdr:nvSpPr>
        <xdr:cNvPr id="886757" name="Rectangle 401">
          <a:extLst>
            <a:ext uri="{FF2B5EF4-FFF2-40B4-BE49-F238E27FC236}">
              <a16:creationId xmlns="" xmlns:a16="http://schemas.microsoft.com/office/drawing/2014/main" id="{00000000-0008-0000-2500-0000E5870D00}"/>
            </a:ext>
          </a:extLst>
        </xdr:cNvPr>
        <xdr:cNvSpPr>
          <a:spLocks noChangeArrowheads="1"/>
        </xdr:cNvSpPr>
      </xdr:nvSpPr>
      <xdr:spPr bwMode="auto">
        <a:xfrm>
          <a:off x="5803900" y="15462250"/>
          <a:ext cx="247650" cy="114300"/>
        </a:xfrm>
        <a:prstGeom prst="rect">
          <a:avLst/>
        </a:prstGeom>
        <a:solidFill>
          <a:srgbClr val="FFFFFF"/>
        </a:solidFill>
        <a:ln w="9525">
          <a:solidFill>
            <a:srgbClr val="000000"/>
          </a:solidFill>
          <a:miter lim="800000"/>
          <a:headEnd/>
          <a:tailEnd/>
        </a:ln>
      </xdr:spPr>
    </xdr:sp>
    <xdr:clientData/>
  </xdr:twoCellAnchor>
  <xdr:twoCellAnchor>
    <xdr:from>
      <xdr:col>41</xdr:col>
      <xdr:colOff>6350</xdr:colOff>
      <xdr:row>131</xdr:row>
      <xdr:rowOff>0</xdr:rowOff>
    </xdr:from>
    <xdr:to>
      <xdr:col>43</xdr:col>
      <xdr:colOff>6350</xdr:colOff>
      <xdr:row>132</xdr:row>
      <xdr:rowOff>0</xdr:rowOff>
    </xdr:to>
    <xdr:sp macro="" textlink="">
      <xdr:nvSpPr>
        <xdr:cNvPr id="886758" name="Rectangle 402">
          <a:extLst>
            <a:ext uri="{FF2B5EF4-FFF2-40B4-BE49-F238E27FC236}">
              <a16:creationId xmlns="" xmlns:a16="http://schemas.microsoft.com/office/drawing/2014/main" id="{00000000-0008-0000-2500-0000E6870D00}"/>
            </a:ext>
          </a:extLst>
        </xdr:cNvPr>
        <xdr:cNvSpPr>
          <a:spLocks noChangeArrowheads="1"/>
        </xdr:cNvSpPr>
      </xdr:nvSpPr>
      <xdr:spPr bwMode="auto">
        <a:xfrm>
          <a:off x="5810250" y="14973300"/>
          <a:ext cx="228600" cy="114300"/>
        </a:xfrm>
        <a:prstGeom prst="rect">
          <a:avLst/>
        </a:prstGeom>
        <a:solidFill>
          <a:srgbClr val="FFFFFF"/>
        </a:solidFill>
        <a:ln w="9525">
          <a:solidFill>
            <a:srgbClr val="000000"/>
          </a:solidFill>
          <a:miter lim="800000"/>
          <a:headEnd/>
          <a:tailEnd/>
        </a:ln>
      </xdr:spPr>
    </xdr:sp>
    <xdr:clientData/>
  </xdr:twoCellAnchor>
  <xdr:twoCellAnchor>
    <xdr:from>
      <xdr:col>41</xdr:col>
      <xdr:colOff>0</xdr:colOff>
      <xdr:row>126</xdr:row>
      <xdr:rowOff>0</xdr:rowOff>
    </xdr:from>
    <xdr:to>
      <xdr:col>43</xdr:col>
      <xdr:colOff>19050</xdr:colOff>
      <xdr:row>127</xdr:row>
      <xdr:rowOff>0</xdr:rowOff>
    </xdr:to>
    <xdr:sp macro="" textlink="">
      <xdr:nvSpPr>
        <xdr:cNvPr id="886759" name="Rectangle 403">
          <a:extLst>
            <a:ext uri="{FF2B5EF4-FFF2-40B4-BE49-F238E27FC236}">
              <a16:creationId xmlns="" xmlns:a16="http://schemas.microsoft.com/office/drawing/2014/main" id="{00000000-0008-0000-2500-0000E7870D00}"/>
            </a:ext>
          </a:extLst>
        </xdr:cNvPr>
        <xdr:cNvSpPr>
          <a:spLocks noChangeArrowheads="1"/>
        </xdr:cNvSpPr>
      </xdr:nvSpPr>
      <xdr:spPr bwMode="auto">
        <a:xfrm>
          <a:off x="5803900" y="14401800"/>
          <a:ext cx="247650" cy="114300"/>
        </a:xfrm>
        <a:prstGeom prst="rect">
          <a:avLst/>
        </a:prstGeom>
        <a:solidFill>
          <a:srgbClr val="FFFFFF"/>
        </a:solidFill>
        <a:ln w="9525">
          <a:solidFill>
            <a:srgbClr val="000000"/>
          </a:solidFill>
          <a:miter lim="800000"/>
          <a:headEnd/>
          <a:tailEnd/>
        </a:ln>
      </xdr:spPr>
    </xdr:sp>
    <xdr:clientData/>
  </xdr:twoCellAnchor>
  <xdr:twoCellAnchor>
    <xdr:from>
      <xdr:col>19</xdr:col>
      <xdr:colOff>88900</xdr:colOff>
      <xdr:row>135</xdr:row>
      <xdr:rowOff>31750</xdr:rowOff>
    </xdr:from>
    <xdr:to>
      <xdr:col>21</xdr:col>
      <xdr:colOff>63500</xdr:colOff>
      <xdr:row>136</xdr:row>
      <xdr:rowOff>31750</xdr:rowOff>
    </xdr:to>
    <xdr:sp macro="" textlink="">
      <xdr:nvSpPr>
        <xdr:cNvPr id="886760" name="Rectangle 405">
          <a:extLst>
            <a:ext uri="{FF2B5EF4-FFF2-40B4-BE49-F238E27FC236}">
              <a16:creationId xmlns="" xmlns:a16="http://schemas.microsoft.com/office/drawing/2014/main" id="{00000000-0008-0000-2500-0000E8870D00}"/>
            </a:ext>
          </a:extLst>
        </xdr:cNvPr>
        <xdr:cNvSpPr>
          <a:spLocks noChangeArrowheads="1"/>
        </xdr:cNvSpPr>
      </xdr:nvSpPr>
      <xdr:spPr bwMode="auto">
        <a:xfrm>
          <a:off x="3378200" y="15462250"/>
          <a:ext cx="203200" cy="114300"/>
        </a:xfrm>
        <a:prstGeom prst="rect">
          <a:avLst/>
        </a:prstGeom>
        <a:solidFill>
          <a:srgbClr val="FFFFFF"/>
        </a:solidFill>
        <a:ln w="9525">
          <a:solidFill>
            <a:srgbClr val="000000"/>
          </a:solidFill>
          <a:miter lim="800000"/>
          <a:headEnd/>
          <a:tailEnd/>
        </a:ln>
      </xdr:spPr>
    </xdr:sp>
    <xdr:clientData/>
  </xdr:twoCellAnchor>
  <xdr:twoCellAnchor>
    <xdr:from>
      <xdr:col>20</xdr:col>
      <xdr:colOff>0</xdr:colOff>
      <xdr:row>131</xdr:row>
      <xdr:rowOff>0</xdr:rowOff>
    </xdr:from>
    <xdr:to>
      <xdr:col>21</xdr:col>
      <xdr:colOff>63500</xdr:colOff>
      <xdr:row>132</xdr:row>
      <xdr:rowOff>0</xdr:rowOff>
    </xdr:to>
    <xdr:sp macro="" textlink="">
      <xdr:nvSpPr>
        <xdr:cNvPr id="886761" name="Rectangle 406">
          <a:extLst>
            <a:ext uri="{FF2B5EF4-FFF2-40B4-BE49-F238E27FC236}">
              <a16:creationId xmlns="" xmlns:a16="http://schemas.microsoft.com/office/drawing/2014/main" id="{00000000-0008-0000-2500-0000E9870D00}"/>
            </a:ext>
          </a:extLst>
        </xdr:cNvPr>
        <xdr:cNvSpPr>
          <a:spLocks noChangeArrowheads="1"/>
        </xdr:cNvSpPr>
      </xdr:nvSpPr>
      <xdr:spPr bwMode="auto">
        <a:xfrm>
          <a:off x="3403600" y="14973300"/>
          <a:ext cx="177800" cy="114300"/>
        </a:xfrm>
        <a:prstGeom prst="rect">
          <a:avLst/>
        </a:prstGeom>
        <a:solidFill>
          <a:srgbClr val="FFFFFF"/>
        </a:solidFill>
        <a:ln w="9525">
          <a:solidFill>
            <a:srgbClr val="000000"/>
          </a:solidFill>
          <a:miter lim="800000"/>
          <a:headEnd/>
          <a:tailEnd/>
        </a:ln>
      </xdr:spPr>
    </xdr:sp>
    <xdr:clientData/>
  </xdr:twoCellAnchor>
  <xdr:twoCellAnchor>
    <xdr:from>
      <xdr:col>19</xdr:col>
      <xdr:colOff>88900</xdr:colOff>
      <xdr:row>126</xdr:row>
      <xdr:rowOff>0</xdr:rowOff>
    </xdr:from>
    <xdr:to>
      <xdr:col>21</xdr:col>
      <xdr:colOff>63500</xdr:colOff>
      <xdr:row>127</xdr:row>
      <xdr:rowOff>0</xdr:rowOff>
    </xdr:to>
    <xdr:sp macro="" textlink="">
      <xdr:nvSpPr>
        <xdr:cNvPr id="886762" name="Rectangle 407">
          <a:extLst>
            <a:ext uri="{FF2B5EF4-FFF2-40B4-BE49-F238E27FC236}">
              <a16:creationId xmlns="" xmlns:a16="http://schemas.microsoft.com/office/drawing/2014/main" id="{00000000-0008-0000-2500-0000EA870D00}"/>
            </a:ext>
          </a:extLst>
        </xdr:cNvPr>
        <xdr:cNvSpPr>
          <a:spLocks noChangeArrowheads="1"/>
        </xdr:cNvSpPr>
      </xdr:nvSpPr>
      <xdr:spPr bwMode="auto">
        <a:xfrm>
          <a:off x="3378200" y="14401800"/>
          <a:ext cx="203200" cy="114300"/>
        </a:xfrm>
        <a:prstGeom prst="rect">
          <a:avLst/>
        </a:prstGeom>
        <a:solidFill>
          <a:srgbClr val="FFFFFF"/>
        </a:solidFill>
        <a:ln w="9525">
          <a:solidFill>
            <a:srgbClr val="000000"/>
          </a:solidFill>
          <a:miter lim="800000"/>
          <a:headEnd/>
          <a:tailEnd/>
        </a:ln>
      </xdr:spPr>
    </xdr:sp>
    <xdr:clientData/>
  </xdr:twoCellAnchor>
  <xdr:twoCellAnchor>
    <xdr:from>
      <xdr:col>21</xdr:col>
      <xdr:colOff>57150</xdr:colOff>
      <xdr:row>115</xdr:row>
      <xdr:rowOff>0</xdr:rowOff>
    </xdr:from>
    <xdr:to>
      <xdr:col>32</xdr:col>
      <xdr:colOff>0</xdr:colOff>
      <xdr:row>115</xdr:row>
      <xdr:rowOff>0</xdr:rowOff>
    </xdr:to>
    <xdr:sp macro="" textlink="">
      <xdr:nvSpPr>
        <xdr:cNvPr id="886763" name="Line 410">
          <a:extLst>
            <a:ext uri="{FF2B5EF4-FFF2-40B4-BE49-F238E27FC236}">
              <a16:creationId xmlns="" xmlns:a16="http://schemas.microsoft.com/office/drawing/2014/main" id="{00000000-0008-0000-2500-0000EB870D00}"/>
            </a:ext>
          </a:extLst>
        </xdr:cNvPr>
        <xdr:cNvSpPr>
          <a:spLocks noChangeShapeType="1"/>
        </xdr:cNvSpPr>
      </xdr:nvSpPr>
      <xdr:spPr bwMode="auto">
        <a:xfrm>
          <a:off x="3575050" y="13144500"/>
          <a:ext cx="12001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24</xdr:col>
      <xdr:colOff>20321</xdr:colOff>
      <xdr:row>113</xdr:row>
      <xdr:rowOff>60960</xdr:rowOff>
    </xdr:from>
    <xdr:to>
      <xdr:col>33</xdr:col>
      <xdr:colOff>56554</xdr:colOff>
      <xdr:row>116</xdr:row>
      <xdr:rowOff>57871</xdr:rowOff>
    </xdr:to>
    <xdr:sp macro="" textlink="">
      <xdr:nvSpPr>
        <xdr:cNvPr id="111" name="Text Box 411">
          <a:extLst>
            <a:ext uri="{FF2B5EF4-FFF2-40B4-BE49-F238E27FC236}">
              <a16:creationId xmlns="" xmlns:a16="http://schemas.microsoft.com/office/drawing/2014/main" id="{00000000-0008-0000-2500-00006F000000}"/>
            </a:ext>
          </a:extLst>
        </xdr:cNvPr>
        <xdr:cNvSpPr txBox="1">
          <a:spLocks noChangeArrowheads="1"/>
        </xdr:cNvSpPr>
      </xdr:nvSpPr>
      <xdr:spPr bwMode="auto">
        <a:xfrm flipV="1">
          <a:off x="3905251" y="12963525"/>
          <a:ext cx="1066800" cy="3524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120</a:t>
          </a:r>
        </a:p>
      </xdr:txBody>
    </xdr:sp>
    <xdr:clientData/>
  </xdr:twoCellAnchor>
  <xdr:twoCellAnchor>
    <xdr:from>
      <xdr:col>22</xdr:col>
      <xdr:colOff>57150</xdr:colOff>
      <xdr:row>142</xdr:row>
      <xdr:rowOff>57150</xdr:rowOff>
    </xdr:from>
    <xdr:to>
      <xdr:col>39</xdr:col>
      <xdr:colOff>76200</xdr:colOff>
      <xdr:row>144</xdr:row>
      <xdr:rowOff>0</xdr:rowOff>
    </xdr:to>
    <xdr:sp macro="" textlink="">
      <xdr:nvSpPr>
        <xdr:cNvPr id="886765" name="Rectangle 412">
          <a:extLst>
            <a:ext uri="{FF2B5EF4-FFF2-40B4-BE49-F238E27FC236}">
              <a16:creationId xmlns="" xmlns:a16="http://schemas.microsoft.com/office/drawing/2014/main" id="{00000000-0008-0000-2500-0000ED870D00}"/>
            </a:ext>
          </a:extLst>
        </xdr:cNvPr>
        <xdr:cNvSpPr>
          <a:spLocks noChangeArrowheads="1"/>
        </xdr:cNvSpPr>
      </xdr:nvSpPr>
      <xdr:spPr bwMode="auto">
        <a:xfrm>
          <a:off x="3689350" y="16287750"/>
          <a:ext cx="1962150" cy="171450"/>
        </a:xfrm>
        <a:prstGeom prst="rect">
          <a:avLst/>
        </a:prstGeom>
        <a:solidFill>
          <a:srgbClr val="FFFFFF"/>
        </a:solidFill>
        <a:ln w="9525">
          <a:solidFill>
            <a:srgbClr val="000000"/>
          </a:solidFill>
          <a:miter lim="800000"/>
          <a:headEnd/>
          <a:tailEnd/>
        </a:ln>
      </xdr:spPr>
    </xdr:sp>
    <xdr:clientData/>
  </xdr:twoCellAnchor>
  <xdr:twoCellAnchor>
    <xdr:from>
      <xdr:col>19</xdr:col>
      <xdr:colOff>19050</xdr:colOff>
      <xdr:row>147</xdr:row>
      <xdr:rowOff>0</xdr:rowOff>
    </xdr:from>
    <xdr:to>
      <xdr:col>22</xdr:col>
      <xdr:colOff>63500</xdr:colOff>
      <xdr:row>147</xdr:row>
      <xdr:rowOff>0</xdr:rowOff>
    </xdr:to>
    <xdr:sp macro="" textlink="">
      <xdr:nvSpPr>
        <xdr:cNvPr id="886766" name="Line 413">
          <a:extLst>
            <a:ext uri="{FF2B5EF4-FFF2-40B4-BE49-F238E27FC236}">
              <a16:creationId xmlns="" xmlns:a16="http://schemas.microsoft.com/office/drawing/2014/main" id="{00000000-0008-0000-2500-0000EE870D00}"/>
            </a:ext>
          </a:extLst>
        </xdr:cNvPr>
        <xdr:cNvSpPr>
          <a:spLocks noChangeShapeType="1"/>
        </xdr:cNvSpPr>
      </xdr:nvSpPr>
      <xdr:spPr bwMode="auto">
        <a:xfrm>
          <a:off x="3308350" y="16802100"/>
          <a:ext cx="3873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39</xdr:col>
      <xdr:colOff>38100</xdr:colOff>
      <xdr:row>147</xdr:row>
      <xdr:rowOff>0</xdr:rowOff>
    </xdr:from>
    <xdr:to>
      <xdr:col>43</xdr:col>
      <xdr:colOff>57150</xdr:colOff>
      <xdr:row>147</xdr:row>
      <xdr:rowOff>0</xdr:rowOff>
    </xdr:to>
    <xdr:sp macro="" textlink="">
      <xdr:nvSpPr>
        <xdr:cNvPr id="886767" name="Line 416">
          <a:extLst>
            <a:ext uri="{FF2B5EF4-FFF2-40B4-BE49-F238E27FC236}">
              <a16:creationId xmlns="" xmlns:a16="http://schemas.microsoft.com/office/drawing/2014/main" id="{00000000-0008-0000-2500-0000EF870D00}"/>
            </a:ext>
          </a:extLst>
        </xdr:cNvPr>
        <xdr:cNvSpPr>
          <a:spLocks noChangeShapeType="1"/>
        </xdr:cNvSpPr>
      </xdr:nvSpPr>
      <xdr:spPr bwMode="auto">
        <a:xfrm>
          <a:off x="5613400" y="16802100"/>
          <a:ext cx="4762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19</xdr:col>
      <xdr:colOff>74930</xdr:colOff>
      <xdr:row>145</xdr:row>
      <xdr:rowOff>0</xdr:rowOff>
    </xdr:from>
    <xdr:to>
      <xdr:col>82</xdr:col>
      <xdr:colOff>4449</xdr:colOff>
      <xdr:row>149</xdr:row>
      <xdr:rowOff>0</xdr:rowOff>
    </xdr:to>
    <xdr:sp macro="" textlink="">
      <xdr:nvSpPr>
        <xdr:cNvPr id="115" name="Text Box 417">
          <a:extLst>
            <a:ext uri="{FF2B5EF4-FFF2-40B4-BE49-F238E27FC236}">
              <a16:creationId xmlns="" xmlns:a16="http://schemas.microsoft.com/office/drawing/2014/main" id="{00000000-0008-0000-2500-000073000000}"/>
            </a:ext>
          </a:extLst>
        </xdr:cNvPr>
        <xdr:cNvSpPr txBox="1">
          <a:spLocks noChangeArrowheads="1"/>
        </xdr:cNvSpPr>
      </xdr:nvSpPr>
      <xdr:spPr bwMode="auto">
        <a:xfrm flipV="1">
          <a:off x="3409950" y="16573500"/>
          <a:ext cx="7143750" cy="4572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30</a:t>
          </a:r>
        </a:p>
      </xdr:txBody>
    </xdr:sp>
    <xdr:clientData/>
  </xdr:twoCellAnchor>
  <xdr:twoCellAnchor editAs="oneCell">
    <xdr:from>
      <xdr:col>40</xdr:col>
      <xdr:colOff>74930</xdr:colOff>
      <xdr:row>145</xdr:row>
      <xdr:rowOff>0</xdr:rowOff>
    </xdr:from>
    <xdr:to>
      <xdr:col>83</xdr:col>
      <xdr:colOff>24720</xdr:colOff>
      <xdr:row>149</xdr:row>
      <xdr:rowOff>0</xdr:rowOff>
    </xdr:to>
    <xdr:sp macro="" textlink="">
      <xdr:nvSpPr>
        <xdr:cNvPr id="116" name="Text Box 419">
          <a:extLst>
            <a:ext uri="{FF2B5EF4-FFF2-40B4-BE49-F238E27FC236}">
              <a16:creationId xmlns="" xmlns:a16="http://schemas.microsoft.com/office/drawing/2014/main" id="{00000000-0008-0000-2500-000074000000}"/>
            </a:ext>
          </a:extLst>
        </xdr:cNvPr>
        <xdr:cNvSpPr txBox="1">
          <a:spLocks noChangeArrowheads="1"/>
        </xdr:cNvSpPr>
      </xdr:nvSpPr>
      <xdr:spPr bwMode="auto">
        <a:xfrm>
          <a:off x="5810250" y="16573500"/>
          <a:ext cx="4829175" cy="4572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30</a:t>
          </a:r>
        </a:p>
      </xdr:txBody>
    </xdr:sp>
    <xdr:clientData/>
  </xdr:twoCellAnchor>
  <xdr:twoCellAnchor>
    <xdr:from>
      <xdr:col>17</xdr:col>
      <xdr:colOff>63500</xdr:colOff>
      <xdr:row>142</xdr:row>
      <xdr:rowOff>19050</xdr:rowOff>
    </xdr:from>
    <xdr:to>
      <xdr:col>17</xdr:col>
      <xdr:colOff>63500</xdr:colOff>
      <xdr:row>145</xdr:row>
      <xdr:rowOff>38100</xdr:rowOff>
    </xdr:to>
    <xdr:sp macro="" textlink="">
      <xdr:nvSpPr>
        <xdr:cNvPr id="886770" name="Line 420">
          <a:extLst>
            <a:ext uri="{FF2B5EF4-FFF2-40B4-BE49-F238E27FC236}">
              <a16:creationId xmlns="" xmlns:a16="http://schemas.microsoft.com/office/drawing/2014/main" id="{00000000-0008-0000-2500-0000F2870D00}"/>
            </a:ext>
          </a:extLst>
        </xdr:cNvPr>
        <xdr:cNvSpPr>
          <a:spLocks noChangeShapeType="1"/>
        </xdr:cNvSpPr>
      </xdr:nvSpPr>
      <xdr:spPr bwMode="auto">
        <a:xfrm>
          <a:off x="3124200" y="16249650"/>
          <a:ext cx="0" cy="3619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15</xdr:col>
      <xdr:colOff>74931</xdr:colOff>
      <xdr:row>142</xdr:row>
      <xdr:rowOff>57785</xdr:rowOff>
    </xdr:from>
    <xdr:to>
      <xdr:col>57</xdr:col>
      <xdr:colOff>95240</xdr:colOff>
      <xdr:row>148</xdr:row>
      <xdr:rowOff>61888</xdr:rowOff>
    </xdr:to>
    <xdr:sp macro="" textlink="">
      <xdr:nvSpPr>
        <xdr:cNvPr id="118" name="Text Box 421">
          <a:extLst>
            <a:ext uri="{FF2B5EF4-FFF2-40B4-BE49-F238E27FC236}">
              <a16:creationId xmlns="" xmlns:a16="http://schemas.microsoft.com/office/drawing/2014/main" id="{00000000-0008-0000-2500-000076000000}"/>
            </a:ext>
          </a:extLst>
        </xdr:cNvPr>
        <xdr:cNvSpPr txBox="1">
          <a:spLocks noChangeArrowheads="1"/>
        </xdr:cNvSpPr>
      </xdr:nvSpPr>
      <xdr:spPr bwMode="auto">
        <a:xfrm>
          <a:off x="2952751" y="16306800"/>
          <a:ext cx="4810124" cy="6286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12</a:t>
          </a:r>
        </a:p>
      </xdr:txBody>
    </xdr:sp>
    <xdr:clientData/>
  </xdr:twoCellAnchor>
  <xdr:twoCellAnchor>
    <xdr:from>
      <xdr:col>43</xdr:col>
      <xdr:colOff>57150</xdr:colOff>
      <xdr:row>144</xdr:row>
      <xdr:rowOff>0</xdr:rowOff>
    </xdr:from>
    <xdr:to>
      <xdr:col>52</xdr:col>
      <xdr:colOff>0</xdr:colOff>
      <xdr:row>144</xdr:row>
      <xdr:rowOff>6350</xdr:rowOff>
    </xdr:to>
    <xdr:sp macro="" textlink="">
      <xdr:nvSpPr>
        <xdr:cNvPr id="886772" name="Line 422">
          <a:extLst>
            <a:ext uri="{FF2B5EF4-FFF2-40B4-BE49-F238E27FC236}">
              <a16:creationId xmlns="" xmlns:a16="http://schemas.microsoft.com/office/drawing/2014/main" id="{00000000-0008-0000-2500-0000F4870D00}"/>
            </a:ext>
          </a:extLst>
        </xdr:cNvPr>
        <xdr:cNvSpPr>
          <a:spLocks noChangeShapeType="1"/>
        </xdr:cNvSpPr>
      </xdr:nvSpPr>
      <xdr:spPr bwMode="auto">
        <a:xfrm rot="-10731254">
          <a:off x="6089650" y="16459200"/>
          <a:ext cx="971550" cy="6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47</xdr:col>
      <xdr:colOff>95249</xdr:colOff>
      <xdr:row>143</xdr:row>
      <xdr:rowOff>0</xdr:rowOff>
    </xdr:from>
    <xdr:to>
      <xdr:col>58</xdr:col>
      <xdr:colOff>25086</xdr:colOff>
      <xdr:row>149</xdr:row>
      <xdr:rowOff>740</xdr:rowOff>
    </xdr:to>
    <xdr:sp macro="" textlink="">
      <xdr:nvSpPr>
        <xdr:cNvPr id="120" name="Text Box 424">
          <a:extLst>
            <a:ext uri="{FF2B5EF4-FFF2-40B4-BE49-F238E27FC236}">
              <a16:creationId xmlns="" xmlns:a16="http://schemas.microsoft.com/office/drawing/2014/main" id="{00000000-0008-0000-2500-000078000000}"/>
            </a:ext>
          </a:extLst>
        </xdr:cNvPr>
        <xdr:cNvSpPr txBox="1">
          <a:spLocks noChangeArrowheads="1"/>
        </xdr:cNvSpPr>
      </xdr:nvSpPr>
      <xdr:spPr bwMode="auto">
        <a:xfrm>
          <a:off x="6619874" y="16344900"/>
          <a:ext cx="1152525" cy="6953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Semelle en beton 250kg/m3</a:t>
          </a:r>
          <a:r>
            <a:rPr lang="fr-FR" sz="1000" b="0" i="0" strike="noStrike" baseline="0">
              <a:solidFill>
                <a:srgbClr val="000000"/>
              </a:solidFill>
              <a:latin typeface="Arial"/>
              <a:cs typeface="Arial"/>
            </a:rPr>
            <a:t> avec coffrage en briques</a:t>
          </a:r>
          <a:endParaRPr lang="fr-FR" sz="1000" b="0" i="0" strike="noStrike">
            <a:solidFill>
              <a:srgbClr val="000000"/>
            </a:solidFill>
            <a:latin typeface="Arial"/>
            <a:cs typeface="Arial"/>
          </a:endParaRPr>
        </a:p>
      </xdr:txBody>
    </xdr:sp>
    <xdr:clientData/>
  </xdr:twoCellAnchor>
  <xdr:twoCellAnchor>
    <xdr:from>
      <xdr:col>28</xdr:col>
      <xdr:colOff>0</xdr:colOff>
      <xdr:row>118</xdr:row>
      <xdr:rowOff>19050</xdr:rowOff>
    </xdr:from>
    <xdr:to>
      <xdr:col>34</xdr:col>
      <xdr:colOff>0</xdr:colOff>
      <xdr:row>119</xdr:row>
      <xdr:rowOff>63500</xdr:rowOff>
    </xdr:to>
    <xdr:sp macro="" textlink="">
      <xdr:nvSpPr>
        <xdr:cNvPr id="886774" name="Rectangle 425" descr="Recycled paper">
          <a:extLst>
            <a:ext uri="{FF2B5EF4-FFF2-40B4-BE49-F238E27FC236}">
              <a16:creationId xmlns="" xmlns:a16="http://schemas.microsoft.com/office/drawing/2014/main" id="{00000000-0008-0000-2500-0000F6870D00}"/>
            </a:ext>
          </a:extLst>
        </xdr:cNvPr>
        <xdr:cNvSpPr>
          <a:spLocks noChangeArrowheads="1"/>
        </xdr:cNvSpPr>
      </xdr:nvSpPr>
      <xdr:spPr bwMode="auto">
        <a:xfrm>
          <a:off x="4318000" y="13506450"/>
          <a:ext cx="685800" cy="158750"/>
        </a:xfrm>
        <a:prstGeom prst="rect">
          <a:avLst/>
        </a:prstGeom>
        <a:blipFill dpi="0" rotWithShape="0">
          <a:blip xmlns:r="http://schemas.openxmlformats.org/officeDocument/2006/relationships" r:embed="rId7"/>
          <a:srcRect/>
          <a:tile tx="0" ty="0" sx="100000" sy="100000" flip="none" algn="tl"/>
        </a:blipFill>
        <a:ln w="9525">
          <a:solidFill>
            <a:srgbClr val="000000"/>
          </a:solidFill>
          <a:miter lim="800000"/>
          <a:headEnd/>
          <a:tailEnd/>
        </a:ln>
      </xdr:spPr>
    </xdr:sp>
    <xdr:clientData/>
  </xdr:twoCellAnchor>
  <xdr:twoCellAnchor>
    <xdr:from>
      <xdr:col>39</xdr:col>
      <xdr:colOff>63500</xdr:colOff>
      <xdr:row>142</xdr:row>
      <xdr:rowOff>0</xdr:rowOff>
    </xdr:from>
    <xdr:to>
      <xdr:col>43</xdr:col>
      <xdr:colOff>57150</xdr:colOff>
      <xdr:row>145</xdr:row>
      <xdr:rowOff>0</xdr:rowOff>
    </xdr:to>
    <xdr:sp macro="" textlink="">
      <xdr:nvSpPr>
        <xdr:cNvPr id="886775" name="Rectangle 426" descr="Recycled paper">
          <a:extLst>
            <a:ext uri="{FF2B5EF4-FFF2-40B4-BE49-F238E27FC236}">
              <a16:creationId xmlns="" xmlns:a16="http://schemas.microsoft.com/office/drawing/2014/main" id="{00000000-0008-0000-2500-0000F7870D00}"/>
            </a:ext>
          </a:extLst>
        </xdr:cNvPr>
        <xdr:cNvSpPr>
          <a:spLocks noChangeArrowheads="1"/>
        </xdr:cNvSpPr>
      </xdr:nvSpPr>
      <xdr:spPr bwMode="auto">
        <a:xfrm>
          <a:off x="5638800" y="16230600"/>
          <a:ext cx="450850" cy="342900"/>
        </a:xfrm>
        <a:prstGeom prst="rect">
          <a:avLst/>
        </a:prstGeom>
        <a:blipFill dpi="0" rotWithShape="0">
          <a:blip xmlns:r="http://schemas.openxmlformats.org/officeDocument/2006/relationships" r:embed="rId7"/>
          <a:srcRect/>
          <a:tile tx="0" ty="0" sx="100000" sy="100000" flip="none" algn="tl"/>
        </a:blipFill>
        <a:ln w="9525">
          <a:solidFill>
            <a:srgbClr val="000000"/>
          </a:solidFill>
          <a:miter lim="800000"/>
          <a:headEnd/>
          <a:tailEnd/>
        </a:ln>
      </xdr:spPr>
    </xdr:sp>
    <xdr:clientData/>
  </xdr:twoCellAnchor>
  <xdr:twoCellAnchor>
    <xdr:from>
      <xdr:col>19</xdr:col>
      <xdr:colOff>0</xdr:colOff>
      <xdr:row>142</xdr:row>
      <xdr:rowOff>19050</xdr:rowOff>
    </xdr:from>
    <xdr:to>
      <xdr:col>22</xdr:col>
      <xdr:colOff>76200</xdr:colOff>
      <xdr:row>145</xdr:row>
      <xdr:rowOff>0</xdr:rowOff>
    </xdr:to>
    <xdr:sp macro="" textlink="">
      <xdr:nvSpPr>
        <xdr:cNvPr id="886776" name="Rectangle 427" descr="Recycled paper">
          <a:extLst>
            <a:ext uri="{FF2B5EF4-FFF2-40B4-BE49-F238E27FC236}">
              <a16:creationId xmlns="" xmlns:a16="http://schemas.microsoft.com/office/drawing/2014/main" id="{00000000-0008-0000-2500-0000F8870D00}"/>
            </a:ext>
          </a:extLst>
        </xdr:cNvPr>
        <xdr:cNvSpPr>
          <a:spLocks noChangeArrowheads="1"/>
        </xdr:cNvSpPr>
      </xdr:nvSpPr>
      <xdr:spPr bwMode="auto">
        <a:xfrm>
          <a:off x="3289300" y="16249650"/>
          <a:ext cx="419100" cy="323850"/>
        </a:xfrm>
        <a:prstGeom prst="rect">
          <a:avLst/>
        </a:prstGeom>
        <a:blipFill dpi="0" rotWithShape="0">
          <a:blip xmlns:r="http://schemas.openxmlformats.org/officeDocument/2006/relationships" r:embed="rId7"/>
          <a:srcRect/>
          <a:tile tx="0" ty="0" sx="100000" sy="100000" flip="none" algn="tl"/>
        </a:blipFill>
        <a:ln w="9525">
          <a:solidFill>
            <a:srgbClr val="000000"/>
          </a:solidFill>
          <a:miter lim="800000"/>
          <a:headEnd/>
          <a:tailEnd/>
        </a:ln>
      </xdr:spPr>
    </xdr:sp>
    <xdr:clientData/>
  </xdr:twoCellAnchor>
  <xdr:twoCellAnchor>
    <xdr:from>
      <xdr:col>20</xdr:col>
      <xdr:colOff>0</xdr:colOff>
      <xdr:row>118</xdr:row>
      <xdr:rowOff>38100</xdr:rowOff>
    </xdr:from>
    <xdr:to>
      <xdr:col>26</xdr:col>
      <xdr:colOff>0</xdr:colOff>
      <xdr:row>120</xdr:row>
      <xdr:rowOff>0</xdr:rowOff>
    </xdr:to>
    <xdr:sp macro="" textlink="">
      <xdr:nvSpPr>
        <xdr:cNvPr id="886777" name="Rectangle 428" descr="Recycled paper">
          <a:extLst>
            <a:ext uri="{FF2B5EF4-FFF2-40B4-BE49-F238E27FC236}">
              <a16:creationId xmlns="" xmlns:a16="http://schemas.microsoft.com/office/drawing/2014/main" id="{00000000-0008-0000-2500-0000F9870D00}"/>
            </a:ext>
          </a:extLst>
        </xdr:cNvPr>
        <xdr:cNvSpPr>
          <a:spLocks noChangeArrowheads="1"/>
        </xdr:cNvSpPr>
      </xdr:nvSpPr>
      <xdr:spPr bwMode="auto">
        <a:xfrm>
          <a:off x="3403600" y="13525500"/>
          <a:ext cx="685800" cy="190500"/>
        </a:xfrm>
        <a:prstGeom prst="rect">
          <a:avLst/>
        </a:prstGeom>
        <a:blipFill dpi="0" rotWithShape="0">
          <a:blip xmlns:r="http://schemas.openxmlformats.org/officeDocument/2006/relationships" r:embed="rId7"/>
          <a:srcRect/>
          <a:tile tx="0" ty="0" sx="100000" sy="100000" flip="none" algn="tl"/>
        </a:blipFill>
        <a:ln w="9525">
          <a:solidFill>
            <a:srgbClr val="000000"/>
          </a:solidFill>
          <a:miter lim="800000"/>
          <a:headEnd/>
          <a:tailEnd/>
        </a:ln>
      </xdr:spPr>
    </xdr:sp>
    <xdr:clientData/>
  </xdr:twoCellAnchor>
  <xdr:twoCellAnchor>
    <xdr:from>
      <xdr:col>35</xdr:col>
      <xdr:colOff>0</xdr:colOff>
      <xdr:row>118</xdr:row>
      <xdr:rowOff>31750</xdr:rowOff>
    </xdr:from>
    <xdr:to>
      <xdr:col>43</xdr:col>
      <xdr:colOff>0</xdr:colOff>
      <xdr:row>119</xdr:row>
      <xdr:rowOff>57150</xdr:rowOff>
    </xdr:to>
    <xdr:sp macro="" textlink="">
      <xdr:nvSpPr>
        <xdr:cNvPr id="886778" name="Rectangle 429" descr="Recycled paper">
          <a:extLst>
            <a:ext uri="{FF2B5EF4-FFF2-40B4-BE49-F238E27FC236}">
              <a16:creationId xmlns="" xmlns:a16="http://schemas.microsoft.com/office/drawing/2014/main" id="{00000000-0008-0000-2500-0000FA870D00}"/>
            </a:ext>
          </a:extLst>
        </xdr:cNvPr>
        <xdr:cNvSpPr>
          <a:spLocks noChangeArrowheads="1"/>
        </xdr:cNvSpPr>
      </xdr:nvSpPr>
      <xdr:spPr bwMode="auto">
        <a:xfrm>
          <a:off x="5118100" y="13519150"/>
          <a:ext cx="914400" cy="139700"/>
        </a:xfrm>
        <a:prstGeom prst="rect">
          <a:avLst/>
        </a:prstGeom>
        <a:blipFill dpi="0" rotWithShape="0">
          <a:blip xmlns:r="http://schemas.openxmlformats.org/officeDocument/2006/relationships" r:embed="rId7"/>
          <a:srcRect/>
          <a:tile tx="0" ty="0" sx="100000" sy="100000" flip="none" algn="tl"/>
        </a:blipFill>
        <a:ln w="9525">
          <a:solidFill>
            <a:srgbClr val="000000"/>
          </a:solidFill>
          <a:miter lim="800000"/>
          <a:headEnd/>
          <a:tailEnd/>
        </a:ln>
      </xdr:spPr>
    </xdr:sp>
    <xdr:clientData/>
  </xdr:twoCellAnchor>
  <xdr:twoCellAnchor>
    <xdr:from>
      <xdr:col>31</xdr:col>
      <xdr:colOff>38100</xdr:colOff>
      <xdr:row>119</xdr:row>
      <xdr:rowOff>63500</xdr:rowOff>
    </xdr:from>
    <xdr:to>
      <xdr:col>33</xdr:col>
      <xdr:colOff>57150</xdr:colOff>
      <xdr:row>122</xdr:row>
      <xdr:rowOff>0</xdr:rowOff>
    </xdr:to>
    <xdr:sp macro="" textlink="">
      <xdr:nvSpPr>
        <xdr:cNvPr id="886779" name="Rectangle 430" descr="Recycled paper">
          <a:extLst>
            <a:ext uri="{FF2B5EF4-FFF2-40B4-BE49-F238E27FC236}">
              <a16:creationId xmlns="" xmlns:a16="http://schemas.microsoft.com/office/drawing/2014/main" id="{00000000-0008-0000-2500-0000FB870D00}"/>
            </a:ext>
          </a:extLst>
        </xdr:cNvPr>
        <xdr:cNvSpPr>
          <a:spLocks noChangeArrowheads="1"/>
        </xdr:cNvSpPr>
      </xdr:nvSpPr>
      <xdr:spPr bwMode="auto">
        <a:xfrm>
          <a:off x="4699000" y="13665200"/>
          <a:ext cx="247650" cy="2794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0</xdr:colOff>
      <xdr:row>99</xdr:row>
      <xdr:rowOff>19050</xdr:rowOff>
    </xdr:from>
    <xdr:to>
      <xdr:col>21</xdr:col>
      <xdr:colOff>57150</xdr:colOff>
      <xdr:row>100</xdr:row>
      <xdr:rowOff>63500</xdr:rowOff>
    </xdr:to>
    <xdr:sp macro="" textlink="">
      <xdr:nvSpPr>
        <xdr:cNvPr id="886780" name="Rectangle 431" descr="Recycled paper">
          <a:extLst>
            <a:ext uri="{FF2B5EF4-FFF2-40B4-BE49-F238E27FC236}">
              <a16:creationId xmlns="" xmlns:a16="http://schemas.microsoft.com/office/drawing/2014/main" id="{00000000-0008-0000-2500-0000FC870D00}"/>
            </a:ext>
          </a:extLst>
        </xdr:cNvPr>
        <xdr:cNvSpPr>
          <a:spLocks noChangeArrowheads="1"/>
        </xdr:cNvSpPr>
      </xdr:nvSpPr>
      <xdr:spPr bwMode="auto">
        <a:xfrm>
          <a:off x="3403600" y="11334750"/>
          <a:ext cx="171450" cy="158750"/>
        </a:xfrm>
        <a:prstGeom prst="rect">
          <a:avLst/>
        </a:prstGeom>
        <a:blipFill dpi="0" rotWithShape="0">
          <a:blip xmlns:r="http://schemas.openxmlformats.org/officeDocument/2006/relationships" r:embed="rId7"/>
          <a:srcRect/>
          <a:tile tx="0" ty="0" sx="100000" sy="100000" flip="none" algn="tl"/>
        </a:blipFill>
        <a:ln w="9525">
          <a:solidFill>
            <a:srgbClr val="000000"/>
          </a:solidFill>
          <a:miter lim="800000"/>
          <a:headEnd/>
          <a:tailEnd/>
        </a:ln>
      </xdr:spPr>
    </xdr:sp>
    <xdr:clientData/>
  </xdr:twoCellAnchor>
  <xdr:twoCellAnchor>
    <xdr:from>
      <xdr:col>31</xdr:col>
      <xdr:colOff>76200</xdr:colOff>
      <xdr:row>99</xdr:row>
      <xdr:rowOff>19050</xdr:rowOff>
    </xdr:from>
    <xdr:to>
      <xdr:col>33</xdr:col>
      <xdr:colOff>38100</xdr:colOff>
      <xdr:row>100</xdr:row>
      <xdr:rowOff>63500</xdr:rowOff>
    </xdr:to>
    <xdr:sp macro="" textlink="">
      <xdr:nvSpPr>
        <xdr:cNvPr id="886781" name="Rectangle 432" descr="Recycled paper">
          <a:extLst>
            <a:ext uri="{FF2B5EF4-FFF2-40B4-BE49-F238E27FC236}">
              <a16:creationId xmlns="" xmlns:a16="http://schemas.microsoft.com/office/drawing/2014/main" id="{00000000-0008-0000-2500-0000FD870D00}"/>
            </a:ext>
          </a:extLst>
        </xdr:cNvPr>
        <xdr:cNvSpPr>
          <a:spLocks noChangeArrowheads="1"/>
        </xdr:cNvSpPr>
      </xdr:nvSpPr>
      <xdr:spPr bwMode="auto">
        <a:xfrm>
          <a:off x="4737100" y="11334750"/>
          <a:ext cx="190500" cy="158750"/>
        </a:xfrm>
        <a:prstGeom prst="rect">
          <a:avLst/>
        </a:prstGeom>
        <a:blipFill dpi="0" rotWithShape="0">
          <a:blip xmlns:r="http://schemas.openxmlformats.org/officeDocument/2006/relationships" r:embed="rId7"/>
          <a:srcRect/>
          <a:tile tx="0" ty="0" sx="100000" sy="100000" flip="none" algn="tl"/>
        </a:blipFill>
        <a:ln w="9525">
          <a:solidFill>
            <a:srgbClr val="000000"/>
          </a:solidFill>
          <a:miter lim="800000"/>
          <a:headEnd/>
          <a:tailEnd/>
        </a:ln>
      </xdr:spPr>
    </xdr:sp>
    <xdr:clientData/>
  </xdr:twoCellAnchor>
  <xdr:twoCellAnchor>
    <xdr:from>
      <xdr:col>22</xdr:col>
      <xdr:colOff>76200</xdr:colOff>
      <xdr:row>142</xdr:row>
      <xdr:rowOff>63500</xdr:rowOff>
    </xdr:from>
    <xdr:to>
      <xdr:col>39</xdr:col>
      <xdr:colOff>63500</xdr:colOff>
      <xdr:row>143</xdr:row>
      <xdr:rowOff>63500</xdr:rowOff>
    </xdr:to>
    <xdr:sp macro="" textlink="">
      <xdr:nvSpPr>
        <xdr:cNvPr id="886782" name="Rectangle 433" descr="Sphere">
          <a:extLst>
            <a:ext uri="{FF2B5EF4-FFF2-40B4-BE49-F238E27FC236}">
              <a16:creationId xmlns="" xmlns:a16="http://schemas.microsoft.com/office/drawing/2014/main" id="{00000000-0008-0000-2500-0000FE870D00}"/>
            </a:ext>
          </a:extLst>
        </xdr:cNvPr>
        <xdr:cNvSpPr>
          <a:spLocks noChangeArrowheads="1"/>
        </xdr:cNvSpPr>
      </xdr:nvSpPr>
      <xdr:spPr bwMode="auto">
        <a:xfrm>
          <a:off x="3708400" y="16294100"/>
          <a:ext cx="1930400" cy="114300"/>
        </a:xfrm>
        <a:prstGeom prst="rect">
          <a:avLst/>
        </a:prstGeom>
        <a:blipFill dpi="0" rotWithShape="0">
          <a:blip xmlns:r="http://schemas.openxmlformats.org/officeDocument/2006/relationships" r:embed="rId8"/>
          <a:srcRect/>
          <a:tile tx="0" ty="0" sx="100000" sy="100000" flip="none" algn="tl"/>
        </a:blipFill>
        <a:ln w="9525">
          <a:solidFill>
            <a:srgbClr val="000000"/>
          </a:solidFill>
          <a:miter lim="800000"/>
          <a:headEnd/>
          <a:tailEnd/>
        </a:ln>
      </xdr:spPr>
    </xdr:sp>
    <xdr:clientData/>
  </xdr:twoCellAnchor>
  <xdr:twoCellAnchor>
    <xdr:from>
      <xdr:col>43</xdr:col>
      <xdr:colOff>6350</xdr:colOff>
      <xdr:row>118</xdr:row>
      <xdr:rowOff>57150</xdr:rowOff>
    </xdr:from>
    <xdr:to>
      <xdr:col>49</xdr:col>
      <xdr:colOff>31750</xdr:colOff>
      <xdr:row>119</xdr:row>
      <xdr:rowOff>57150</xdr:rowOff>
    </xdr:to>
    <xdr:sp macro="" textlink="">
      <xdr:nvSpPr>
        <xdr:cNvPr id="886783" name="Rectangle 434" descr="Horizontal brick">
          <a:extLst>
            <a:ext uri="{FF2B5EF4-FFF2-40B4-BE49-F238E27FC236}">
              <a16:creationId xmlns="" xmlns:a16="http://schemas.microsoft.com/office/drawing/2014/main" id="{00000000-0008-0000-2500-0000FF870D00}"/>
            </a:ext>
          </a:extLst>
        </xdr:cNvPr>
        <xdr:cNvSpPr>
          <a:spLocks noChangeArrowheads="1"/>
        </xdr:cNvSpPr>
      </xdr:nvSpPr>
      <xdr:spPr bwMode="auto">
        <a:xfrm rot="274534" flipV="1">
          <a:off x="6038850" y="13544550"/>
          <a:ext cx="711200" cy="114300"/>
        </a:xfrm>
        <a:prstGeom prst="rect">
          <a:avLst/>
        </a:prstGeom>
        <a:blipFill dpi="0" rotWithShape="1">
          <a:blip xmlns:r="http://schemas.openxmlformats.org/officeDocument/2006/relationships" r:embed="rId4"/>
          <a:srcRect/>
          <a:tile tx="0" ty="0" sx="100000" sy="100000" flip="none" algn="tl"/>
        </a:blipFill>
        <a:ln w="9525">
          <a:solidFill>
            <a:srgbClr val="000000"/>
          </a:solidFill>
          <a:miter lim="800000"/>
          <a:headEnd/>
          <a:tailEnd/>
        </a:ln>
      </xdr:spPr>
    </xdr:sp>
    <xdr:clientData/>
  </xdr:twoCellAnchor>
  <xdr:twoCellAnchor>
    <xdr:from>
      <xdr:col>13</xdr:col>
      <xdr:colOff>57150</xdr:colOff>
      <xdr:row>119</xdr:row>
      <xdr:rowOff>0</xdr:rowOff>
    </xdr:from>
    <xdr:to>
      <xdr:col>19</xdr:col>
      <xdr:colOff>76200</xdr:colOff>
      <xdr:row>120</xdr:row>
      <xdr:rowOff>19050</xdr:rowOff>
    </xdr:to>
    <xdr:sp macro="" textlink="">
      <xdr:nvSpPr>
        <xdr:cNvPr id="890880" name="Rectangle 435" descr="Horizontal brick">
          <a:extLst>
            <a:ext uri="{FF2B5EF4-FFF2-40B4-BE49-F238E27FC236}">
              <a16:creationId xmlns="" xmlns:a16="http://schemas.microsoft.com/office/drawing/2014/main" id="{00000000-0008-0000-2500-000000980D00}"/>
            </a:ext>
          </a:extLst>
        </xdr:cNvPr>
        <xdr:cNvSpPr>
          <a:spLocks noChangeArrowheads="1"/>
        </xdr:cNvSpPr>
      </xdr:nvSpPr>
      <xdr:spPr bwMode="auto">
        <a:xfrm rot="-232537">
          <a:off x="2660650" y="13601700"/>
          <a:ext cx="704850" cy="133350"/>
        </a:xfrm>
        <a:prstGeom prst="rect">
          <a:avLst/>
        </a:prstGeom>
        <a:blipFill dpi="0" rotWithShape="1">
          <a:blip xmlns:r="http://schemas.openxmlformats.org/officeDocument/2006/relationships" r:embed="rId4"/>
          <a:srcRect/>
          <a:tile tx="0" ty="0" sx="100000" sy="100000" flip="none" algn="tl"/>
        </a:blipFill>
        <a:ln w="9525">
          <a:solidFill>
            <a:srgbClr val="000000"/>
          </a:solidFill>
          <a:miter lim="800000"/>
          <a:headEnd/>
          <a:tailEnd/>
        </a:ln>
      </xdr:spPr>
    </xdr:sp>
    <xdr:clientData/>
  </xdr:twoCellAnchor>
  <xdr:twoCellAnchor>
    <xdr:from>
      <xdr:col>25</xdr:col>
      <xdr:colOff>56515</xdr:colOff>
      <xdr:row>145</xdr:row>
      <xdr:rowOff>60960</xdr:rowOff>
    </xdr:from>
    <xdr:to>
      <xdr:col>32</xdr:col>
      <xdr:colOff>4722</xdr:colOff>
      <xdr:row>148</xdr:row>
      <xdr:rowOff>61786</xdr:rowOff>
    </xdr:to>
    <xdr:sp macro="" textlink="">
      <xdr:nvSpPr>
        <xdr:cNvPr id="132" name="Text Box 437">
          <a:extLst>
            <a:ext uri="{FF2B5EF4-FFF2-40B4-BE49-F238E27FC236}">
              <a16:creationId xmlns="" xmlns:a16="http://schemas.microsoft.com/office/drawing/2014/main" id="{00000000-0008-0000-2500-000084000000}"/>
            </a:ext>
          </a:extLst>
        </xdr:cNvPr>
        <xdr:cNvSpPr txBox="1">
          <a:spLocks noChangeArrowheads="1"/>
        </xdr:cNvSpPr>
      </xdr:nvSpPr>
      <xdr:spPr bwMode="auto">
        <a:xfrm>
          <a:off x="4067175" y="16621125"/>
          <a:ext cx="762000" cy="3143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COUPE A A</a:t>
          </a:r>
        </a:p>
      </xdr:txBody>
    </xdr:sp>
    <xdr:clientData/>
  </xdr:twoCellAnchor>
  <xdr:twoCellAnchor>
    <xdr:from>
      <xdr:col>25</xdr:col>
      <xdr:colOff>0</xdr:colOff>
      <xdr:row>53</xdr:row>
      <xdr:rowOff>0</xdr:rowOff>
    </xdr:from>
    <xdr:to>
      <xdr:col>40</xdr:col>
      <xdr:colOff>0</xdr:colOff>
      <xdr:row>56</xdr:row>
      <xdr:rowOff>0</xdr:rowOff>
    </xdr:to>
    <xdr:sp macro="" textlink="">
      <xdr:nvSpPr>
        <xdr:cNvPr id="133" name="Text Box 438">
          <a:extLst>
            <a:ext uri="{FF2B5EF4-FFF2-40B4-BE49-F238E27FC236}">
              <a16:creationId xmlns="" xmlns:a16="http://schemas.microsoft.com/office/drawing/2014/main" id="{00000000-0008-0000-2500-000085000000}"/>
            </a:ext>
          </a:extLst>
        </xdr:cNvPr>
        <xdr:cNvSpPr txBox="1">
          <a:spLocks noChangeArrowheads="1"/>
        </xdr:cNvSpPr>
      </xdr:nvSpPr>
      <xdr:spPr bwMode="auto">
        <a:xfrm>
          <a:off x="3990975" y="6057900"/>
          <a:ext cx="1714500" cy="3429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VUE EN PLAN FOSSE</a:t>
          </a:r>
        </a:p>
      </xdr:txBody>
    </xdr:sp>
    <xdr:clientData/>
  </xdr:twoCellAnchor>
  <xdr:twoCellAnchor>
    <xdr:from>
      <xdr:col>102</xdr:col>
      <xdr:colOff>0</xdr:colOff>
      <xdr:row>107</xdr:row>
      <xdr:rowOff>6350</xdr:rowOff>
    </xdr:from>
    <xdr:to>
      <xdr:col>119</xdr:col>
      <xdr:colOff>0</xdr:colOff>
      <xdr:row>127</xdr:row>
      <xdr:rowOff>6350</xdr:rowOff>
    </xdr:to>
    <xdr:sp macro="" textlink="">
      <xdr:nvSpPr>
        <xdr:cNvPr id="890883" name="Rectangle 441">
          <a:extLst>
            <a:ext uri="{FF2B5EF4-FFF2-40B4-BE49-F238E27FC236}">
              <a16:creationId xmlns="" xmlns:a16="http://schemas.microsoft.com/office/drawing/2014/main" id="{00000000-0008-0000-2500-000003980D00}"/>
            </a:ext>
          </a:extLst>
        </xdr:cNvPr>
        <xdr:cNvSpPr>
          <a:spLocks noChangeArrowheads="1"/>
        </xdr:cNvSpPr>
      </xdr:nvSpPr>
      <xdr:spPr bwMode="auto">
        <a:xfrm>
          <a:off x="12776200" y="12236450"/>
          <a:ext cx="965200" cy="2286000"/>
        </a:xfrm>
        <a:prstGeom prst="rect">
          <a:avLst/>
        </a:prstGeom>
        <a:solidFill>
          <a:srgbClr val="00B0F0">
            <a:alpha val="58038"/>
          </a:srgbClr>
        </a:solidFill>
        <a:ln w="9525">
          <a:solidFill>
            <a:srgbClr val="000000"/>
          </a:solidFill>
          <a:miter lim="800000"/>
          <a:headEnd/>
          <a:tailEnd/>
        </a:ln>
      </xdr:spPr>
    </xdr:sp>
    <xdr:clientData/>
  </xdr:twoCellAnchor>
  <xdr:twoCellAnchor>
    <xdr:from>
      <xdr:col>133</xdr:col>
      <xdr:colOff>76200</xdr:colOff>
      <xdr:row>107</xdr:row>
      <xdr:rowOff>6350</xdr:rowOff>
    </xdr:from>
    <xdr:to>
      <xdr:col>138</xdr:col>
      <xdr:colOff>139700</xdr:colOff>
      <xdr:row>127</xdr:row>
      <xdr:rowOff>6350</xdr:rowOff>
    </xdr:to>
    <xdr:sp macro="" textlink="">
      <xdr:nvSpPr>
        <xdr:cNvPr id="890884" name="Rectangle 442">
          <a:extLst>
            <a:ext uri="{FF2B5EF4-FFF2-40B4-BE49-F238E27FC236}">
              <a16:creationId xmlns="" xmlns:a16="http://schemas.microsoft.com/office/drawing/2014/main" id="{00000000-0008-0000-2500-000004980D00}"/>
            </a:ext>
          </a:extLst>
        </xdr:cNvPr>
        <xdr:cNvSpPr>
          <a:spLocks noChangeArrowheads="1"/>
        </xdr:cNvSpPr>
      </xdr:nvSpPr>
      <xdr:spPr bwMode="auto">
        <a:xfrm>
          <a:off x="15525750" y="12236450"/>
          <a:ext cx="819150" cy="2286000"/>
        </a:xfrm>
        <a:prstGeom prst="rect">
          <a:avLst/>
        </a:prstGeom>
        <a:solidFill>
          <a:srgbClr val="00B0F0">
            <a:alpha val="56862"/>
          </a:srgbClr>
        </a:solidFill>
        <a:ln w="9525">
          <a:solidFill>
            <a:srgbClr val="000000"/>
          </a:solidFill>
          <a:miter lim="800000"/>
          <a:headEnd/>
          <a:tailEnd/>
        </a:ln>
      </xdr:spPr>
    </xdr:sp>
    <xdr:clientData/>
  </xdr:twoCellAnchor>
  <xdr:twoCellAnchor>
    <xdr:from>
      <xdr:col>84</xdr:col>
      <xdr:colOff>88900</xdr:colOff>
      <xdr:row>127</xdr:row>
      <xdr:rowOff>19050</xdr:rowOff>
    </xdr:from>
    <xdr:to>
      <xdr:col>153</xdr:col>
      <xdr:colOff>0</xdr:colOff>
      <xdr:row>129</xdr:row>
      <xdr:rowOff>6350</xdr:rowOff>
    </xdr:to>
    <xdr:sp macro="" textlink="">
      <xdr:nvSpPr>
        <xdr:cNvPr id="890885" name="Rectangle 443" descr="Diagonal brick">
          <a:extLst>
            <a:ext uri="{FF2B5EF4-FFF2-40B4-BE49-F238E27FC236}">
              <a16:creationId xmlns="" xmlns:a16="http://schemas.microsoft.com/office/drawing/2014/main" id="{00000000-0008-0000-2500-000005980D00}"/>
            </a:ext>
          </a:extLst>
        </xdr:cNvPr>
        <xdr:cNvSpPr>
          <a:spLocks noChangeArrowheads="1"/>
        </xdr:cNvSpPr>
      </xdr:nvSpPr>
      <xdr:spPr bwMode="auto">
        <a:xfrm>
          <a:off x="10807700" y="14535150"/>
          <a:ext cx="7531100" cy="215900"/>
        </a:xfrm>
        <a:prstGeom prst="rect">
          <a:avLst/>
        </a:prstGeom>
        <a:blipFill dpi="0" rotWithShape="0">
          <a:blip xmlns:r="http://schemas.openxmlformats.org/officeDocument/2006/relationships" r:embed="rId9"/>
          <a:srcRect/>
          <a:tile tx="0" ty="0" sx="100000" sy="100000" flip="none" algn="tl"/>
        </a:blipFill>
        <a:ln w="9525">
          <a:solidFill>
            <a:srgbClr val="000000"/>
          </a:solidFill>
          <a:miter lim="800000"/>
          <a:headEnd/>
          <a:tailEnd/>
        </a:ln>
      </xdr:spPr>
    </xdr:sp>
    <xdr:clientData/>
  </xdr:twoCellAnchor>
  <xdr:twoCellAnchor>
    <xdr:from>
      <xdr:col>116</xdr:col>
      <xdr:colOff>35560</xdr:colOff>
      <xdr:row>131</xdr:row>
      <xdr:rowOff>94615</xdr:rowOff>
    </xdr:from>
    <xdr:to>
      <xdr:col>138</xdr:col>
      <xdr:colOff>132786</xdr:colOff>
      <xdr:row>134</xdr:row>
      <xdr:rowOff>94615</xdr:rowOff>
    </xdr:to>
    <xdr:sp macro="" textlink="">
      <xdr:nvSpPr>
        <xdr:cNvPr id="137" name="Text Box 446">
          <a:extLst>
            <a:ext uri="{FF2B5EF4-FFF2-40B4-BE49-F238E27FC236}">
              <a16:creationId xmlns="" xmlns:a16="http://schemas.microsoft.com/office/drawing/2014/main" id="{00000000-0008-0000-2500-000089000000}"/>
            </a:ext>
          </a:extLst>
        </xdr:cNvPr>
        <xdr:cNvSpPr txBox="1">
          <a:spLocks noChangeArrowheads="1"/>
        </xdr:cNvSpPr>
      </xdr:nvSpPr>
      <xdr:spPr bwMode="auto">
        <a:xfrm>
          <a:off x="13477875" y="15078075"/>
          <a:ext cx="3028950" cy="3429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ctr" rtl="0">
            <a:lnSpc>
              <a:spcPts val="900"/>
            </a:lnSpc>
            <a:defRPr sz="1000"/>
          </a:pPr>
          <a:r>
            <a:rPr lang="fr-FR" sz="1000" b="1" i="0" strike="noStrike">
              <a:solidFill>
                <a:srgbClr val="000000"/>
              </a:solidFill>
              <a:latin typeface="Arial"/>
              <a:cs typeface="Arial"/>
            </a:rPr>
            <a:t>FAÇADE PRINCIPALE BLOC</a:t>
          </a:r>
          <a:r>
            <a:rPr lang="fr-FR" sz="1000" b="1" i="0" strike="noStrike" baseline="0">
              <a:solidFill>
                <a:srgbClr val="000000"/>
              </a:solidFill>
              <a:latin typeface="Arial"/>
              <a:cs typeface="Arial"/>
            </a:rPr>
            <a:t> LATRINE DE 2 PORTES AVEC COIN D'HYGIENE MENSTRUELLE</a:t>
          </a:r>
          <a:endParaRPr lang="fr-FR" sz="1000" b="1" i="0" strike="noStrike">
            <a:solidFill>
              <a:srgbClr val="000000"/>
            </a:solidFill>
            <a:latin typeface="Arial"/>
            <a:cs typeface="Arial"/>
          </a:endParaRPr>
        </a:p>
      </xdr:txBody>
    </xdr:sp>
    <xdr:clientData/>
  </xdr:twoCellAnchor>
  <xdr:twoCellAnchor>
    <xdr:from>
      <xdr:col>10</xdr:col>
      <xdr:colOff>19050</xdr:colOff>
      <xdr:row>12</xdr:row>
      <xdr:rowOff>6350</xdr:rowOff>
    </xdr:from>
    <xdr:to>
      <xdr:col>47</xdr:col>
      <xdr:colOff>31750</xdr:colOff>
      <xdr:row>35</xdr:row>
      <xdr:rowOff>0</xdr:rowOff>
    </xdr:to>
    <xdr:sp macro="" textlink="">
      <xdr:nvSpPr>
        <xdr:cNvPr id="890887" name="Rectangle 447" descr="Cork">
          <a:extLst>
            <a:ext uri="{FF2B5EF4-FFF2-40B4-BE49-F238E27FC236}">
              <a16:creationId xmlns="" xmlns:a16="http://schemas.microsoft.com/office/drawing/2014/main" id="{00000000-0008-0000-2500-000007980D00}"/>
            </a:ext>
          </a:extLst>
        </xdr:cNvPr>
        <xdr:cNvSpPr>
          <a:spLocks noChangeArrowheads="1"/>
        </xdr:cNvSpPr>
      </xdr:nvSpPr>
      <xdr:spPr bwMode="auto">
        <a:xfrm>
          <a:off x="2279650" y="1377950"/>
          <a:ext cx="4241800" cy="2622550"/>
        </a:xfrm>
        <a:prstGeom prst="rect">
          <a:avLst/>
        </a:prstGeom>
        <a:blipFill dpi="0" rotWithShape="0">
          <a:blip xmlns:r="http://schemas.openxmlformats.org/officeDocument/2006/relationships" r:embed="rId10"/>
          <a:srcRect/>
          <a:tile tx="0" ty="0" sx="100000" sy="100000" flip="none" algn="tl"/>
        </a:blipFill>
        <a:ln w="9525">
          <a:solidFill>
            <a:srgbClr val="000000"/>
          </a:solidFill>
          <a:miter lim="800000"/>
          <a:headEnd/>
          <a:tailEnd/>
        </a:ln>
      </xdr:spPr>
    </xdr:sp>
    <xdr:clientData/>
  </xdr:twoCellAnchor>
  <xdr:twoCellAnchor>
    <xdr:from>
      <xdr:col>22</xdr:col>
      <xdr:colOff>6350</xdr:colOff>
      <xdr:row>35</xdr:row>
      <xdr:rowOff>0</xdr:rowOff>
    </xdr:from>
    <xdr:to>
      <xdr:col>33</xdr:col>
      <xdr:colOff>31750</xdr:colOff>
      <xdr:row>36</xdr:row>
      <xdr:rowOff>31750</xdr:rowOff>
    </xdr:to>
    <xdr:sp macro="" textlink="">
      <xdr:nvSpPr>
        <xdr:cNvPr id="890888" name="Rectangle 453">
          <a:extLst>
            <a:ext uri="{FF2B5EF4-FFF2-40B4-BE49-F238E27FC236}">
              <a16:creationId xmlns="" xmlns:a16="http://schemas.microsoft.com/office/drawing/2014/main" id="{00000000-0008-0000-2500-000008980D00}"/>
            </a:ext>
          </a:extLst>
        </xdr:cNvPr>
        <xdr:cNvSpPr>
          <a:spLocks noChangeArrowheads="1"/>
        </xdr:cNvSpPr>
      </xdr:nvSpPr>
      <xdr:spPr bwMode="auto">
        <a:xfrm>
          <a:off x="3638550" y="4000500"/>
          <a:ext cx="1282700" cy="146050"/>
        </a:xfrm>
        <a:prstGeom prst="rect">
          <a:avLst/>
        </a:prstGeom>
        <a:solidFill>
          <a:srgbClr val="FFFFFF"/>
        </a:solidFill>
        <a:ln w="9525">
          <a:solidFill>
            <a:srgbClr val="000000"/>
          </a:solidFill>
          <a:miter lim="800000"/>
          <a:headEnd/>
          <a:tailEnd/>
        </a:ln>
      </xdr:spPr>
    </xdr:sp>
    <xdr:clientData/>
  </xdr:twoCellAnchor>
  <xdr:twoCellAnchor>
    <xdr:from>
      <xdr:col>27</xdr:col>
      <xdr:colOff>19050</xdr:colOff>
      <xdr:row>25</xdr:row>
      <xdr:rowOff>19050</xdr:rowOff>
    </xdr:from>
    <xdr:to>
      <xdr:col>28</xdr:col>
      <xdr:colOff>88900</xdr:colOff>
      <xdr:row>35</xdr:row>
      <xdr:rowOff>0</xdr:rowOff>
    </xdr:to>
    <xdr:sp macro="" textlink="">
      <xdr:nvSpPr>
        <xdr:cNvPr id="890889" name="Rectangle 455">
          <a:extLst>
            <a:ext uri="{FF2B5EF4-FFF2-40B4-BE49-F238E27FC236}">
              <a16:creationId xmlns="" xmlns:a16="http://schemas.microsoft.com/office/drawing/2014/main" id="{00000000-0008-0000-2500-000009980D00}"/>
            </a:ext>
          </a:extLst>
        </xdr:cNvPr>
        <xdr:cNvSpPr>
          <a:spLocks noChangeArrowheads="1"/>
        </xdr:cNvSpPr>
      </xdr:nvSpPr>
      <xdr:spPr bwMode="auto">
        <a:xfrm>
          <a:off x="4222750" y="2876550"/>
          <a:ext cx="184150" cy="1123950"/>
        </a:xfrm>
        <a:prstGeom prst="rect">
          <a:avLst/>
        </a:prstGeom>
        <a:solidFill>
          <a:srgbClr val="FFFFFF"/>
        </a:solidFill>
        <a:ln w="9525">
          <a:solidFill>
            <a:srgbClr val="000000"/>
          </a:solidFill>
          <a:miter lim="800000"/>
          <a:headEnd/>
          <a:tailEnd/>
        </a:ln>
      </xdr:spPr>
    </xdr:sp>
    <xdr:clientData/>
  </xdr:twoCellAnchor>
  <xdr:twoCellAnchor>
    <xdr:from>
      <xdr:col>10</xdr:col>
      <xdr:colOff>19050</xdr:colOff>
      <xdr:row>23</xdr:row>
      <xdr:rowOff>50800</xdr:rowOff>
    </xdr:from>
    <xdr:to>
      <xdr:col>47</xdr:col>
      <xdr:colOff>19050</xdr:colOff>
      <xdr:row>25</xdr:row>
      <xdr:rowOff>19050</xdr:rowOff>
    </xdr:to>
    <xdr:sp macro="" textlink="">
      <xdr:nvSpPr>
        <xdr:cNvPr id="890890" name="Rectangle 457">
          <a:extLst>
            <a:ext uri="{FF2B5EF4-FFF2-40B4-BE49-F238E27FC236}">
              <a16:creationId xmlns="" xmlns:a16="http://schemas.microsoft.com/office/drawing/2014/main" id="{00000000-0008-0000-2500-00000A980D00}"/>
            </a:ext>
          </a:extLst>
        </xdr:cNvPr>
        <xdr:cNvSpPr>
          <a:spLocks noChangeArrowheads="1"/>
        </xdr:cNvSpPr>
      </xdr:nvSpPr>
      <xdr:spPr bwMode="auto">
        <a:xfrm>
          <a:off x="2279650" y="2679700"/>
          <a:ext cx="4229100" cy="196850"/>
        </a:xfrm>
        <a:prstGeom prst="rect">
          <a:avLst/>
        </a:prstGeom>
        <a:solidFill>
          <a:srgbClr val="FFFFFF"/>
        </a:solidFill>
        <a:ln w="9525">
          <a:solidFill>
            <a:srgbClr val="000000"/>
          </a:solidFill>
          <a:miter lim="800000"/>
          <a:headEnd/>
          <a:tailEnd/>
        </a:ln>
      </xdr:spPr>
    </xdr:sp>
    <xdr:clientData/>
  </xdr:twoCellAnchor>
  <xdr:twoCellAnchor>
    <xdr:from>
      <xdr:col>39</xdr:col>
      <xdr:colOff>57150</xdr:colOff>
      <xdr:row>35</xdr:row>
      <xdr:rowOff>6350</xdr:rowOff>
    </xdr:from>
    <xdr:to>
      <xdr:col>45</xdr:col>
      <xdr:colOff>57150</xdr:colOff>
      <xdr:row>36</xdr:row>
      <xdr:rowOff>63500</xdr:rowOff>
    </xdr:to>
    <xdr:sp macro="" textlink="">
      <xdr:nvSpPr>
        <xdr:cNvPr id="890891" name="Rectangle 459">
          <a:extLst>
            <a:ext uri="{FF2B5EF4-FFF2-40B4-BE49-F238E27FC236}">
              <a16:creationId xmlns="" xmlns:a16="http://schemas.microsoft.com/office/drawing/2014/main" id="{00000000-0008-0000-2500-00000B980D00}"/>
            </a:ext>
          </a:extLst>
        </xdr:cNvPr>
        <xdr:cNvSpPr>
          <a:spLocks noChangeArrowheads="1"/>
        </xdr:cNvSpPr>
      </xdr:nvSpPr>
      <xdr:spPr bwMode="auto">
        <a:xfrm>
          <a:off x="5632450" y="4006850"/>
          <a:ext cx="685800" cy="171450"/>
        </a:xfrm>
        <a:prstGeom prst="rect">
          <a:avLst/>
        </a:prstGeom>
        <a:solidFill>
          <a:srgbClr val="FFFFFF"/>
        </a:solidFill>
        <a:ln w="9525">
          <a:solidFill>
            <a:srgbClr val="000000"/>
          </a:solidFill>
          <a:miter lim="800000"/>
          <a:headEnd/>
          <a:tailEnd/>
        </a:ln>
      </xdr:spPr>
    </xdr:sp>
    <xdr:clientData/>
  </xdr:twoCellAnchor>
  <xdr:twoCellAnchor>
    <xdr:from>
      <xdr:col>12</xdr:col>
      <xdr:colOff>0</xdr:colOff>
      <xdr:row>35</xdr:row>
      <xdr:rowOff>19050</xdr:rowOff>
    </xdr:from>
    <xdr:to>
      <xdr:col>15</xdr:col>
      <xdr:colOff>76200</xdr:colOff>
      <xdr:row>36</xdr:row>
      <xdr:rowOff>57150</xdr:rowOff>
    </xdr:to>
    <xdr:sp macro="" textlink="">
      <xdr:nvSpPr>
        <xdr:cNvPr id="890892" name="Rectangle 463">
          <a:extLst>
            <a:ext uri="{FF2B5EF4-FFF2-40B4-BE49-F238E27FC236}">
              <a16:creationId xmlns="" xmlns:a16="http://schemas.microsoft.com/office/drawing/2014/main" id="{00000000-0008-0000-2500-00000C980D00}"/>
            </a:ext>
          </a:extLst>
        </xdr:cNvPr>
        <xdr:cNvSpPr>
          <a:spLocks noChangeArrowheads="1"/>
        </xdr:cNvSpPr>
      </xdr:nvSpPr>
      <xdr:spPr bwMode="auto">
        <a:xfrm>
          <a:off x="2489200" y="4019550"/>
          <a:ext cx="419100" cy="152400"/>
        </a:xfrm>
        <a:prstGeom prst="rect">
          <a:avLst/>
        </a:prstGeom>
        <a:solidFill>
          <a:srgbClr val="FFFFFF"/>
        </a:solidFill>
        <a:ln w="9525">
          <a:solidFill>
            <a:srgbClr val="000000"/>
          </a:solidFill>
          <a:miter lim="800000"/>
          <a:headEnd/>
          <a:tailEnd/>
        </a:ln>
      </xdr:spPr>
    </xdr:sp>
    <xdr:clientData/>
  </xdr:twoCellAnchor>
  <xdr:twoCellAnchor>
    <xdr:from>
      <xdr:col>28</xdr:col>
      <xdr:colOff>76200</xdr:colOff>
      <xdr:row>29</xdr:row>
      <xdr:rowOff>63500</xdr:rowOff>
    </xdr:from>
    <xdr:to>
      <xdr:col>45</xdr:col>
      <xdr:colOff>63500</xdr:colOff>
      <xdr:row>29</xdr:row>
      <xdr:rowOff>63500</xdr:rowOff>
    </xdr:to>
    <xdr:sp macro="" textlink="">
      <xdr:nvSpPr>
        <xdr:cNvPr id="890893" name="Line 468">
          <a:extLst>
            <a:ext uri="{FF2B5EF4-FFF2-40B4-BE49-F238E27FC236}">
              <a16:creationId xmlns="" xmlns:a16="http://schemas.microsoft.com/office/drawing/2014/main" id="{00000000-0008-0000-2500-00000D980D00}"/>
            </a:ext>
          </a:extLst>
        </xdr:cNvPr>
        <xdr:cNvSpPr>
          <a:spLocks noChangeShapeType="1"/>
        </xdr:cNvSpPr>
      </xdr:nvSpPr>
      <xdr:spPr bwMode="auto">
        <a:xfrm>
          <a:off x="4394200" y="3378200"/>
          <a:ext cx="193040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32</xdr:col>
      <xdr:colOff>24765</xdr:colOff>
      <xdr:row>28</xdr:row>
      <xdr:rowOff>60960</xdr:rowOff>
    </xdr:from>
    <xdr:to>
      <xdr:col>41</xdr:col>
      <xdr:colOff>57984</xdr:colOff>
      <xdr:row>31</xdr:row>
      <xdr:rowOff>82221</xdr:rowOff>
    </xdr:to>
    <xdr:sp macro="" textlink="">
      <xdr:nvSpPr>
        <xdr:cNvPr id="145" name="Text Box 470">
          <a:extLst>
            <a:ext uri="{FF2B5EF4-FFF2-40B4-BE49-F238E27FC236}">
              <a16:creationId xmlns="" xmlns:a16="http://schemas.microsoft.com/office/drawing/2014/main" id="{00000000-0008-0000-2500-000091000000}"/>
            </a:ext>
          </a:extLst>
        </xdr:cNvPr>
        <xdr:cNvSpPr txBox="1">
          <a:spLocks noChangeArrowheads="1"/>
        </xdr:cNvSpPr>
      </xdr:nvSpPr>
      <xdr:spPr bwMode="auto">
        <a:xfrm>
          <a:off x="4800600" y="3238500"/>
          <a:ext cx="1076325" cy="3905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FFFF00"/>
              </a:solidFill>
              <a:latin typeface="Arial"/>
              <a:cs typeface="Arial"/>
            </a:rPr>
            <a:t>150</a:t>
          </a:r>
        </a:p>
      </xdr:txBody>
    </xdr:sp>
    <xdr:clientData/>
  </xdr:twoCellAnchor>
  <xdr:twoCellAnchor>
    <xdr:from>
      <xdr:col>31</xdr:col>
      <xdr:colOff>38100</xdr:colOff>
      <xdr:row>25</xdr:row>
      <xdr:rowOff>31750</xdr:rowOff>
    </xdr:from>
    <xdr:to>
      <xdr:col>31</xdr:col>
      <xdr:colOff>50800</xdr:colOff>
      <xdr:row>34</xdr:row>
      <xdr:rowOff>88900</xdr:rowOff>
    </xdr:to>
    <xdr:sp macro="" textlink="">
      <xdr:nvSpPr>
        <xdr:cNvPr id="890895" name="Line 472">
          <a:extLst>
            <a:ext uri="{FF2B5EF4-FFF2-40B4-BE49-F238E27FC236}">
              <a16:creationId xmlns="" xmlns:a16="http://schemas.microsoft.com/office/drawing/2014/main" id="{00000000-0008-0000-2500-00000F980D00}"/>
            </a:ext>
          </a:extLst>
        </xdr:cNvPr>
        <xdr:cNvSpPr>
          <a:spLocks noChangeShapeType="1"/>
        </xdr:cNvSpPr>
      </xdr:nvSpPr>
      <xdr:spPr bwMode="auto">
        <a:xfrm>
          <a:off x="4699000" y="2889250"/>
          <a:ext cx="12700" cy="10858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29</xdr:col>
      <xdr:colOff>24766</xdr:colOff>
      <xdr:row>26</xdr:row>
      <xdr:rowOff>94616</xdr:rowOff>
    </xdr:from>
    <xdr:to>
      <xdr:col>41</xdr:col>
      <xdr:colOff>20414</xdr:colOff>
      <xdr:row>30</xdr:row>
      <xdr:rowOff>114237</xdr:rowOff>
    </xdr:to>
    <xdr:sp macro="" textlink="">
      <xdr:nvSpPr>
        <xdr:cNvPr id="147" name="Text Box 473">
          <a:extLst>
            <a:ext uri="{FF2B5EF4-FFF2-40B4-BE49-F238E27FC236}">
              <a16:creationId xmlns="" xmlns:a16="http://schemas.microsoft.com/office/drawing/2014/main" id="{00000000-0008-0000-2500-000093000000}"/>
            </a:ext>
          </a:extLst>
        </xdr:cNvPr>
        <xdr:cNvSpPr txBox="1">
          <a:spLocks noChangeArrowheads="1"/>
        </xdr:cNvSpPr>
      </xdr:nvSpPr>
      <xdr:spPr bwMode="auto">
        <a:xfrm>
          <a:off x="4457701" y="3076576"/>
          <a:ext cx="1390649" cy="466724"/>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FFFF00"/>
              </a:solidFill>
              <a:latin typeface="Arial"/>
              <a:cs typeface="Arial"/>
            </a:rPr>
            <a:t>120</a:t>
          </a:r>
        </a:p>
      </xdr:txBody>
    </xdr:sp>
    <xdr:clientData/>
  </xdr:twoCellAnchor>
  <xdr:twoCellAnchor>
    <xdr:from>
      <xdr:col>10</xdr:col>
      <xdr:colOff>31750</xdr:colOff>
      <xdr:row>38</xdr:row>
      <xdr:rowOff>63500</xdr:rowOff>
    </xdr:from>
    <xdr:to>
      <xdr:col>47</xdr:col>
      <xdr:colOff>38100</xdr:colOff>
      <xdr:row>39</xdr:row>
      <xdr:rowOff>6350</xdr:rowOff>
    </xdr:to>
    <xdr:sp macro="" textlink="">
      <xdr:nvSpPr>
        <xdr:cNvPr id="890897" name="Line 474">
          <a:extLst>
            <a:ext uri="{FF2B5EF4-FFF2-40B4-BE49-F238E27FC236}">
              <a16:creationId xmlns="" xmlns:a16="http://schemas.microsoft.com/office/drawing/2014/main" id="{00000000-0008-0000-2500-000011980D00}"/>
            </a:ext>
          </a:extLst>
        </xdr:cNvPr>
        <xdr:cNvSpPr>
          <a:spLocks noChangeShapeType="1"/>
        </xdr:cNvSpPr>
      </xdr:nvSpPr>
      <xdr:spPr bwMode="auto">
        <a:xfrm flipV="1">
          <a:off x="2292350" y="4406900"/>
          <a:ext cx="4235450" cy="571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88900</xdr:colOff>
      <xdr:row>38</xdr:row>
      <xdr:rowOff>63500</xdr:rowOff>
    </xdr:from>
    <xdr:to>
      <xdr:col>15</xdr:col>
      <xdr:colOff>88900</xdr:colOff>
      <xdr:row>39</xdr:row>
      <xdr:rowOff>19050</xdr:rowOff>
    </xdr:to>
    <xdr:sp macro="" textlink="">
      <xdr:nvSpPr>
        <xdr:cNvPr id="890898" name="Line 475">
          <a:extLst>
            <a:ext uri="{FF2B5EF4-FFF2-40B4-BE49-F238E27FC236}">
              <a16:creationId xmlns="" xmlns:a16="http://schemas.microsoft.com/office/drawing/2014/main" id="{00000000-0008-0000-2500-000012980D00}"/>
            </a:ext>
          </a:extLst>
        </xdr:cNvPr>
        <xdr:cNvSpPr>
          <a:spLocks noChangeShapeType="1"/>
        </xdr:cNvSpPr>
      </xdr:nvSpPr>
      <xdr:spPr bwMode="auto">
        <a:xfrm>
          <a:off x="2921000" y="4406900"/>
          <a:ext cx="0" cy="69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19050</xdr:colOff>
      <xdr:row>39</xdr:row>
      <xdr:rowOff>6350</xdr:rowOff>
    </xdr:from>
    <xdr:to>
      <xdr:col>15</xdr:col>
      <xdr:colOff>76200</xdr:colOff>
      <xdr:row>39</xdr:row>
      <xdr:rowOff>6350</xdr:rowOff>
    </xdr:to>
    <xdr:sp macro="" textlink="">
      <xdr:nvSpPr>
        <xdr:cNvPr id="890899" name="Line 476">
          <a:extLst>
            <a:ext uri="{FF2B5EF4-FFF2-40B4-BE49-F238E27FC236}">
              <a16:creationId xmlns="" xmlns:a16="http://schemas.microsoft.com/office/drawing/2014/main" id="{00000000-0008-0000-2500-000013980D00}"/>
            </a:ext>
          </a:extLst>
        </xdr:cNvPr>
        <xdr:cNvSpPr>
          <a:spLocks noChangeShapeType="1"/>
        </xdr:cNvSpPr>
      </xdr:nvSpPr>
      <xdr:spPr bwMode="auto">
        <a:xfrm>
          <a:off x="2393950" y="4464050"/>
          <a:ext cx="5143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88900</xdr:colOff>
      <xdr:row>39</xdr:row>
      <xdr:rowOff>0</xdr:rowOff>
    </xdr:from>
    <xdr:to>
      <xdr:col>33</xdr:col>
      <xdr:colOff>31750</xdr:colOff>
      <xdr:row>39</xdr:row>
      <xdr:rowOff>6350</xdr:rowOff>
    </xdr:to>
    <xdr:sp macro="" textlink="">
      <xdr:nvSpPr>
        <xdr:cNvPr id="890900" name="Line 477">
          <a:extLst>
            <a:ext uri="{FF2B5EF4-FFF2-40B4-BE49-F238E27FC236}">
              <a16:creationId xmlns="" xmlns:a16="http://schemas.microsoft.com/office/drawing/2014/main" id="{00000000-0008-0000-2500-000014980D00}"/>
            </a:ext>
          </a:extLst>
        </xdr:cNvPr>
        <xdr:cNvSpPr>
          <a:spLocks noChangeShapeType="1"/>
        </xdr:cNvSpPr>
      </xdr:nvSpPr>
      <xdr:spPr bwMode="auto">
        <a:xfrm>
          <a:off x="3606800" y="4457700"/>
          <a:ext cx="1314450" cy="63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39</xdr:col>
      <xdr:colOff>88900</xdr:colOff>
      <xdr:row>38</xdr:row>
      <xdr:rowOff>57150</xdr:rowOff>
    </xdr:from>
    <xdr:to>
      <xdr:col>46</xdr:col>
      <xdr:colOff>88900</xdr:colOff>
      <xdr:row>39</xdr:row>
      <xdr:rowOff>0</xdr:rowOff>
    </xdr:to>
    <xdr:sp macro="" textlink="">
      <xdr:nvSpPr>
        <xdr:cNvPr id="890901" name="Line 478">
          <a:extLst>
            <a:ext uri="{FF2B5EF4-FFF2-40B4-BE49-F238E27FC236}">
              <a16:creationId xmlns="" xmlns:a16="http://schemas.microsoft.com/office/drawing/2014/main" id="{00000000-0008-0000-2500-000015980D00}"/>
            </a:ext>
          </a:extLst>
        </xdr:cNvPr>
        <xdr:cNvSpPr>
          <a:spLocks noChangeShapeType="1"/>
        </xdr:cNvSpPr>
      </xdr:nvSpPr>
      <xdr:spPr bwMode="auto">
        <a:xfrm flipH="1" flipV="1">
          <a:off x="5664200" y="4400550"/>
          <a:ext cx="800100" cy="571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17</xdr:col>
      <xdr:colOff>20321</xdr:colOff>
      <xdr:row>36</xdr:row>
      <xdr:rowOff>47625</xdr:rowOff>
    </xdr:from>
    <xdr:to>
      <xdr:col>29</xdr:col>
      <xdr:colOff>72307</xdr:colOff>
      <xdr:row>39</xdr:row>
      <xdr:rowOff>94565</xdr:rowOff>
    </xdr:to>
    <xdr:sp macro="" textlink="">
      <xdr:nvSpPr>
        <xdr:cNvPr id="153" name="Text Box 479">
          <a:extLst>
            <a:ext uri="{FF2B5EF4-FFF2-40B4-BE49-F238E27FC236}">
              <a16:creationId xmlns="" xmlns:a16="http://schemas.microsoft.com/office/drawing/2014/main" id="{00000000-0008-0000-2500-000099000000}"/>
            </a:ext>
          </a:extLst>
        </xdr:cNvPr>
        <xdr:cNvSpPr txBox="1">
          <a:spLocks noChangeArrowheads="1"/>
        </xdr:cNvSpPr>
      </xdr:nvSpPr>
      <xdr:spPr bwMode="auto">
        <a:xfrm>
          <a:off x="3105151" y="4181475"/>
          <a:ext cx="1428750" cy="3905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75</a:t>
          </a:r>
        </a:p>
      </xdr:txBody>
    </xdr:sp>
    <xdr:clientData/>
  </xdr:twoCellAnchor>
  <xdr:twoCellAnchor editAs="oneCell">
    <xdr:from>
      <xdr:col>35</xdr:col>
      <xdr:colOff>4445</xdr:colOff>
      <xdr:row>36</xdr:row>
      <xdr:rowOff>81916</xdr:rowOff>
    </xdr:from>
    <xdr:to>
      <xdr:col>47</xdr:col>
      <xdr:colOff>24897</xdr:colOff>
      <xdr:row>40</xdr:row>
      <xdr:rowOff>254</xdr:rowOff>
    </xdr:to>
    <xdr:sp macro="" textlink="">
      <xdr:nvSpPr>
        <xdr:cNvPr id="154" name="Text Box 482">
          <a:extLst>
            <a:ext uri="{FF2B5EF4-FFF2-40B4-BE49-F238E27FC236}">
              <a16:creationId xmlns="" xmlns:a16="http://schemas.microsoft.com/office/drawing/2014/main" id="{00000000-0008-0000-2500-00009A000000}"/>
            </a:ext>
          </a:extLst>
        </xdr:cNvPr>
        <xdr:cNvSpPr txBox="1">
          <a:spLocks noChangeArrowheads="1"/>
        </xdr:cNvSpPr>
      </xdr:nvSpPr>
      <xdr:spPr bwMode="auto">
        <a:xfrm>
          <a:off x="5172075" y="4200526"/>
          <a:ext cx="1343025" cy="371474"/>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75</a:t>
          </a:r>
        </a:p>
      </xdr:txBody>
    </xdr:sp>
    <xdr:clientData/>
  </xdr:twoCellAnchor>
  <xdr:twoCellAnchor>
    <xdr:from>
      <xdr:col>10</xdr:col>
      <xdr:colOff>76200</xdr:colOff>
      <xdr:row>41</xdr:row>
      <xdr:rowOff>63500</xdr:rowOff>
    </xdr:from>
    <xdr:to>
      <xdr:col>46</xdr:col>
      <xdr:colOff>88900</xdr:colOff>
      <xdr:row>42</xdr:row>
      <xdr:rowOff>0</xdr:rowOff>
    </xdr:to>
    <xdr:sp macro="" textlink="">
      <xdr:nvSpPr>
        <xdr:cNvPr id="890904" name="Line 483">
          <a:extLst>
            <a:ext uri="{FF2B5EF4-FFF2-40B4-BE49-F238E27FC236}">
              <a16:creationId xmlns="" xmlns:a16="http://schemas.microsoft.com/office/drawing/2014/main" id="{00000000-0008-0000-2500-000018980D00}"/>
            </a:ext>
          </a:extLst>
        </xdr:cNvPr>
        <xdr:cNvSpPr>
          <a:spLocks noChangeShapeType="1"/>
        </xdr:cNvSpPr>
      </xdr:nvSpPr>
      <xdr:spPr bwMode="auto">
        <a:xfrm flipV="1">
          <a:off x="2336800" y="4749800"/>
          <a:ext cx="4127500" cy="508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25</xdr:col>
      <xdr:colOff>24766</xdr:colOff>
      <xdr:row>39</xdr:row>
      <xdr:rowOff>57786</xdr:rowOff>
    </xdr:from>
    <xdr:to>
      <xdr:col>34</xdr:col>
      <xdr:colOff>56583</xdr:colOff>
      <xdr:row>42</xdr:row>
      <xdr:rowOff>94668</xdr:rowOff>
    </xdr:to>
    <xdr:sp macro="" textlink="">
      <xdr:nvSpPr>
        <xdr:cNvPr id="156" name="Text Box 484">
          <a:extLst>
            <a:ext uri="{FF2B5EF4-FFF2-40B4-BE49-F238E27FC236}">
              <a16:creationId xmlns="" xmlns:a16="http://schemas.microsoft.com/office/drawing/2014/main" id="{00000000-0008-0000-2500-00009C000000}"/>
            </a:ext>
          </a:extLst>
        </xdr:cNvPr>
        <xdr:cNvSpPr txBox="1">
          <a:spLocks noChangeArrowheads="1"/>
        </xdr:cNvSpPr>
      </xdr:nvSpPr>
      <xdr:spPr bwMode="auto">
        <a:xfrm>
          <a:off x="4000501" y="4514851"/>
          <a:ext cx="1085850" cy="3810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360</a:t>
          </a:r>
        </a:p>
      </xdr:txBody>
    </xdr:sp>
    <xdr:clientData/>
  </xdr:twoCellAnchor>
  <xdr:twoCellAnchor>
    <xdr:from>
      <xdr:col>39</xdr:col>
      <xdr:colOff>63500</xdr:colOff>
      <xdr:row>35</xdr:row>
      <xdr:rowOff>19050</xdr:rowOff>
    </xdr:from>
    <xdr:to>
      <xdr:col>57</xdr:col>
      <xdr:colOff>19050</xdr:colOff>
      <xdr:row>36</xdr:row>
      <xdr:rowOff>57150</xdr:rowOff>
    </xdr:to>
    <xdr:sp macro="" textlink="">
      <xdr:nvSpPr>
        <xdr:cNvPr id="890906" name="Rectangle 488" descr="Horizontal brick">
          <a:extLst>
            <a:ext uri="{FF2B5EF4-FFF2-40B4-BE49-F238E27FC236}">
              <a16:creationId xmlns="" xmlns:a16="http://schemas.microsoft.com/office/drawing/2014/main" id="{00000000-0008-0000-2500-00001A980D00}"/>
            </a:ext>
          </a:extLst>
        </xdr:cNvPr>
        <xdr:cNvSpPr>
          <a:spLocks noChangeArrowheads="1"/>
        </xdr:cNvSpPr>
      </xdr:nvSpPr>
      <xdr:spPr bwMode="auto">
        <a:xfrm rot="-5400000">
          <a:off x="6569075" y="3089275"/>
          <a:ext cx="152400" cy="20129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10</xdr:col>
      <xdr:colOff>31750</xdr:colOff>
      <xdr:row>23</xdr:row>
      <xdr:rowOff>57150</xdr:rowOff>
    </xdr:from>
    <xdr:to>
      <xdr:col>47</xdr:col>
      <xdr:colOff>19050</xdr:colOff>
      <xdr:row>25</xdr:row>
      <xdr:rowOff>31750</xdr:rowOff>
    </xdr:to>
    <xdr:sp macro="" textlink="">
      <xdr:nvSpPr>
        <xdr:cNvPr id="890907" name="Rectangle 489" descr="Horizontal brick">
          <a:extLst>
            <a:ext uri="{FF2B5EF4-FFF2-40B4-BE49-F238E27FC236}">
              <a16:creationId xmlns="" xmlns:a16="http://schemas.microsoft.com/office/drawing/2014/main" id="{00000000-0008-0000-2500-00001B980D00}"/>
            </a:ext>
          </a:extLst>
        </xdr:cNvPr>
        <xdr:cNvSpPr>
          <a:spLocks noChangeArrowheads="1"/>
        </xdr:cNvSpPr>
      </xdr:nvSpPr>
      <xdr:spPr bwMode="auto">
        <a:xfrm rot="-5400000">
          <a:off x="4298950" y="679450"/>
          <a:ext cx="203200" cy="42164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22</xdr:col>
      <xdr:colOff>19050</xdr:colOff>
      <xdr:row>34</xdr:row>
      <xdr:rowOff>63500</xdr:rowOff>
    </xdr:from>
    <xdr:to>
      <xdr:col>33</xdr:col>
      <xdr:colOff>31750</xdr:colOff>
      <xdr:row>36</xdr:row>
      <xdr:rowOff>57150</xdr:rowOff>
    </xdr:to>
    <xdr:sp macro="" textlink="">
      <xdr:nvSpPr>
        <xdr:cNvPr id="890908" name="Rectangle 490" descr="Horizontal brick">
          <a:extLst>
            <a:ext uri="{FF2B5EF4-FFF2-40B4-BE49-F238E27FC236}">
              <a16:creationId xmlns="" xmlns:a16="http://schemas.microsoft.com/office/drawing/2014/main" id="{00000000-0008-0000-2500-00001C980D00}"/>
            </a:ext>
          </a:extLst>
        </xdr:cNvPr>
        <xdr:cNvSpPr>
          <a:spLocks noChangeArrowheads="1"/>
        </xdr:cNvSpPr>
      </xdr:nvSpPr>
      <xdr:spPr bwMode="auto">
        <a:xfrm rot="-5400000">
          <a:off x="4175125" y="3425825"/>
          <a:ext cx="222250" cy="12700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3</xdr:col>
      <xdr:colOff>285750</xdr:colOff>
      <xdr:row>34</xdr:row>
      <xdr:rowOff>95250</xdr:rowOff>
    </xdr:from>
    <xdr:to>
      <xdr:col>15</xdr:col>
      <xdr:colOff>63500</xdr:colOff>
      <xdr:row>36</xdr:row>
      <xdr:rowOff>57150</xdr:rowOff>
    </xdr:to>
    <xdr:sp macro="" textlink="">
      <xdr:nvSpPr>
        <xdr:cNvPr id="890909" name="Rectangle 491" descr="Horizontal brick">
          <a:extLst>
            <a:ext uri="{FF2B5EF4-FFF2-40B4-BE49-F238E27FC236}">
              <a16:creationId xmlns="" xmlns:a16="http://schemas.microsoft.com/office/drawing/2014/main" id="{00000000-0008-0000-2500-00001D980D00}"/>
            </a:ext>
          </a:extLst>
        </xdr:cNvPr>
        <xdr:cNvSpPr>
          <a:spLocks noChangeArrowheads="1"/>
        </xdr:cNvSpPr>
      </xdr:nvSpPr>
      <xdr:spPr bwMode="auto">
        <a:xfrm rot="-5400000">
          <a:off x="1978025" y="3254375"/>
          <a:ext cx="190500" cy="16446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27</xdr:col>
      <xdr:colOff>19050</xdr:colOff>
      <xdr:row>25</xdr:row>
      <xdr:rowOff>6350</xdr:rowOff>
    </xdr:from>
    <xdr:to>
      <xdr:col>28</xdr:col>
      <xdr:colOff>76200</xdr:colOff>
      <xdr:row>35</xdr:row>
      <xdr:rowOff>57150</xdr:rowOff>
    </xdr:to>
    <xdr:sp macro="" textlink="">
      <xdr:nvSpPr>
        <xdr:cNvPr id="890910" name="Rectangle 497" descr="Horizontal brick">
          <a:extLst>
            <a:ext uri="{FF2B5EF4-FFF2-40B4-BE49-F238E27FC236}">
              <a16:creationId xmlns="" xmlns:a16="http://schemas.microsoft.com/office/drawing/2014/main" id="{00000000-0008-0000-2500-00001E980D00}"/>
            </a:ext>
          </a:extLst>
        </xdr:cNvPr>
        <xdr:cNvSpPr>
          <a:spLocks noChangeArrowheads="1"/>
        </xdr:cNvSpPr>
      </xdr:nvSpPr>
      <xdr:spPr bwMode="auto">
        <a:xfrm rot="-5400000">
          <a:off x="3711575" y="3375025"/>
          <a:ext cx="1193800" cy="1714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46</xdr:col>
      <xdr:colOff>6350</xdr:colOff>
      <xdr:row>23</xdr:row>
      <xdr:rowOff>38100</xdr:rowOff>
    </xdr:from>
    <xdr:to>
      <xdr:col>47</xdr:col>
      <xdr:colOff>57150</xdr:colOff>
      <xdr:row>30</xdr:row>
      <xdr:rowOff>6350</xdr:rowOff>
    </xdr:to>
    <xdr:sp macro="" textlink="">
      <xdr:nvSpPr>
        <xdr:cNvPr id="890911" name="Rectangle 498" descr="Horizontal brick">
          <a:extLst>
            <a:ext uri="{FF2B5EF4-FFF2-40B4-BE49-F238E27FC236}">
              <a16:creationId xmlns="" xmlns:a16="http://schemas.microsoft.com/office/drawing/2014/main" id="{00000000-0008-0000-2500-00001F980D00}"/>
            </a:ext>
          </a:extLst>
        </xdr:cNvPr>
        <xdr:cNvSpPr>
          <a:spLocks noChangeArrowheads="1"/>
        </xdr:cNvSpPr>
      </xdr:nvSpPr>
      <xdr:spPr bwMode="auto">
        <a:xfrm rot="-5400000">
          <a:off x="6080125" y="2968625"/>
          <a:ext cx="768350" cy="1651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10</xdr:col>
      <xdr:colOff>19050</xdr:colOff>
      <xdr:row>23</xdr:row>
      <xdr:rowOff>57150</xdr:rowOff>
    </xdr:from>
    <xdr:to>
      <xdr:col>11</xdr:col>
      <xdr:colOff>63500</xdr:colOff>
      <xdr:row>30</xdr:row>
      <xdr:rowOff>0</xdr:rowOff>
    </xdr:to>
    <xdr:sp macro="" textlink="">
      <xdr:nvSpPr>
        <xdr:cNvPr id="890912" name="Rectangle 499" descr="Horizontal brick">
          <a:extLst>
            <a:ext uri="{FF2B5EF4-FFF2-40B4-BE49-F238E27FC236}">
              <a16:creationId xmlns="" xmlns:a16="http://schemas.microsoft.com/office/drawing/2014/main" id="{00000000-0008-0000-2500-000020980D00}"/>
            </a:ext>
          </a:extLst>
        </xdr:cNvPr>
        <xdr:cNvSpPr>
          <a:spLocks noChangeArrowheads="1"/>
        </xdr:cNvSpPr>
      </xdr:nvSpPr>
      <xdr:spPr bwMode="auto">
        <a:xfrm rot="-5400000">
          <a:off x="1987550" y="2978150"/>
          <a:ext cx="742950" cy="1587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10</xdr:col>
      <xdr:colOff>19050</xdr:colOff>
      <xdr:row>17</xdr:row>
      <xdr:rowOff>63500</xdr:rowOff>
    </xdr:from>
    <xdr:to>
      <xdr:col>47</xdr:col>
      <xdr:colOff>50800</xdr:colOff>
      <xdr:row>18</xdr:row>
      <xdr:rowOff>19050</xdr:rowOff>
    </xdr:to>
    <xdr:sp macro="" textlink="">
      <xdr:nvSpPr>
        <xdr:cNvPr id="890913" name="Line 501">
          <a:extLst>
            <a:ext uri="{FF2B5EF4-FFF2-40B4-BE49-F238E27FC236}">
              <a16:creationId xmlns="" xmlns:a16="http://schemas.microsoft.com/office/drawing/2014/main" id="{00000000-0008-0000-2500-000021980D00}"/>
            </a:ext>
          </a:extLst>
        </xdr:cNvPr>
        <xdr:cNvSpPr>
          <a:spLocks noChangeShapeType="1"/>
        </xdr:cNvSpPr>
      </xdr:nvSpPr>
      <xdr:spPr bwMode="auto">
        <a:xfrm flipV="1">
          <a:off x="2279650" y="2006600"/>
          <a:ext cx="4260850" cy="6985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41</xdr:col>
      <xdr:colOff>4446</xdr:colOff>
      <xdr:row>15</xdr:row>
      <xdr:rowOff>95249</xdr:rowOff>
    </xdr:from>
    <xdr:to>
      <xdr:col>49</xdr:col>
      <xdr:colOff>74961</xdr:colOff>
      <xdr:row>18</xdr:row>
      <xdr:rowOff>114165</xdr:rowOff>
    </xdr:to>
    <xdr:sp macro="" textlink="">
      <xdr:nvSpPr>
        <xdr:cNvPr id="165" name="Text Box 507">
          <a:extLst>
            <a:ext uri="{FF2B5EF4-FFF2-40B4-BE49-F238E27FC236}">
              <a16:creationId xmlns="" xmlns:a16="http://schemas.microsoft.com/office/drawing/2014/main" id="{00000000-0008-0000-2500-0000A5000000}"/>
            </a:ext>
          </a:extLst>
        </xdr:cNvPr>
        <xdr:cNvSpPr txBox="1">
          <a:spLocks noChangeArrowheads="1"/>
        </xdr:cNvSpPr>
      </xdr:nvSpPr>
      <xdr:spPr bwMode="auto">
        <a:xfrm>
          <a:off x="5857876" y="1828799"/>
          <a:ext cx="981074" cy="34290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FFFF00"/>
              </a:solidFill>
              <a:latin typeface="Arial"/>
              <a:cs typeface="Arial"/>
            </a:rPr>
            <a:t>30</a:t>
          </a:r>
        </a:p>
      </xdr:txBody>
    </xdr:sp>
    <xdr:clientData/>
  </xdr:twoCellAnchor>
  <xdr:twoCellAnchor editAs="oneCell">
    <xdr:from>
      <xdr:col>41</xdr:col>
      <xdr:colOff>4446</xdr:colOff>
      <xdr:row>18</xdr:row>
      <xdr:rowOff>57785</xdr:rowOff>
    </xdr:from>
    <xdr:to>
      <xdr:col>50</xdr:col>
      <xdr:colOff>24838</xdr:colOff>
      <xdr:row>21</xdr:row>
      <xdr:rowOff>94667</xdr:rowOff>
    </xdr:to>
    <xdr:sp macro="" textlink="">
      <xdr:nvSpPr>
        <xdr:cNvPr id="166" name="Text Box 508">
          <a:extLst>
            <a:ext uri="{FF2B5EF4-FFF2-40B4-BE49-F238E27FC236}">
              <a16:creationId xmlns="" xmlns:a16="http://schemas.microsoft.com/office/drawing/2014/main" id="{00000000-0008-0000-2500-0000A6000000}"/>
            </a:ext>
          </a:extLst>
        </xdr:cNvPr>
        <xdr:cNvSpPr txBox="1">
          <a:spLocks noChangeArrowheads="1"/>
        </xdr:cNvSpPr>
      </xdr:nvSpPr>
      <xdr:spPr bwMode="auto">
        <a:xfrm>
          <a:off x="5857876" y="2114550"/>
          <a:ext cx="1009650" cy="3905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FFFF00"/>
              </a:solidFill>
              <a:latin typeface="Arial"/>
              <a:cs typeface="Arial"/>
            </a:rPr>
            <a:t>30</a:t>
          </a:r>
        </a:p>
      </xdr:txBody>
    </xdr:sp>
    <xdr:clientData/>
  </xdr:twoCellAnchor>
  <xdr:twoCellAnchor>
    <xdr:from>
      <xdr:col>3</xdr:col>
      <xdr:colOff>8255</xdr:colOff>
      <xdr:row>45</xdr:row>
      <xdr:rowOff>94615</xdr:rowOff>
    </xdr:from>
    <xdr:to>
      <xdr:col>16</xdr:col>
      <xdr:colOff>4714</xdr:colOff>
      <xdr:row>48</xdr:row>
      <xdr:rowOff>57851</xdr:rowOff>
    </xdr:to>
    <xdr:sp macro="" textlink="">
      <xdr:nvSpPr>
        <xdr:cNvPr id="167" name="Text Box 520">
          <a:extLst>
            <a:ext uri="{FF2B5EF4-FFF2-40B4-BE49-F238E27FC236}">
              <a16:creationId xmlns="" xmlns:a16="http://schemas.microsoft.com/office/drawing/2014/main" id="{00000000-0008-0000-2500-0000A7000000}"/>
            </a:ext>
          </a:extLst>
        </xdr:cNvPr>
        <xdr:cNvSpPr txBox="1">
          <a:spLocks noChangeArrowheads="1"/>
        </xdr:cNvSpPr>
      </xdr:nvSpPr>
      <xdr:spPr bwMode="auto">
        <a:xfrm>
          <a:off x="981075" y="5238750"/>
          <a:ext cx="2028825" cy="3238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VUE EN PLAN CABINE ET DALLE</a:t>
          </a:r>
        </a:p>
      </xdr:txBody>
    </xdr:sp>
    <xdr:clientData/>
  </xdr:twoCellAnchor>
  <xdr:twoCellAnchor>
    <xdr:from>
      <xdr:col>35</xdr:col>
      <xdr:colOff>0</xdr:colOff>
      <xdr:row>87</xdr:row>
      <xdr:rowOff>31750</xdr:rowOff>
    </xdr:from>
    <xdr:to>
      <xdr:col>44</xdr:col>
      <xdr:colOff>50800</xdr:colOff>
      <xdr:row>88</xdr:row>
      <xdr:rowOff>31750</xdr:rowOff>
    </xdr:to>
    <xdr:sp macro="" textlink="">
      <xdr:nvSpPr>
        <xdr:cNvPr id="890917" name="Line 527">
          <a:extLst>
            <a:ext uri="{FF2B5EF4-FFF2-40B4-BE49-F238E27FC236}">
              <a16:creationId xmlns="" xmlns:a16="http://schemas.microsoft.com/office/drawing/2014/main" id="{00000000-0008-0000-2500-000025980D00}"/>
            </a:ext>
          </a:extLst>
        </xdr:cNvPr>
        <xdr:cNvSpPr>
          <a:spLocks noChangeShapeType="1"/>
        </xdr:cNvSpPr>
      </xdr:nvSpPr>
      <xdr:spPr bwMode="auto">
        <a:xfrm rot="10862374" flipV="1">
          <a:off x="5118100" y="9975850"/>
          <a:ext cx="1079500" cy="114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47</xdr:col>
      <xdr:colOff>19050</xdr:colOff>
      <xdr:row>9</xdr:row>
      <xdr:rowOff>6350</xdr:rowOff>
    </xdr:from>
    <xdr:to>
      <xdr:col>50</xdr:col>
      <xdr:colOff>6350</xdr:colOff>
      <xdr:row>12</xdr:row>
      <xdr:rowOff>19050</xdr:rowOff>
    </xdr:to>
    <xdr:sp macro="" textlink="">
      <xdr:nvSpPr>
        <xdr:cNvPr id="890918" name="Line 529">
          <a:extLst>
            <a:ext uri="{FF2B5EF4-FFF2-40B4-BE49-F238E27FC236}">
              <a16:creationId xmlns="" xmlns:a16="http://schemas.microsoft.com/office/drawing/2014/main" id="{00000000-0008-0000-2500-000026980D00}"/>
            </a:ext>
          </a:extLst>
        </xdr:cNvPr>
        <xdr:cNvSpPr>
          <a:spLocks noChangeShapeType="1"/>
        </xdr:cNvSpPr>
      </xdr:nvSpPr>
      <xdr:spPr bwMode="auto">
        <a:xfrm flipV="1">
          <a:off x="6508750" y="1035050"/>
          <a:ext cx="330200" cy="355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46</xdr:col>
      <xdr:colOff>24765</xdr:colOff>
      <xdr:row>5</xdr:row>
      <xdr:rowOff>57785</xdr:rowOff>
    </xdr:from>
    <xdr:to>
      <xdr:col>56</xdr:col>
      <xdr:colOff>24765</xdr:colOff>
      <xdr:row>9</xdr:row>
      <xdr:rowOff>61805</xdr:rowOff>
    </xdr:to>
    <xdr:sp macro="" textlink="">
      <xdr:nvSpPr>
        <xdr:cNvPr id="170" name="Text Box 530">
          <a:extLst>
            <a:ext uri="{FF2B5EF4-FFF2-40B4-BE49-F238E27FC236}">
              <a16:creationId xmlns="" xmlns:a16="http://schemas.microsoft.com/office/drawing/2014/main" id="{00000000-0008-0000-2500-0000AA000000}"/>
            </a:ext>
          </a:extLst>
        </xdr:cNvPr>
        <xdr:cNvSpPr txBox="1">
          <a:spLocks noChangeArrowheads="1"/>
        </xdr:cNvSpPr>
      </xdr:nvSpPr>
      <xdr:spPr bwMode="auto">
        <a:xfrm>
          <a:off x="6410325" y="628650"/>
          <a:ext cx="1143000" cy="4191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Dalot amovible en BA 350kg/m3</a:t>
          </a:r>
        </a:p>
      </xdr:txBody>
    </xdr:sp>
    <xdr:clientData/>
  </xdr:twoCellAnchor>
  <xdr:twoCellAnchor>
    <xdr:from>
      <xdr:col>20</xdr:col>
      <xdr:colOff>0</xdr:colOff>
      <xdr:row>97</xdr:row>
      <xdr:rowOff>19050</xdr:rowOff>
    </xdr:from>
    <xdr:to>
      <xdr:col>21</xdr:col>
      <xdr:colOff>57150</xdr:colOff>
      <xdr:row>99</xdr:row>
      <xdr:rowOff>19050</xdr:rowOff>
    </xdr:to>
    <xdr:sp macro="" textlink="">
      <xdr:nvSpPr>
        <xdr:cNvPr id="890920" name="Rectangle 364" descr="Horizontal brick">
          <a:extLst>
            <a:ext uri="{FF2B5EF4-FFF2-40B4-BE49-F238E27FC236}">
              <a16:creationId xmlns="" xmlns:a16="http://schemas.microsoft.com/office/drawing/2014/main" id="{00000000-0008-0000-2500-000028980D00}"/>
            </a:ext>
          </a:extLst>
        </xdr:cNvPr>
        <xdr:cNvSpPr>
          <a:spLocks noChangeArrowheads="1"/>
        </xdr:cNvSpPr>
      </xdr:nvSpPr>
      <xdr:spPr bwMode="auto">
        <a:xfrm>
          <a:off x="3403600" y="11106150"/>
          <a:ext cx="171450" cy="2286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32</xdr:col>
      <xdr:colOff>50800</xdr:colOff>
      <xdr:row>122</xdr:row>
      <xdr:rowOff>0</xdr:rowOff>
    </xdr:from>
    <xdr:to>
      <xdr:col>35</xdr:col>
      <xdr:colOff>88900</xdr:colOff>
      <xdr:row>127</xdr:row>
      <xdr:rowOff>57150</xdr:rowOff>
    </xdr:to>
    <xdr:cxnSp macro="">
      <xdr:nvCxnSpPr>
        <xdr:cNvPr id="890921" name="Shape 226">
          <a:extLst>
            <a:ext uri="{FF2B5EF4-FFF2-40B4-BE49-F238E27FC236}">
              <a16:creationId xmlns="" xmlns:a16="http://schemas.microsoft.com/office/drawing/2014/main" id="{00000000-0008-0000-2500-000029980D00}"/>
            </a:ext>
          </a:extLst>
        </xdr:cNvPr>
        <xdr:cNvCxnSpPr>
          <a:cxnSpLocks noChangeShapeType="1"/>
        </xdr:cNvCxnSpPr>
      </xdr:nvCxnSpPr>
      <xdr:spPr bwMode="auto">
        <a:xfrm rot="16200000" flipH="1">
          <a:off x="4702175" y="14068425"/>
          <a:ext cx="628650" cy="381000"/>
        </a:xfrm>
        <a:prstGeom prst="bentConnector3">
          <a:avLst>
            <a:gd name="adj1" fmla="val 50000"/>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29</xdr:col>
      <xdr:colOff>74930</xdr:colOff>
      <xdr:row>127</xdr:row>
      <xdr:rowOff>57785</xdr:rowOff>
    </xdr:from>
    <xdr:to>
      <xdr:col>40</xdr:col>
      <xdr:colOff>56509</xdr:colOff>
      <xdr:row>129</xdr:row>
      <xdr:rowOff>58018</xdr:rowOff>
    </xdr:to>
    <xdr:sp macro="" textlink="">
      <xdr:nvSpPr>
        <xdr:cNvPr id="173" name="Text Box 388">
          <a:extLst>
            <a:ext uri="{FF2B5EF4-FFF2-40B4-BE49-F238E27FC236}">
              <a16:creationId xmlns="" xmlns:a16="http://schemas.microsoft.com/office/drawing/2014/main" id="{00000000-0008-0000-2500-0000AD000000}"/>
            </a:ext>
          </a:extLst>
        </xdr:cNvPr>
        <xdr:cNvSpPr txBox="1">
          <a:spLocks noChangeArrowheads="1"/>
        </xdr:cNvSpPr>
      </xdr:nvSpPr>
      <xdr:spPr bwMode="auto">
        <a:xfrm>
          <a:off x="4552950" y="14573250"/>
          <a:ext cx="1228725" cy="2476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Poutre de 20x15cm</a:t>
          </a:r>
        </a:p>
      </xdr:txBody>
    </xdr:sp>
    <xdr:clientData/>
  </xdr:twoCellAnchor>
  <xdr:twoCellAnchor>
    <xdr:from>
      <xdr:col>113</xdr:col>
      <xdr:colOff>22859</xdr:colOff>
      <xdr:row>108</xdr:row>
      <xdr:rowOff>60960</xdr:rowOff>
    </xdr:from>
    <xdr:to>
      <xdr:col>116</xdr:col>
      <xdr:colOff>2425</xdr:colOff>
      <xdr:row>111</xdr:row>
      <xdr:rowOff>58354</xdr:rowOff>
    </xdr:to>
    <xdr:sp macro="" textlink="">
      <xdr:nvSpPr>
        <xdr:cNvPr id="174" name="Trapezoid 229">
          <a:extLst>
            <a:ext uri="{FF2B5EF4-FFF2-40B4-BE49-F238E27FC236}">
              <a16:creationId xmlns="" xmlns:a16="http://schemas.microsoft.com/office/drawing/2014/main" id="{00000000-0008-0000-2500-0000AE000000}"/>
            </a:ext>
          </a:extLst>
        </xdr:cNvPr>
        <xdr:cNvSpPr/>
      </xdr:nvSpPr>
      <xdr:spPr bwMode="auto">
        <a:xfrm rot="10800000">
          <a:off x="13087349" y="12382500"/>
          <a:ext cx="333375" cy="381000"/>
        </a:xfrm>
        <a:prstGeom prst="trapezoid">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p>
      </xdr:txBody>
    </xdr:sp>
    <xdr:clientData/>
  </xdr:twoCellAnchor>
  <xdr:twoCellAnchor>
    <xdr:from>
      <xdr:col>134</xdr:col>
      <xdr:colOff>132713</xdr:colOff>
      <xdr:row>108</xdr:row>
      <xdr:rowOff>60959</xdr:rowOff>
    </xdr:from>
    <xdr:to>
      <xdr:col>137</xdr:col>
      <xdr:colOff>137249</xdr:colOff>
      <xdr:row>111</xdr:row>
      <xdr:rowOff>94956</xdr:rowOff>
    </xdr:to>
    <xdr:sp macro="" textlink="">
      <xdr:nvSpPr>
        <xdr:cNvPr id="175" name="Trapezoid 230">
          <a:extLst>
            <a:ext uri="{FF2B5EF4-FFF2-40B4-BE49-F238E27FC236}">
              <a16:creationId xmlns="" xmlns:a16="http://schemas.microsoft.com/office/drawing/2014/main" id="{00000000-0008-0000-2500-0000AF000000}"/>
            </a:ext>
          </a:extLst>
        </xdr:cNvPr>
        <xdr:cNvSpPr/>
      </xdr:nvSpPr>
      <xdr:spPr bwMode="auto">
        <a:xfrm rot="10800000">
          <a:off x="15840073" y="12382499"/>
          <a:ext cx="476250" cy="409575"/>
        </a:xfrm>
        <a:prstGeom prst="trapezoid">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p>
      </xdr:txBody>
    </xdr:sp>
    <xdr:clientData/>
  </xdr:twoCellAnchor>
  <xdr:twoCellAnchor>
    <xdr:from>
      <xdr:col>41</xdr:col>
      <xdr:colOff>19050</xdr:colOff>
      <xdr:row>18</xdr:row>
      <xdr:rowOff>19050</xdr:rowOff>
    </xdr:from>
    <xdr:to>
      <xdr:col>41</xdr:col>
      <xdr:colOff>19050</xdr:colOff>
      <xdr:row>21</xdr:row>
      <xdr:rowOff>57150</xdr:rowOff>
    </xdr:to>
    <xdr:cxnSp macro="">
      <xdr:nvCxnSpPr>
        <xdr:cNvPr id="890925" name="Straight Arrow Connector 236">
          <a:extLst>
            <a:ext uri="{FF2B5EF4-FFF2-40B4-BE49-F238E27FC236}">
              <a16:creationId xmlns="" xmlns:a16="http://schemas.microsoft.com/office/drawing/2014/main" id="{00000000-0008-0000-2500-00002D980D00}"/>
            </a:ext>
          </a:extLst>
        </xdr:cNvPr>
        <xdr:cNvCxnSpPr>
          <a:cxnSpLocks noChangeShapeType="1"/>
        </xdr:cNvCxnSpPr>
      </xdr:nvCxnSpPr>
      <xdr:spPr bwMode="auto">
        <a:xfrm rot="5400000">
          <a:off x="5632450" y="2266950"/>
          <a:ext cx="3810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40</xdr:col>
      <xdr:colOff>6350</xdr:colOff>
      <xdr:row>21</xdr:row>
      <xdr:rowOff>57150</xdr:rowOff>
    </xdr:from>
    <xdr:to>
      <xdr:col>40</xdr:col>
      <xdr:colOff>6350</xdr:colOff>
      <xdr:row>23</xdr:row>
      <xdr:rowOff>57150</xdr:rowOff>
    </xdr:to>
    <xdr:cxnSp macro="">
      <xdr:nvCxnSpPr>
        <xdr:cNvPr id="890926" name="Straight Arrow Connector 240">
          <a:extLst>
            <a:ext uri="{FF2B5EF4-FFF2-40B4-BE49-F238E27FC236}">
              <a16:creationId xmlns="" xmlns:a16="http://schemas.microsoft.com/office/drawing/2014/main" id="{00000000-0008-0000-2500-00002E980D00}"/>
            </a:ext>
          </a:extLst>
        </xdr:cNvPr>
        <xdr:cNvCxnSpPr>
          <a:cxnSpLocks noChangeShapeType="1"/>
        </xdr:cNvCxnSpPr>
      </xdr:nvCxnSpPr>
      <xdr:spPr bwMode="auto">
        <a:xfrm rot="5400000">
          <a:off x="5581650" y="2571750"/>
          <a:ext cx="2286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10</xdr:col>
      <xdr:colOff>0</xdr:colOff>
      <xdr:row>21</xdr:row>
      <xdr:rowOff>38100</xdr:rowOff>
    </xdr:from>
    <xdr:to>
      <xdr:col>47</xdr:col>
      <xdr:colOff>50800</xdr:colOff>
      <xdr:row>21</xdr:row>
      <xdr:rowOff>38100</xdr:rowOff>
    </xdr:to>
    <xdr:sp macro="" textlink="">
      <xdr:nvSpPr>
        <xdr:cNvPr id="890927" name="Line 500">
          <a:extLst>
            <a:ext uri="{FF2B5EF4-FFF2-40B4-BE49-F238E27FC236}">
              <a16:creationId xmlns="" xmlns:a16="http://schemas.microsoft.com/office/drawing/2014/main" id="{00000000-0008-0000-2500-00002F980D00}"/>
            </a:ext>
          </a:extLst>
        </xdr:cNvPr>
        <xdr:cNvSpPr>
          <a:spLocks noChangeShapeType="1"/>
        </xdr:cNvSpPr>
      </xdr:nvSpPr>
      <xdr:spPr bwMode="auto">
        <a:xfrm flipV="1">
          <a:off x="2260600" y="2438400"/>
          <a:ext cx="42799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24765</xdr:colOff>
      <xdr:row>21</xdr:row>
      <xdr:rowOff>60960</xdr:rowOff>
    </xdr:from>
    <xdr:to>
      <xdr:col>47</xdr:col>
      <xdr:colOff>57835</xdr:colOff>
      <xdr:row>23</xdr:row>
      <xdr:rowOff>58608</xdr:rowOff>
    </xdr:to>
    <xdr:sp macro="" textlink="">
      <xdr:nvSpPr>
        <xdr:cNvPr id="179" name="Rectangle 178">
          <a:extLst>
            <a:ext uri="{FF2B5EF4-FFF2-40B4-BE49-F238E27FC236}">
              <a16:creationId xmlns="" xmlns:a16="http://schemas.microsoft.com/office/drawing/2014/main" id="{00000000-0008-0000-2500-0000B3000000}"/>
            </a:ext>
          </a:extLst>
        </xdr:cNvPr>
        <xdr:cNvSpPr/>
      </xdr:nvSpPr>
      <xdr:spPr bwMode="auto">
        <a:xfrm>
          <a:off x="2286000" y="2447925"/>
          <a:ext cx="4276725" cy="257175"/>
        </a:xfrm>
        <a:prstGeom prst="rect">
          <a:avLst/>
        </a:prstGeom>
        <a:blipFill>
          <a:blip xmlns:r="http://schemas.openxmlformats.org/officeDocument/2006/relationships" r:embed="rId5" cstate="print"/>
          <a:tile tx="0" ty="0" sx="100000" sy="100000" flip="none" algn="tl"/>
        </a:blip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15</xdr:col>
      <xdr:colOff>0</xdr:colOff>
      <xdr:row>21</xdr:row>
      <xdr:rowOff>57150</xdr:rowOff>
    </xdr:from>
    <xdr:to>
      <xdr:col>16</xdr:col>
      <xdr:colOff>63500</xdr:colOff>
      <xdr:row>23</xdr:row>
      <xdr:rowOff>31750</xdr:rowOff>
    </xdr:to>
    <xdr:sp macro="" textlink="">
      <xdr:nvSpPr>
        <xdr:cNvPr id="890929" name="Oval 505">
          <a:extLst>
            <a:ext uri="{FF2B5EF4-FFF2-40B4-BE49-F238E27FC236}">
              <a16:creationId xmlns="" xmlns:a16="http://schemas.microsoft.com/office/drawing/2014/main" id="{00000000-0008-0000-2500-000031980D00}"/>
            </a:ext>
          </a:extLst>
        </xdr:cNvPr>
        <xdr:cNvSpPr>
          <a:spLocks noChangeArrowheads="1"/>
        </xdr:cNvSpPr>
      </xdr:nvSpPr>
      <xdr:spPr bwMode="auto">
        <a:xfrm flipV="1">
          <a:off x="2832100" y="2457450"/>
          <a:ext cx="177800" cy="203200"/>
        </a:xfrm>
        <a:prstGeom prst="ellipse">
          <a:avLst/>
        </a:prstGeom>
        <a:solidFill>
          <a:srgbClr val="FFFFFF"/>
        </a:solidFill>
        <a:ln w="9525">
          <a:solidFill>
            <a:srgbClr val="000000"/>
          </a:solidFill>
          <a:round/>
          <a:headEnd/>
          <a:tailEnd/>
        </a:ln>
      </xdr:spPr>
    </xdr:sp>
    <xdr:clientData/>
  </xdr:twoCellAnchor>
  <xdr:twoCellAnchor>
    <xdr:from>
      <xdr:col>29</xdr:col>
      <xdr:colOff>50800</xdr:colOff>
      <xdr:row>21</xdr:row>
      <xdr:rowOff>57150</xdr:rowOff>
    </xdr:from>
    <xdr:to>
      <xdr:col>31</xdr:col>
      <xdr:colOff>19050</xdr:colOff>
      <xdr:row>23</xdr:row>
      <xdr:rowOff>38100</xdr:rowOff>
    </xdr:to>
    <xdr:sp macro="" textlink="">
      <xdr:nvSpPr>
        <xdr:cNvPr id="890930" name="Oval 505">
          <a:extLst>
            <a:ext uri="{FF2B5EF4-FFF2-40B4-BE49-F238E27FC236}">
              <a16:creationId xmlns="" xmlns:a16="http://schemas.microsoft.com/office/drawing/2014/main" id="{00000000-0008-0000-2500-000032980D00}"/>
            </a:ext>
          </a:extLst>
        </xdr:cNvPr>
        <xdr:cNvSpPr>
          <a:spLocks noChangeArrowheads="1"/>
        </xdr:cNvSpPr>
      </xdr:nvSpPr>
      <xdr:spPr bwMode="auto">
        <a:xfrm flipV="1">
          <a:off x="4483100" y="2457450"/>
          <a:ext cx="196850" cy="209550"/>
        </a:xfrm>
        <a:prstGeom prst="ellipse">
          <a:avLst/>
        </a:prstGeom>
        <a:solidFill>
          <a:srgbClr val="FFFFFF"/>
        </a:solidFill>
        <a:ln w="9525">
          <a:solidFill>
            <a:srgbClr val="000000"/>
          </a:solidFill>
          <a:round/>
          <a:headEnd/>
          <a:tailEnd/>
        </a:ln>
      </xdr:spPr>
    </xdr:sp>
    <xdr:clientData/>
  </xdr:twoCellAnchor>
  <xdr:twoCellAnchor>
    <xdr:from>
      <xdr:col>41</xdr:col>
      <xdr:colOff>57150</xdr:colOff>
      <xdr:row>21</xdr:row>
      <xdr:rowOff>57150</xdr:rowOff>
    </xdr:from>
    <xdr:to>
      <xdr:col>43</xdr:col>
      <xdr:colOff>31750</xdr:colOff>
      <xdr:row>23</xdr:row>
      <xdr:rowOff>38100</xdr:rowOff>
    </xdr:to>
    <xdr:sp macro="" textlink="">
      <xdr:nvSpPr>
        <xdr:cNvPr id="890931" name="Oval 505">
          <a:extLst>
            <a:ext uri="{FF2B5EF4-FFF2-40B4-BE49-F238E27FC236}">
              <a16:creationId xmlns="" xmlns:a16="http://schemas.microsoft.com/office/drawing/2014/main" id="{00000000-0008-0000-2500-000033980D00}"/>
            </a:ext>
          </a:extLst>
        </xdr:cNvPr>
        <xdr:cNvSpPr>
          <a:spLocks noChangeArrowheads="1"/>
        </xdr:cNvSpPr>
      </xdr:nvSpPr>
      <xdr:spPr bwMode="auto">
        <a:xfrm flipV="1">
          <a:off x="5861050" y="2457450"/>
          <a:ext cx="203200" cy="209550"/>
        </a:xfrm>
        <a:prstGeom prst="ellipse">
          <a:avLst/>
        </a:prstGeom>
        <a:solidFill>
          <a:srgbClr val="FFFFFF"/>
        </a:solidFill>
        <a:ln w="9525">
          <a:solidFill>
            <a:srgbClr val="000000"/>
          </a:solidFill>
          <a:round/>
          <a:headEnd/>
          <a:tailEnd/>
        </a:ln>
      </xdr:spPr>
    </xdr:sp>
    <xdr:clientData/>
  </xdr:twoCellAnchor>
  <xdr:twoCellAnchor editAs="oneCell">
    <xdr:from>
      <xdr:col>49</xdr:col>
      <xdr:colOff>74930</xdr:colOff>
      <xdr:row>22</xdr:row>
      <xdr:rowOff>0</xdr:rowOff>
    </xdr:from>
    <xdr:to>
      <xdr:col>58</xdr:col>
      <xdr:colOff>56609</xdr:colOff>
      <xdr:row>24</xdr:row>
      <xdr:rowOff>0</xdr:rowOff>
    </xdr:to>
    <xdr:sp macro="" textlink="">
      <xdr:nvSpPr>
        <xdr:cNvPr id="183" name="Text Box 507">
          <a:extLst>
            <a:ext uri="{FF2B5EF4-FFF2-40B4-BE49-F238E27FC236}">
              <a16:creationId xmlns="" xmlns:a16="http://schemas.microsoft.com/office/drawing/2014/main" id="{00000000-0008-0000-2500-0000B7000000}"/>
            </a:ext>
          </a:extLst>
        </xdr:cNvPr>
        <xdr:cNvSpPr txBox="1">
          <a:spLocks noChangeArrowheads="1"/>
        </xdr:cNvSpPr>
      </xdr:nvSpPr>
      <xdr:spPr bwMode="auto">
        <a:xfrm>
          <a:off x="6829425" y="2514600"/>
          <a:ext cx="1000125" cy="2286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30</a:t>
          </a:r>
        </a:p>
      </xdr:txBody>
    </xdr:sp>
    <xdr:clientData/>
  </xdr:twoCellAnchor>
  <xdr:twoCellAnchor>
    <xdr:from>
      <xdr:col>49</xdr:col>
      <xdr:colOff>19050</xdr:colOff>
      <xdr:row>21</xdr:row>
      <xdr:rowOff>19050</xdr:rowOff>
    </xdr:from>
    <xdr:to>
      <xdr:col>49</xdr:col>
      <xdr:colOff>19050</xdr:colOff>
      <xdr:row>24</xdr:row>
      <xdr:rowOff>31750</xdr:rowOff>
    </xdr:to>
    <xdr:cxnSp macro="">
      <xdr:nvCxnSpPr>
        <xdr:cNvPr id="890933" name="Straight Arrow Connector 245">
          <a:extLst>
            <a:ext uri="{FF2B5EF4-FFF2-40B4-BE49-F238E27FC236}">
              <a16:creationId xmlns="" xmlns:a16="http://schemas.microsoft.com/office/drawing/2014/main" id="{00000000-0008-0000-2500-000035980D00}"/>
            </a:ext>
          </a:extLst>
        </xdr:cNvPr>
        <xdr:cNvCxnSpPr>
          <a:cxnSpLocks noChangeShapeType="1"/>
        </xdr:cNvCxnSpPr>
      </xdr:nvCxnSpPr>
      <xdr:spPr bwMode="auto">
        <a:xfrm rot="5400000">
          <a:off x="6559550" y="2597150"/>
          <a:ext cx="3556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49</xdr:col>
      <xdr:colOff>4445</xdr:colOff>
      <xdr:row>14</xdr:row>
      <xdr:rowOff>94612</xdr:rowOff>
    </xdr:from>
    <xdr:to>
      <xdr:col>60</xdr:col>
      <xdr:colOff>102857</xdr:colOff>
      <xdr:row>17</xdr:row>
      <xdr:rowOff>94616</xdr:rowOff>
    </xdr:to>
    <xdr:sp macro="" textlink="">
      <xdr:nvSpPr>
        <xdr:cNvPr id="185" name="Text Box 507">
          <a:extLst>
            <a:ext uri="{FF2B5EF4-FFF2-40B4-BE49-F238E27FC236}">
              <a16:creationId xmlns="" xmlns:a16="http://schemas.microsoft.com/office/drawing/2014/main" id="{00000000-0008-0000-2500-0000B9000000}"/>
            </a:ext>
          </a:extLst>
        </xdr:cNvPr>
        <xdr:cNvSpPr txBox="1">
          <a:spLocks noChangeArrowheads="1"/>
        </xdr:cNvSpPr>
      </xdr:nvSpPr>
      <xdr:spPr bwMode="auto">
        <a:xfrm>
          <a:off x="6772275" y="1695447"/>
          <a:ext cx="1333500" cy="342904"/>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95</a:t>
          </a:r>
        </a:p>
      </xdr:txBody>
    </xdr:sp>
    <xdr:clientData/>
  </xdr:twoCellAnchor>
  <xdr:twoCellAnchor>
    <xdr:from>
      <xdr:col>49</xdr:col>
      <xdr:colOff>19050</xdr:colOff>
      <xdr:row>12</xdr:row>
      <xdr:rowOff>6350</xdr:rowOff>
    </xdr:from>
    <xdr:to>
      <xdr:col>49</xdr:col>
      <xdr:colOff>19050</xdr:colOff>
      <xdr:row>21</xdr:row>
      <xdr:rowOff>38100</xdr:rowOff>
    </xdr:to>
    <xdr:cxnSp macro="">
      <xdr:nvCxnSpPr>
        <xdr:cNvPr id="890935" name="Straight Arrow Connector 248">
          <a:extLst>
            <a:ext uri="{FF2B5EF4-FFF2-40B4-BE49-F238E27FC236}">
              <a16:creationId xmlns="" xmlns:a16="http://schemas.microsoft.com/office/drawing/2014/main" id="{00000000-0008-0000-2500-000037980D00}"/>
            </a:ext>
          </a:extLst>
        </xdr:cNvPr>
        <xdr:cNvCxnSpPr>
          <a:cxnSpLocks noChangeShapeType="1"/>
        </xdr:cNvCxnSpPr>
      </xdr:nvCxnSpPr>
      <xdr:spPr bwMode="auto">
        <a:xfrm rot="16200000" flipH="1">
          <a:off x="6207125" y="1908175"/>
          <a:ext cx="106045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58</xdr:col>
      <xdr:colOff>76200</xdr:colOff>
      <xdr:row>11</xdr:row>
      <xdr:rowOff>57150</xdr:rowOff>
    </xdr:from>
    <xdr:to>
      <xdr:col>58</xdr:col>
      <xdr:colOff>88900</xdr:colOff>
      <xdr:row>37</xdr:row>
      <xdr:rowOff>0</xdr:rowOff>
    </xdr:to>
    <xdr:cxnSp macro="">
      <xdr:nvCxnSpPr>
        <xdr:cNvPr id="890936" name="Straight Arrow Connector 255">
          <a:extLst>
            <a:ext uri="{FF2B5EF4-FFF2-40B4-BE49-F238E27FC236}">
              <a16:creationId xmlns="" xmlns:a16="http://schemas.microsoft.com/office/drawing/2014/main" id="{00000000-0008-0000-2500-000038980D00}"/>
            </a:ext>
          </a:extLst>
        </xdr:cNvPr>
        <xdr:cNvCxnSpPr>
          <a:cxnSpLocks noChangeShapeType="1"/>
        </xdr:cNvCxnSpPr>
      </xdr:nvCxnSpPr>
      <xdr:spPr bwMode="auto">
        <a:xfrm rot="16200000" flipH="1">
          <a:off x="6372225" y="2765425"/>
          <a:ext cx="2914650" cy="1270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55</xdr:col>
      <xdr:colOff>74296</xdr:colOff>
      <xdr:row>20</xdr:row>
      <xdr:rowOff>57785</xdr:rowOff>
    </xdr:from>
    <xdr:to>
      <xdr:col>67</xdr:col>
      <xdr:colOff>74296</xdr:colOff>
      <xdr:row>23</xdr:row>
      <xdr:rowOff>94723</xdr:rowOff>
    </xdr:to>
    <xdr:sp macro="" textlink="">
      <xdr:nvSpPr>
        <xdr:cNvPr id="188" name="Text Box 507">
          <a:extLst>
            <a:ext uri="{FF2B5EF4-FFF2-40B4-BE49-F238E27FC236}">
              <a16:creationId xmlns="" xmlns:a16="http://schemas.microsoft.com/office/drawing/2014/main" id="{00000000-0008-0000-2500-0000BC000000}"/>
            </a:ext>
          </a:extLst>
        </xdr:cNvPr>
        <xdr:cNvSpPr txBox="1">
          <a:spLocks noChangeArrowheads="1"/>
        </xdr:cNvSpPr>
      </xdr:nvSpPr>
      <xdr:spPr bwMode="auto">
        <a:xfrm>
          <a:off x="7505701" y="2362200"/>
          <a:ext cx="1371600" cy="3714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285</a:t>
          </a:r>
        </a:p>
      </xdr:txBody>
    </xdr:sp>
    <xdr:clientData/>
  </xdr:twoCellAnchor>
  <xdr:twoCellAnchor>
    <xdr:from>
      <xdr:col>39</xdr:col>
      <xdr:colOff>0</xdr:colOff>
      <xdr:row>12</xdr:row>
      <xdr:rowOff>19050</xdr:rowOff>
    </xdr:from>
    <xdr:to>
      <xdr:col>39</xdr:col>
      <xdr:colOff>6350</xdr:colOff>
      <xdr:row>21</xdr:row>
      <xdr:rowOff>57150</xdr:rowOff>
    </xdr:to>
    <xdr:cxnSp macro="">
      <xdr:nvCxnSpPr>
        <xdr:cNvPr id="890938" name="Straight Connector 249">
          <a:extLst>
            <a:ext uri="{FF2B5EF4-FFF2-40B4-BE49-F238E27FC236}">
              <a16:creationId xmlns="" xmlns:a16="http://schemas.microsoft.com/office/drawing/2014/main" id="{00000000-0008-0000-2500-00003A980D00}"/>
            </a:ext>
          </a:extLst>
        </xdr:cNvPr>
        <xdr:cNvCxnSpPr>
          <a:cxnSpLocks noChangeShapeType="1"/>
        </xdr:cNvCxnSpPr>
      </xdr:nvCxnSpPr>
      <xdr:spPr bwMode="auto">
        <a:xfrm rot="16200000" flipH="1">
          <a:off x="5045075" y="1920875"/>
          <a:ext cx="1066800" cy="635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41</xdr:col>
      <xdr:colOff>19050</xdr:colOff>
      <xdr:row>15</xdr:row>
      <xdr:rowOff>6350</xdr:rowOff>
    </xdr:from>
    <xdr:to>
      <xdr:col>41</xdr:col>
      <xdr:colOff>31750</xdr:colOff>
      <xdr:row>18</xdr:row>
      <xdr:rowOff>38100</xdr:rowOff>
    </xdr:to>
    <xdr:cxnSp macro="">
      <xdr:nvCxnSpPr>
        <xdr:cNvPr id="890939" name="Straight Arrow Connector 256">
          <a:extLst>
            <a:ext uri="{FF2B5EF4-FFF2-40B4-BE49-F238E27FC236}">
              <a16:creationId xmlns="" xmlns:a16="http://schemas.microsoft.com/office/drawing/2014/main" id="{00000000-0008-0000-2500-00003B980D00}"/>
            </a:ext>
          </a:extLst>
        </xdr:cNvPr>
        <xdr:cNvCxnSpPr>
          <a:cxnSpLocks noChangeShapeType="1"/>
        </xdr:cNvCxnSpPr>
      </xdr:nvCxnSpPr>
      <xdr:spPr bwMode="auto">
        <a:xfrm rot="5400000">
          <a:off x="5641975" y="1901825"/>
          <a:ext cx="374650" cy="1270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10</xdr:col>
      <xdr:colOff>19050</xdr:colOff>
      <xdr:row>15</xdr:row>
      <xdr:rowOff>19050</xdr:rowOff>
    </xdr:from>
    <xdr:to>
      <xdr:col>47</xdr:col>
      <xdr:colOff>50800</xdr:colOff>
      <xdr:row>15</xdr:row>
      <xdr:rowOff>50800</xdr:rowOff>
    </xdr:to>
    <xdr:sp macro="" textlink="">
      <xdr:nvSpPr>
        <xdr:cNvPr id="890940" name="Line 501">
          <a:extLst>
            <a:ext uri="{FF2B5EF4-FFF2-40B4-BE49-F238E27FC236}">
              <a16:creationId xmlns="" xmlns:a16="http://schemas.microsoft.com/office/drawing/2014/main" id="{00000000-0008-0000-2500-00003C980D00}"/>
            </a:ext>
          </a:extLst>
        </xdr:cNvPr>
        <xdr:cNvSpPr>
          <a:spLocks noChangeShapeType="1"/>
        </xdr:cNvSpPr>
      </xdr:nvSpPr>
      <xdr:spPr bwMode="auto">
        <a:xfrm flipV="1">
          <a:off x="2279650" y="1733550"/>
          <a:ext cx="4260850" cy="3175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19050</xdr:colOff>
      <xdr:row>12</xdr:row>
      <xdr:rowOff>19050</xdr:rowOff>
    </xdr:from>
    <xdr:to>
      <xdr:col>41</xdr:col>
      <xdr:colOff>31750</xdr:colOff>
      <xdr:row>15</xdr:row>
      <xdr:rowOff>57150</xdr:rowOff>
    </xdr:to>
    <xdr:cxnSp macro="">
      <xdr:nvCxnSpPr>
        <xdr:cNvPr id="890941" name="Straight Arrow Connector 260">
          <a:extLst>
            <a:ext uri="{FF2B5EF4-FFF2-40B4-BE49-F238E27FC236}">
              <a16:creationId xmlns="" xmlns:a16="http://schemas.microsoft.com/office/drawing/2014/main" id="{00000000-0008-0000-2500-00003D980D00}"/>
            </a:ext>
          </a:extLst>
        </xdr:cNvPr>
        <xdr:cNvCxnSpPr>
          <a:cxnSpLocks noChangeShapeType="1"/>
        </xdr:cNvCxnSpPr>
      </xdr:nvCxnSpPr>
      <xdr:spPr bwMode="auto">
        <a:xfrm rot="5400000">
          <a:off x="5638800" y="1574800"/>
          <a:ext cx="381000" cy="1270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28</xdr:col>
      <xdr:colOff>57150</xdr:colOff>
      <xdr:row>20</xdr:row>
      <xdr:rowOff>6350</xdr:rowOff>
    </xdr:from>
    <xdr:to>
      <xdr:col>39</xdr:col>
      <xdr:colOff>19050</xdr:colOff>
      <xdr:row>20</xdr:row>
      <xdr:rowOff>6350</xdr:rowOff>
    </xdr:to>
    <xdr:cxnSp macro="">
      <xdr:nvCxnSpPr>
        <xdr:cNvPr id="890942" name="Straight Arrow Connector 262">
          <a:extLst>
            <a:ext uri="{FF2B5EF4-FFF2-40B4-BE49-F238E27FC236}">
              <a16:creationId xmlns="" xmlns:a16="http://schemas.microsoft.com/office/drawing/2014/main" id="{00000000-0008-0000-2500-00003E980D00}"/>
            </a:ext>
          </a:extLst>
        </xdr:cNvPr>
        <xdr:cNvCxnSpPr>
          <a:cxnSpLocks noChangeShapeType="1"/>
        </xdr:cNvCxnSpPr>
      </xdr:nvCxnSpPr>
      <xdr:spPr bwMode="auto">
        <a:xfrm>
          <a:off x="4375150" y="2292350"/>
          <a:ext cx="1219200" cy="0"/>
        </a:xfrm>
        <a:prstGeom prst="straightConnector1">
          <a:avLst/>
        </a:prstGeom>
        <a:noFill/>
        <a:ln w="9525" algn="ctr">
          <a:solidFill>
            <a:srgbClr val="FFFF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27</xdr:col>
      <xdr:colOff>76200</xdr:colOff>
      <xdr:row>12</xdr:row>
      <xdr:rowOff>19050</xdr:rowOff>
    </xdr:from>
    <xdr:to>
      <xdr:col>27</xdr:col>
      <xdr:colOff>76200</xdr:colOff>
      <xdr:row>24</xdr:row>
      <xdr:rowOff>0</xdr:rowOff>
    </xdr:to>
    <xdr:cxnSp macro="">
      <xdr:nvCxnSpPr>
        <xdr:cNvPr id="890943" name="Straight Connector 267">
          <a:extLst>
            <a:ext uri="{FF2B5EF4-FFF2-40B4-BE49-F238E27FC236}">
              <a16:creationId xmlns="" xmlns:a16="http://schemas.microsoft.com/office/drawing/2014/main" id="{00000000-0008-0000-2500-00003F980D00}"/>
            </a:ext>
          </a:extLst>
        </xdr:cNvPr>
        <xdr:cNvCxnSpPr>
          <a:cxnSpLocks noChangeShapeType="1"/>
        </xdr:cNvCxnSpPr>
      </xdr:nvCxnSpPr>
      <xdr:spPr bwMode="auto">
        <a:xfrm rot="16200000" flipH="1">
          <a:off x="3603625" y="2066925"/>
          <a:ext cx="1352550" cy="0"/>
        </a:xfrm>
        <a:prstGeom prst="line">
          <a:avLst/>
        </a:prstGeom>
        <a:noFill/>
        <a:ln w="19050" algn="ctr">
          <a:solidFill>
            <a:srgbClr val="000000"/>
          </a:solidFill>
          <a:prstDash val="dashDot"/>
          <a:round/>
          <a:headEnd/>
          <a:tailEnd/>
        </a:ln>
        <a:extLst>
          <a:ext uri="{909E8E84-426E-40DD-AFC4-6F175D3DCCD1}">
            <a14:hiddenFill xmlns:a14="http://schemas.microsoft.com/office/drawing/2010/main">
              <a:noFill/>
            </a14:hiddenFill>
          </a:ext>
        </a:extLst>
      </xdr:spPr>
    </xdr:cxnSp>
    <xdr:clientData/>
  </xdr:twoCellAnchor>
  <xdr:twoCellAnchor>
    <xdr:from>
      <xdr:col>19</xdr:col>
      <xdr:colOff>19050</xdr:colOff>
      <xdr:row>20</xdr:row>
      <xdr:rowOff>6350</xdr:rowOff>
    </xdr:from>
    <xdr:to>
      <xdr:col>28</xdr:col>
      <xdr:colOff>63500</xdr:colOff>
      <xdr:row>20</xdr:row>
      <xdr:rowOff>6350</xdr:rowOff>
    </xdr:to>
    <xdr:cxnSp macro="">
      <xdr:nvCxnSpPr>
        <xdr:cNvPr id="890944" name="Straight Arrow Connector 268">
          <a:extLst>
            <a:ext uri="{FF2B5EF4-FFF2-40B4-BE49-F238E27FC236}">
              <a16:creationId xmlns="" xmlns:a16="http://schemas.microsoft.com/office/drawing/2014/main" id="{00000000-0008-0000-2500-000040980D00}"/>
            </a:ext>
          </a:extLst>
        </xdr:cNvPr>
        <xdr:cNvCxnSpPr>
          <a:cxnSpLocks noChangeShapeType="1"/>
        </xdr:cNvCxnSpPr>
      </xdr:nvCxnSpPr>
      <xdr:spPr bwMode="auto">
        <a:xfrm flipV="1">
          <a:off x="3308350" y="2292350"/>
          <a:ext cx="1073150" cy="0"/>
        </a:xfrm>
        <a:prstGeom prst="straightConnector1">
          <a:avLst/>
        </a:prstGeom>
        <a:noFill/>
        <a:ln w="9525" algn="ctr">
          <a:solidFill>
            <a:srgbClr val="FFFF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10</xdr:col>
      <xdr:colOff>6350</xdr:colOff>
      <xdr:row>20</xdr:row>
      <xdr:rowOff>0</xdr:rowOff>
    </xdr:from>
    <xdr:to>
      <xdr:col>19</xdr:col>
      <xdr:colOff>6350</xdr:colOff>
      <xdr:row>20</xdr:row>
      <xdr:rowOff>0</xdr:rowOff>
    </xdr:to>
    <xdr:cxnSp macro="">
      <xdr:nvCxnSpPr>
        <xdr:cNvPr id="890945" name="Straight Arrow Connector 270">
          <a:extLst>
            <a:ext uri="{FF2B5EF4-FFF2-40B4-BE49-F238E27FC236}">
              <a16:creationId xmlns="" xmlns:a16="http://schemas.microsoft.com/office/drawing/2014/main" id="{00000000-0008-0000-2500-000041980D00}"/>
            </a:ext>
          </a:extLst>
        </xdr:cNvPr>
        <xdr:cNvCxnSpPr>
          <a:cxnSpLocks noChangeShapeType="1"/>
        </xdr:cNvCxnSpPr>
      </xdr:nvCxnSpPr>
      <xdr:spPr bwMode="auto">
        <a:xfrm flipV="1">
          <a:off x="2266950" y="2286000"/>
          <a:ext cx="1028700" cy="0"/>
        </a:xfrm>
        <a:prstGeom prst="straightConnector1">
          <a:avLst/>
        </a:prstGeom>
        <a:noFill/>
        <a:ln w="9525" algn="ctr">
          <a:solidFill>
            <a:srgbClr val="FFFF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12</xdr:col>
      <xdr:colOff>29210</xdr:colOff>
      <xdr:row>18</xdr:row>
      <xdr:rowOff>1</xdr:rowOff>
    </xdr:from>
    <xdr:to>
      <xdr:col>17</xdr:col>
      <xdr:colOff>2344</xdr:colOff>
      <xdr:row>20</xdr:row>
      <xdr:rowOff>935</xdr:rowOff>
    </xdr:to>
    <xdr:sp macro="" textlink="">
      <xdr:nvSpPr>
        <xdr:cNvPr id="197" name="TextBox 271">
          <a:extLst>
            <a:ext uri="{FF2B5EF4-FFF2-40B4-BE49-F238E27FC236}">
              <a16:creationId xmlns="" xmlns:a16="http://schemas.microsoft.com/office/drawing/2014/main" id="{00000000-0008-0000-2500-0000C5000000}"/>
            </a:ext>
          </a:extLst>
        </xdr:cNvPr>
        <xdr:cNvSpPr txBox="1"/>
      </xdr:nvSpPr>
      <xdr:spPr>
        <a:xfrm>
          <a:off x="2552700" y="2057401"/>
          <a:ext cx="533400" cy="238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solidFill>
                <a:srgbClr val="FFFF00"/>
              </a:solidFill>
            </a:rPr>
            <a:t>100</a:t>
          </a:r>
        </a:p>
      </xdr:txBody>
    </xdr:sp>
    <xdr:clientData/>
  </xdr:twoCellAnchor>
  <xdr:twoCellAnchor>
    <xdr:from>
      <xdr:col>31</xdr:col>
      <xdr:colOff>4445</xdr:colOff>
      <xdr:row>18</xdr:row>
      <xdr:rowOff>636</xdr:rowOff>
    </xdr:from>
    <xdr:to>
      <xdr:col>36</xdr:col>
      <xdr:colOff>25150</xdr:colOff>
      <xdr:row>20</xdr:row>
      <xdr:rowOff>47766</xdr:rowOff>
    </xdr:to>
    <xdr:sp macro="" textlink="">
      <xdr:nvSpPr>
        <xdr:cNvPr id="198" name="TextBox 278">
          <a:extLst>
            <a:ext uri="{FF2B5EF4-FFF2-40B4-BE49-F238E27FC236}">
              <a16:creationId xmlns="" xmlns:a16="http://schemas.microsoft.com/office/drawing/2014/main" id="{00000000-0008-0000-2500-0000C6000000}"/>
            </a:ext>
          </a:extLst>
        </xdr:cNvPr>
        <xdr:cNvSpPr txBox="1"/>
      </xdr:nvSpPr>
      <xdr:spPr>
        <a:xfrm>
          <a:off x="4724400" y="2066926"/>
          <a:ext cx="533400" cy="238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solidFill>
                <a:srgbClr val="FFFF00"/>
              </a:solidFill>
            </a:rPr>
            <a:t>80</a:t>
          </a:r>
        </a:p>
      </xdr:txBody>
    </xdr:sp>
    <xdr:clientData/>
  </xdr:twoCellAnchor>
  <xdr:twoCellAnchor>
    <xdr:from>
      <xdr:col>20</xdr:col>
      <xdr:colOff>74295</xdr:colOff>
      <xdr:row>17</xdr:row>
      <xdr:rowOff>57786</xdr:rowOff>
    </xdr:from>
    <xdr:to>
      <xdr:col>25</xdr:col>
      <xdr:colOff>4714</xdr:colOff>
      <xdr:row>19</xdr:row>
      <xdr:rowOff>80146</xdr:rowOff>
    </xdr:to>
    <xdr:sp macro="" textlink="">
      <xdr:nvSpPr>
        <xdr:cNvPr id="199" name="TextBox 279">
          <a:extLst>
            <a:ext uri="{FF2B5EF4-FFF2-40B4-BE49-F238E27FC236}">
              <a16:creationId xmlns="" xmlns:a16="http://schemas.microsoft.com/office/drawing/2014/main" id="{00000000-0008-0000-2500-0000C7000000}"/>
            </a:ext>
          </a:extLst>
        </xdr:cNvPr>
        <xdr:cNvSpPr txBox="1"/>
      </xdr:nvSpPr>
      <xdr:spPr>
        <a:xfrm>
          <a:off x="3505200" y="2019301"/>
          <a:ext cx="533400" cy="238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solidFill>
                <a:srgbClr val="FFFF00"/>
              </a:solidFill>
            </a:rPr>
            <a:t>80</a:t>
          </a:r>
        </a:p>
      </xdr:txBody>
    </xdr:sp>
    <xdr:clientData/>
  </xdr:twoCellAnchor>
  <xdr:twoCellAnchor>
    <xdr:from>
      <xdr:col>12</xdr:col>
      <xdr:colOff>56516</xdr:colOff>
      <xdr:row>13</xdr:row>
      <xdr:rowOff>0</xdr:rowOff>
    </xdr:from>
    <xdr:to>
      <xdr:col>12</xdr:col>
      <xdr:colOff>111777</xdr:colOff>
      <xdr:row>14</xdr:row>
      <xdr:rowOff>58614</xdr:rowOff>
    </xdr:to>
    <xdr:sp macro="" textlink="">
      <xdr:nvSpPr>
        <xdr:cNvPr id="200" name="Rectangle 199">
          <a:extLst>
            <a:ext uri="{FF2B5EF4-FFF2-40B4-BE49-F238E27FC236}">
              <a16:creationId xmlns="" xmlns:a16="http://schemas.microsoft.com/office/drawing/2014/main" id="{00000000-0008-0000-2500-0000C8000000}"/>
            </a:ext>
          </a:extLst>
        </xdr:cNvPr>
        <xdr:cNvSpPr/>
      </xdr:nvSpPr>
      <xdr:spPr bwMode="auto">
        <a:xfrm>
          <a:off x="2573656" y="1485900"/>
          <a:ext cx="45719" cy="17145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16</xdr:col>
      <xdr:colOff>76836</xdr:colOff>
      <xdr:row>12</xdr:row>
      <xdr:rowOff>81915</xdr:rowOff>
    </xdr:from>
    <xdr:to>
      <xdr:col>17</xdr:col>
      <xdr:colOff>33516</xdr:colOff>
      <xdr:row>14</xdr:row>
      <xdr:rowOff>61515</xdr:rowOff>
    </xdr:to>
    <xdr:sp macro="" textlink="">
      <xdr:nvSpPr>
        <xdr:cNvPr id="201" name="Rectangle 200">
          <a:extLst>
            <a:ext uri="{FF2B5EF4-FFF2-40B4-BE49-F238E27FC236}">
              <a16:creationId xmlns="" xmlns:a16="http://schemas.microsoft.com/office/drawing/2014/main" id="{00000000-0008-0000-2500-0000C9000000}"/>
            </a:ext>
          </a:extLst>
        </xdr:cNvPr>
        <xdr:cNvSpPr/>
      </xdr:nvSpPr>
      <xdr:spPr bwMode="auto">
        <a:xfrm>
          <a:off x="3059431" y="1457325"/>
          <a:ext cx="45719" cy="1905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20</xdr:col>
      <xdr:colOff>27306</xdr:colOff>
      <xdr:row>13</xdr:row>
      <xdr:rowOff>0</xdr:rowOff>
    </xdr:from>
    <xdr:to>
      <xdr:col>20</xdr:col>
      <xdr:colOff>56246</xdr:colOff>
      <xdr:row>14</xdr:row>
      <xdr:rowOff>58614</xdr:rowOff>
    </xdr:to>
    <xdr:sp macro="" textlink="">
      <xdr:nvSpPr>
        <xdr:cNvPr id="202" name="Rectangle 201">
          <a:extLst>
            <a:ext uri="{FF2B5EF4-FFF2-40B4-BE49-F238E27FC236}">
              <a16:creationId xmlns="" xmlns:a16="http://schemas.microsoft.com/office/drawing/2014/main" id="{00000000-0008-0000-2500-0000CA000000}"/>
            </a:ext>
          </a:extLst>
        </xdr:cNvPr>
        <xdr:cNvSpPr/>
      </xdr:nvSpPr>
      <xdr:spPr bwMode="auto">
        <a:xfrm>
          <a:off x="3449956" y="1485900"/>
          <a:ext cx="45719" cy="17145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25</xdr:col>
      <xdr:colOff>86361</xdr:colOff>
      <xdr:row>13</xdr:row>
      <xdr:rowOff>0</xdr:rowOff>
    </xdr:from>
    <xdr:to>
      <xdr:col>26</xdr:col>
      <xdr:colOff>27409</xdr:colOff>
      <xdr:row>14</xdr:row>
      <xdr:rowOff>58614</xdr:rowOff>
    </xdr:to>
    <xdr:sp macro="" textlink="">
      <xdr:nvSpPr>
        <xdr:cNvPr id="203" name="Rectangle 202">
          <a:extLst>
            <a:ext uri="{FF2B5EF4-FFF2-40B4-BE49-F238E27FC236}">
              <a16:creationId xmlns="" xmlns:a16="http://schemas.microsoft.com/office/drawing/2014/main" id="{00000000-0008-0000-2500-0000CB000000}"/>
            </a:ext>
          </a:extLst>
        </xdr:cNvPr>
        <xdr:cNvSpPr/>
      </xdr:nvSpPr>
      <xdr:spPr bwMode="auto">
        <a:xfrm>
          <a:off x="4078606" y="1485900"/>
          <a:ext cx="45719" cy="17145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30</xdr:col>
      <xdr:colOff>56516</xdr:colOff>
      <xdr:row>12</xdr:row>
      <xdr:rowOff>81915</xdr:rowOff>
    </xdr:from>
    <xdr:to>
      <xdr:col>30</xdr:col>
      <xdr:colOff>60842</xdr:colOff>
      <xdr:row>14</xdr:row>
      <xdr:rowOff>61515</xdr:rowOff>
    </xdr:to>
    <xdr:sp macro="" textlink="">
      <xdr:nvSpPr>
        <xdr:cNvPr id="204" name="Rectangle 203">
          <a:extLst>
            <a:ext uri="{FF2B5EF4-FFF2-40B4-BE49-F238E27FC236}">
              <a16:creationId xmlns="" xmlns:a16="http://schemas.microsoft.com/office/drawing/2014/main" id="{00000000-0008-0000-2500-0000CC000000}"/>
            </a:ext>
          </a:extLst>
        </xdr:cNvPr>
        <xdr:cNvSpPr/>
      </xdr:nvSpPr>
      <xdr:spPr bwMode="auto">
        <a:xfrm>
          <a:off x="4621531" y="1457325"/>
          <a:ext cx="45719" cy="1905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37</xdr:col>
      <xdr:colOff>27306</xdr:colOff>
      <xdr:row>12</xdr:row>
      <xdr:rowOff>81915</xdr:rowOff>
    </xdr:from>
    <xdr:to>
      <xdr:col>37</xdr:col>
      <xdr:colOff>56246</xdr:colOff>
      <xdr:row>14</xdr:row>
      <xdr:rowOff>61515</xdr:rowOff>
    </xdr:to>
    <xdr:sp macro="" textlink="">
      <xdr:nvSpPr>
        <xdr:cNvPr id="205" name="Rectangle 204">
          <a:extLst>
            <a:ext uri="{FF2B5EF4-FFF2-40B4-BE49-F238E27FC236}">
              <a16:creationId xmlns="" xmlns:a16="http://schemas.microsoft.com/office/drawing/2014/main" id="{00000000-0008-0000-2500-0000CD000000}"/>
            </a:ext>
          </a:extLst>
        </xdr:cNvPr>
        <xdr:cNvSpPr/>
      </xdr:nvSpPr>
      <xdr:spPr bwMode="auto">
        <a:xfrm>
          <a:off x="5393056" y="1457325"/>
          <a:ext cx="45719" cy="1905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39</xdr:col>
      <xdr:colOff>76836</xdr:colOff>
      <xdr:row>13</xdr:row>
      <xdr:rowOff>0</xdr:rowOff>
    </xdr:from>
    <xdr:to>
      <xdr:col>40</xdr:col>
      <xdr:colOff>1847</xdr:colOff>
      <xdr:row>14</xdr:row>
      <xdr:rowOff>58614</xdr:rowOff>
    </xdr:to>
    <xdr:sp macro="" textlink="">
      <xdr:nvSpPr>
        <xdr:cNvPr id="206" name="Rectangle 205">
          <a:extLst>
            <a:ext uri="{FF2B5EF4-FFF2-40B4-BE49-F238E27FC236}">
              <a16:creationId xmlns="" xmlns:a16="http://schemas.microsoft.com/office/drawing/2014/main" id="{00000000-0008-0000-2500-0000CE000000}"/>
            </a:ext>
          </a:extLst>
        </xdr:cNvPr>
        <xdr:cNvSpPr/>
      </xdr:nvSpPr>
      <xdr:spPr bwMode="auto">
        <a:xfrm>
          <a:off x="5697856" y="1485900"/>
          <a:ext cx="45719" cy="17145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44</xdr:col>
      <xdr:colOff>57151</xdr:colOff>
      <xdr:row>13</xdr:row>
      <xdr:rowOff>0</xdr:rowOff>
    </xdr:from>
    <xdr:to>
      <xdr:col>45</xdr:col>
      <xdr:colOff>25477</xdr:colOff>
      <xdr:row>14</xdr:row>
      <xdr:rowOff>58614</xdr:rowOff>
    </xdr:to>
    <xdr:sp macro="" textlink="">
      <xdr:nvSpPr>
        <xdr:cNvPr id="207" name="Rectangle 206">
          <a:extLst>
            <a:ext uri="{FF2B5EF4-FFF2-40B4-BE49-F238E27FC236}">
              <a16:creationId xmlns="" xmlns:a16="http://schemas.microsoft.com/office/drawing/2014/main" id="{00000000-0008-0000-2500-0000CF000000}"/>
            </a:ext>
          </a:extLst>
        </xdr:cNvPr>
        <xdr:cNvSpPr/>
      </xdr:nvSpPr>
      <xdr:spPr bwMode="auto">
        <a:xfrm>
          <a:off x="6240781" y="1485900"/>
          <a:ext cx="45719" cy="17145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12</xdr:col>
      <xdr:colOff>56516</xdr:colOff>
      <xdr:row>16</xdr:row>
      <xdr:rowOff>0</xdr:rowOff>
    </xdr:from>
    <xdr:to>
      <xdr:col>12</xdr:col>
      <xdr:colOff>60842</xdr:colOff>
      <xdr:row>17</xdr:row>
      <xdr:rowOff>58614</xdr:rowOff>
    </xdr:to>
    <xdr:sp macro="" textlink="">
      <xdr:nvSpPr>
        <xdr:cNvPr id="208" name="Rectangle 207">
          <a:extLst>
            <a:ext uri="{FF2B5EF4-FFF2-40B4-BE49-F238E27FC236}">
              <a16:creationId xmlns="" xmlns:a16="http://schemas.microsoft.com/office/drawing/2014/main" id="{00000000-0008-0000-2500-0000D0000000}"/>
            </a:ext>
          </a:extLst>
        </xdr:cNvPr>
        <xdr:cNvSpPr/>
      </xdr:nvSpPr>
      <xdr:spPr bwMode="auto">
        <a:xfrm>
          <a:off x="2564131" y="1828800"/>
          <a:ext cx="45719" cy="17145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16</xdr:col>
      <xdr:colOff>86361</xdr:colOff>
      <xdr:row>15</xdr:row>
      <xdr:rowOff>81915</xdr:rowOff>
    </xdr:from>
    <xdr:to>
      <xdr:col>17</xdr:col>
      <xdr:colOff>27409</xdr:colOff>
      <xdr:row>17</xdr:row>
      <xdr:rowOff>61515</xdr:rowOff>
    </xdr:to>
    <xdr:sp macro="" textlink="">
      <xdr:nvSpPr>
        <xdr:cNvPr id="209" name="Rectangle 208">
          <a:extLst>
            <a:ext uri="{FF2B5EF4-FFF2-40B4-BE49-F238E27FC236}">
              <a16:creationId xmlns="" xmlns:a16="http://schemas.microsoft.com/office/drawing/2014/main" id="{00000000-0008-0000-2500-0000D1000000}"/>
            </a:ext>
          </a:extLst>
        </xdr:cNvPr>
        <xdr:cNvSpPr/>
      </xdr:nvSpPr>
      <xdr:spPr bwMode="auto">
        <a:xfrm>
          <a:off x="3049906" y="1800225"/>
          <a:ext cx="45719" cy="1905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20</xdr:col>
      <xdr:colOff>2541</xdr:colOff>
      <xdr:row>16</xdr:row>
      <xdr:rowOff>0</xdr:rowOff>
    </xdr:from>
    <xdr:to>
      <xdr:col>20</xdr:col>
      <xdr:colOff>57347</xdr:colOff>
      <xdr:row>17</xdr:row>
      <xdr:rowOff>58614</xdr:rowOff>
    </xdr:to>
    <xdr:sp macro="" textlink="">
      <xdr:nvSpPr>
        <xdr:cNvPr id="210" name="Rectangle 209">
          <a:extLst>
            <a:ext uri="{FF2B5EF4-FFF2-40B4-BE49-F238E27FC236}">
              <a16:creationId xmlns="" xmlns:a16="http://schemas.microsoft.com/office/drawing/2014/main" id="{00000000-0008-0000-2500-0000D2000000}"/>
            </a:ext>
          </a:extLst>
        </xdr:cNvPr>
        <xdr:cNvSpPr/>
      </xdr:nvSpPr>
      <xdr:spPr bwMode="auto">
        <a:xfrm>
          <a:off x="3440431" y="1828800"/>
          <a:ext cx="45719" cy="17145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25</xdr:col>
      <xdr:colOff>57151</xdr:colOff>
      <xdr:row>16</xdr:row>
      <xdr:rowOff>0</xdr:rowOff>
    </xdr:from>
    <xdr:to>
      <xdr:col>26</xdr:col>
      <xdr:colOff>25477</xdr:colOff>
      <xdr:row>17</xdr:row>
      <xdr:rowOff>58614</xdr:rowOff>
    </xdr:to>
    <xdr:sp macro="" textlink="">
      <xdr:nvSpPr>
        <xdr:cNvPr id="211" name="Rectangle 210">
          <a:extLst>
            <a:ext uri="{FF2B5EF4-FFF2-40B4-BE49-F238E27FC236}">
              <a16:creationId xmlns="" xmlns:a16="http://schemas.microsoft.com/office/drawing/2014/main" id="{00000000-0008-0000-2500-0000D3000000}"/>
            </a:ext>
          </a:extLst>
        </xdr:cNvPr>
        <xdr:cNvSpPr/>
      </xdr:nvSpPr>
      <xdr:spPr bwMode="auto">
        <a:xfrm>
          <a:off x="4069081" y="1828800"/>
          <a:ext cx="45719" cy="17145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30</xdr:col>
      <xdr:colOff>24131</xdr:colOff>
      <xdr:row>15</xdr:row>
      <xdr:rowOff>81915</xdr:rowOff>
    </xdr:from>
    <xdr:to>
      <xdr:col>30</xdr:col>
      <xdr:colOff>56886</xdr:colOff>
      <xdr:row>17</xdr:row>
      <xdr:rowOff>61515</xdr:rowOff>
    </xdr:to>
    <xdr:sp macro="" textlink="">
      <xdr:nvSpPr>
        <xdr:cNvPr id="212" name="Rectangle 211">
          <a:extLst>
            <a:ext uri="{FF2B5EF4-FFF2-40B4-BE49-F238E27FC236}">
              <a16:creationId xmlns="" xmlns:a16="http://schemas.microsoft.com/office/drawing/2014/main" id="{00000000-0008-0000-2500-0000D4000000}"/>
            </a:ext>
          </a:extLst>
        </xdr:cNvPr>
        <xdr:cNvSpPr/>
      </xdr:nvSpPr>
      <xdr:spPr bwMode="auto">
        <a:xfrm>
          <a:off x="4612006" y="1800225"/>
          <a:ext cx="45719" cy="1905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37</xdr:col>
      <xdr:colOff>2541</xdr:colOff>
      <xdr:row>15</xdr:row>
      <xdr:rowOff>81915</xdr:rowOff>
    </xdr:from>
    <xdr:to>
      <xdr:col>37</xdr:col>
      <xdr:colOff>57347</xdr:colOff>
      <xdr:row>17</xdr:row>
      <xdr:rowOff>61515</xdr:rowOff>
    </xdr:to>
    <xdr:sp macro="" textlink="">
      <xdr:nvSpPr>
        <xdr:cNvPr id="213" name="Rectangle 212">
          <a:extLst>
            <a:ext uri="{FF2B5EF4-FFF2-40B4-BE49-F238E27FC236}">
              <a16:creationId xmlns="" xmlns:a16="http://schemas.microsoft.com/office/drawing/2014/main" id="{00000000-0008-0000-2500-0000D5000000}"/>
            </a:ext>
          </a:extLst>
        </xdr:cNvPr>
        <xdr:cNvSpPr/>
      </xdr:nvSpPr>
      <xdr:spPr bwMode="auto">
        <a:xfrm>
          <a:off x="5383531" y="1800225"/>
          <a:ext cx="45719" cy="1905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39</xdr:col>
      <xdr:colOff>76836</xdr:colOff>
      <xdr:row>16</xdr:row>
      <xdr:rowOff>0</xdr:rowOff>
    </xdr:from>
    <xdr:to>
      <xdr:col>40</xdr:col>
      <xdr:colOff>33516</xdr:colOff>
      <xdr:row>17</xdr:row>
      <xdr:rowOff>58614</xdr:rowOff>
    </xdr:to>
    <xdr:sp macro="" textlink="">
      <xdr:nvSpPr>
        <xdr:cNvPr id="214" name="Rectangle 213">
          <a:extLst>
            <a:ext uri="{FF2B5EF4-FFF2-40B4-BE49-F238E27FC236}">
              <a16:creationId xmlns="" xmlns:a16="http://schemas.microsoft.com/office/drawing/2014/main" id="{00000000-0008-0000-2500-0000D6000000}"/>
            </a:ext>
          </a:extLst>
        </xdr:cNvPr>
        <xdr:cNvSpPr/>
      </xdr:nvSpPr>
      <xdr:spPr bwMode="auto">
        <a:xfrm>
          <a:off x="5688331" y="1828800"/>
          <a:ext cx="45719" cy="17145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44</xdr:col>
      <xdr:colOff>56516</xdr:colOff>
      <xdr:row>16</xdr:row>
      <xdr:rowOff>0</xdr:rowOff>
    </xdr:from>
    <xdr:to>
      <xdr:col>44</xdr:col>
      <xdr:colOff>111777</xdr:colOff>
      <xdr:row>17</xdr:row>
      <xdr:rowOff>58614</xdr:rowOff>
    </xdr:to>
    <xdr:sp macro="" textlink="">
      <xdr:nvSpPr>
        <xdr:cNvPr id="215" name="Rectangle 214">
          <a:extLst>
            <a:ext uri="{FF2B5EF4-FFF2-40B4-BE49-F238E27FC236}">
              <a16:creationId xmlns="" xmlns:a16="http://schemas.microsoft.com/office/drawing/2014/main" id="{00000000-0008-0000-2500-0000D7000000}"/>
            </a:ext>
          </a:extLst>
        </xdr:cNvPr>
        <xdr:cNvSpPr/>
      </xdr:nvSpPr>
      <xdr:spPr bwMode="auto">
        <a:xfrm>
          <a:off x="6231256" y="1828800"/>
          <a:ext cx="45719" cy="17145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12</xdr:col>
      <xdr:colOff>24131</xdr:colOff>
      <xdr:row>19</xdr:row>
      <xdr:rowOff>61595</xdr:rowOff>
    </xdr:from>
    <xdr:to>
      <xdr:col>12</xdr:col>
      <xdr:colOff>56886</xdr:colOff>
      <xdr:row>20</xdr:row>
      <xdr:rowOff>59170</xdr:rowOff>
    </xdr:to>
    <xdr:sp macro="" textlink="">
      <xdr:nvSpPr>
        <xdr:cNvPr id="216" name="Rectangle 215">
          <a:extLst>
            <a:ext uri="{FF2B5EF4-FFF2-40B4-BE49-F238E27FC236}">
              <a16:creationId xmlns="" xmlns:a16="http://schemas.microsoft.com/office/drawing/2014/main" id="{00000000-0008-0000-2500-0000D8000000}"/>
            </a:ext>
          </a:extLst>
        </xdr:cNvPr>
        <xdr:cNvSpPr/>
      </xdr:nvSpPr>
      <xdr:spPr bwMode="auto">
        <a:xfrm>
          <a:off x="2554606" y="2190750"/>
          <a:ext cx="45719" cy="17145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16</xdr:col>
      <xdr:colOff>57151</xdr:colOff>
      <xdr:row>19</xdr:row>
      <xdr:rowOff>635</xdr:rowOff>
    </xdr:from>
    <xdr:to>
      <xdr:col>17</xdr:col>
      <xdr:colOff>25477</xdr:colOff>
      <xdr:row>20</xdr:row>
      <xdr:rowOff>48035</xdr:rowOff>
    </xdr:to>
    <xdr:sp macro="" textlink="">
      <xdr:nvSpPr>
        <xdr:cNvPr id="217" name="Rectangle 216">
          <a:extLst>
            <a:ext uri="{FF2B5EF4-FFF2-40B4-BE49-F238E27FC236}">
              <a16:creationId xmlns="" xmlns:a16="http://schemas.microsoft.com/office/drawing/2014/main" id="{00000000-0008-0000-2500-0000D9000000}"/>
            </a:ext>
          </a:extLst>
        </xdr:cNvPr>
        <xdr:cNvSpPr/>
      </xdr:nvSpPr>
      <xdr:spPr bwMode="auto">
        <a:xfrm>
          <a:off x="3040381" y="2181225"/>
          <a:ext cx="45719" cy="17145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19</xdr:col>
      <xdr:colOff>86361</xdr:colOff>
      <xdr:row>19</xdr:row>
      <xdr:rowOff>61595</xdr:rowOff>
    </xdr:from>
    <xdr:to>
      <xdr:col>20</xdr:col>
      <xdr:colOff>58190</xdr:colOff>
      <xdr:row>20</xdr:row>
      <xdr:rowOff>59170</xdr:rowOff>
    </xdr:to>
    <xdr:sp macro="" textlink="">
      <xdr:nvSpPr>
        <xdr:cNvPr id="218" name="Rectangle 217">
          <a:extLst>
            <a:ext uri="{FF2B5EF4-FFF2-40B4-BE49-F238E27FC236}">
              <a16:creationId xmlns="" xmlns:a16="http://schemas.microsoft.com/office/drawing/2014/main" id="{00000000-0008-0000-2500-0000DA000000}"/>
            </a:ext>
          </a:extLst>
        </xdr:cNvPr>
        <xdr:cNvSpPr/>
      </xdr:nvSpPr>
      <xdr:spPr bwMode="auto">
        <a:xfrm>
          <a:off x="3430906" y="2190750"/>
          <a:ext cx="45719" cy="17145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25</xdr:col>
      <xdr:colOff>56516</xdr:colOff>
      <xdr:row>19</xdr:row>
      <xdr:rowOff>61595</xdr:rowOff>
    </xdr:from>
    <xdr:to>
      <xdr:col>25</xdr:col>
      <xdr:colOff>111777</xdr:colOff>
      <xdr:row>20</xdr:row>
      <xdr:rowOff>59170</xdr:rowOff>
    </xdr:to>
    <xdr:sp macro="" textlink="">
      <xdr:nvSpPr>
        <xdr:cNvPr id="219" name="Rectangle 218">
          <a:extLst>
            <a:ext uri="{FF2B5EF4-FFF2-40B4-BE49-F238E27FC236}">
              <a16:creationId xmlns="" xmlns:a16="http://schemas.microsoft.com/office/drawing/2014/main" id="{00000000-0008-0000-2500-0000DB000000}"/>
            </a:ext>
          </a:extLst>
        </xdr:cNvPr>
        <xdr:cNvSpPr/>
      </xdr:nvSpPr>
      <xdr:spPr bwMode="auto">
        <a:xfrm>
          <a:off x="4059556" y="2190750"/>
          <a:ext cx="45719" cy="17145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30</xdr:col>
      <xdr:colOff>24131</xdr:colOff>
      <xdr:row>19</xdr:row>
      <xdr:rowOff>635</xdr:rowOff>
    </xdr:from>
    <xdr:to>
      <xdr:col>30</xdr:col>
      <xdr:colOff>79546</xdr:colOff>
      <xdr:row>20</xdr:row>
      <xdr:rowOff>48035</xdr:rowOff>
    </xdr:to>
    <xdr:sp macro="" textlink="">
      <xdr:nvSpPr>
        <xdr:cNvPr id="220" name="Rectangle 219">
          <a:extLst>
            <a:ext uri="{FF2B5EF4-FFF2-40B4-BE49-F238E27FC236}">
              <a16:creationId xmlns="" xmlns:a16="http://schemas.microsoft.com/office/drawing/2014/main" id="{00000000-0008-0000-2500-0000DC000000}"/>
            </a:ext>
          </a:extLst>
        </xdr:cNvPr>
        <xdr:cNvSpPr/>
      </xdr:nvSpPr>
      <xdr:spPr bwMode="auto">
        <a:xfrm>
          <a:off x="4602481" y="2181225"/>
          <a:ext cx="45719" cy="17145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36</xdr:col>
      <xdr:colOff>86361</xdr:colOff>
      <xdr:row>19</xdr:row>
      <xdr:rowOff>635</xdr:rowOff>
    </xdr:from>
    <xdr:to>
      <xdr:col>37</xdr:col>
      <xdr:colOff>58190</xdr:colOff>
      <xdr:row>20</xdr:row>
      <xdr:rowOff>48035</xdr:rowOff>
    </xdr:to>
    <xdr:sp macro="" textlink="">
      <xdr:nvSpPr>
        <xdr:cNvPr id="221" name="Rectangle 220">
          <a:extLst>
            <a:ext uri="{FF2B5EF4-FFF2-40B4-BE49-F238E27FC236}">
              <a16:creationId xmlns="" xmlns:a16="http://schemas.microsoft.com/office/drawing/2014/main" id="{00000000-0008-0000-2500-0000DD000000}"/>
            </a:ext>
          </a:extLst>
        </xdr:cNvPr>
        <xdr:cNvSpPr/>
      </xdr:nvSpPr>
      <xdr:spPr bwMode="auto">
        <a:xfrm>
          <a:off x="5374006" y="2181225"/>
          <a:ext cx="45719" cy="17145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39</xdr:col>
      <xdr:colOff>86361</xdr:colOff>
      <xdr:row>19</xdr:row>
      <xdr:rowOff>61595</xdr:rowOff>
    </xdr:from>
    <xdr:to>
      <xdr:col>40</xdr:col>
      <xdr:colOff>27409</xdr:colOff>
      <xdr:row>20</xdr:row>
      <xdr:rowOff>59170</xdr:rowOff>
    </xdr:to>
    <xdr:sp macro="" textlink="">
      <xdr:nvSpPr>
        <xdr:cNvPr id="222" name="Rectangle 221">
          <a:extLst>
            <a:ext uri="{FF2B5EF4-FFF2-40B4-BE49-F238E27FC236}">
              <a16:creationId xmlns="" xmlns:a16="http://schemas.microsoft.com/office/drawing/2014/main" id="{00000000-0008-0000-2500-0000DE000000}"/>
            </a:ext>
          </a:extLst>
        </xdr:cNvPr>
        <xdr:cNvSpPr/>
      </xdr:nvSpPr>
      <xdr:spPr bwMode="auto">
        <a:xfrm>
          <a:off x="5678806" y="2190750"/>
          <a:ext cx="45719" cy="17145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44</xdr:col>
      <xdr:colOff>56516</xdr:colOff>
      <xdr:row>19</xdr:row>
      <xdr:rowOff>61595</xdr:rowOff>
    </xdr:from>
    <xdr:to>
      <xdr:col>44</xdr:col>
      <xdr:colOff>60842</xdr:colOff>
      <xdr:row>20</xdr:row>
      <xdr:rowOff>59170</xdr:rowOff>
    </xdr:to>
    <xdr:sp macro="" textlink="">
      <xdr:nvSpPr>
        <xdr:cNvPr id="223" name="Rectangle 222">
          <a:extLst>
            <a:ext uri="{FF2B5EF4-FFF2-40B4-BE49-F238E27FC236}">
              <a16:creationId xmlns="" xmlns:a16="http://schemas.microsoft.com/office/drawing/2014/main" id="{00000000-0008-0000-2500-0000DF000000}"/>
            </a:ext>
          </a:extLst>
        </xdr:cNvPr>
        <xdr:cNvSpPr/>
      </xdr:nvSpPr>
      <xdr:spPr bwMode="auto">
        <a:xfrm>
          <a:off x="6221731" y="2190750"/>
          <a:ext cx="45719" cy="17145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73</xdr:col>
      <xdr:colOff>0</xdr:colOff>
      <xdr:row>38</xdr:row>
      <xdr:rowOff>81915</xdr:rowOff>
    </xdr:from>
    <xdr:to>
      <xdr:col>77</xdr:col>
      <xdr:colOff>58045</xdr:colOff>
      <xdr:row>41</xdr:row>
      <xdr:rowOff>57629</xdr:rowOff>
    </xdr:to>
    <xdr:sp macro="" textlink="">
      <xdr:nvSpPr>
        <xdr:cNvPr id="224" name="TextBox 311">
          <a:extLst>
            <a:ext uri="{FF2B5EF4-FFF2-40B4-BE49-F238E27FC236}">
              <a16:creationId xmlns="" xmlns:a16="http://schemas.microsoft.com/office/drawing/2014/main" id="{00000000-0008-0000-2500-0000E0000000}"/>
            </a:ext>
          </a:extLst>
        </xdr:cNvPr>
        <xdr:cNvSpPr txBox="1"/>
      </xdr:nvSpPr>
      <xdr:spPr>
        <a:xfrm>
          <a:off x="9477375" y="4429125"/>
          <a:ext cx="5143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100</a:t>
          </a:r>
        </a:p>
      </xdr:txBody>
    </xdr:sp>
    <xdr:clientData/>
  </xdr:twoCellAnchor>
  <xdr:twoCellAnchor>
    <xdr:from>
      <xdr:col>18</xdr:col>
      <xdr:colOff>31750</xdr:colOff>
      <xdr:row>8</xdr:row>
      <xdr:rowOff>0</xdr:rowOff>
    </xdr:from>
    <xdr:to>
      <xdr:col>19</xdr:col>
      <xdr:colOff>57150</xdr:colOff>
      <xdr:row>14</xdr:row>
      <xdr:rowOff>0</xdr:rowOff>
    </xdr:to>
    <xdr:cxnSp macro="">
      <xdr:nvCxnSpPr>
        <xdr:cNvPr id="890974" name="Straight Arrow Connector 315">
          <a:extLst>
            <a:ext uri="{FF2B5EF4-FFF2-40B4-BE49-F238E27FC236}">
              <a16:creationId xmlns="" xmlns:a16="http://schemas.microsoft.com/office/drawing/2014/main" id="{00000000-0008-0000-2500-00005E980D00}"/>
            </a:ext>
          </a:extLst>
        </xdr:cNvPr>
        <xdr:cNvCxnSpPr>
          <a:cxnSpLocks noChangeShapeType="1"/>
        </xdr:cNvCxnSpPr>
      </xdr:nvCxnSpPr>
      <xdr:spPr bwMode="auto">
        <a:xfrm rot="5400000">
          <a:off x="2933700" y="1187450"/>
          <a:ext cx="685800" cy="1397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25</xdr:col>
      <xdr:colOff>56516</xdr:colOff>
      <xdr:row>5</xdr:row>
      <xdr:rowOff>0</xdr:rowOff>
    </xdr:from>
    <xdr:to>
      <xdr:col>38</xdr:col>
      <xdr:colOff>56566</xdr:colOff>
      <xdr:row>9</xdr:row>
      <xdr:rowOff>82112</xdr:rowOff>
    </xdr:to>
    <xdr:sp macro="" textlink="">
      <xdr:nvSpPr>
        <xdr:cNvPr id="226" name="TextBox 316">
          <a:extLst>
            <a:ext uri="{FF2B5EF4-FFF2-40B4-BE49-F238E27FC236}">
              <a16:creationId xmlns="" xmlns:a16="http://schemas.microsoft.com/office/drawing/2014/main" id="{00000000-0008-0000-2500-0000E2000000}"/>
            </a:ext>
          </a:extLst>
        </xdr:cNvPr>
        <xdr:cNvSpPr txBox="1"/>
      </xdr:nvSpPr>
      <xdr:spPr>
        <a:xfrm>
          <a:off x="4067176" y="571500"/>
          <a:ext cx="1495424" cy="54292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0"/>
            <a:t>Poutre pour supporter les dalots</a:t>
          </a:r>
          <a:r>
            <a:rPr lang="en-GB" sz="1100" b="0" baseline="0"/>
            <a:t> </a:t>
          </a:r>
          <a:r>
            <a:rPr lang="en-GB" sz="1100" b="0"/>
            <a:t>20x15cm</a:t>
          </a:r>
        </a:p>
      </xdr:txBody>
    </xdr:sp>
    <xdr:clientData/>
  </xdr:twoCellAnchor>
  <xdr:twoCellAnchor>
    <xdr:from>
      <xdr:col>28</xdr:col>
      <xdr:colOff>57150</xdr:colOff>
      <xdr:row>12</xdr:row>
      <xdr:rowOff>19050</xdr:rowOff>
    </xdr:from>
    <xdr:to>
      <xdr:col>28</xdr:col>
      <xdr:colOff>57150</xdr:colOff>
      <xdr:row>21</xdr:row>
      <xdr:rowOff>50800</xdr:rowOff>
    </xdr:to>
    <xdr:cxnSp macro="">
      <xdr:nvCxnSpPr>
        <xdr:cNvPr id="890976" name="Straight Connector 318">
          <a:extLst>
            <a:ext uri="{FF2B5EF4-FFF2-40B4-BE49-F238E27FC236}">
              <a16:creationId xmlns="" xmlns:a16="http://schemas.microsoft.com/office/drawing/2014/main" id="{00000000-0008-0000-2500-000060980D00}"/>
            </a:ext>
          </a:extLst>
        </xdr:cNvPr>
        <xdr:cNvCxnSpPr>
          <a:cxnSpLocks noChangeShapeType="1"/>
        </xdr:cNvCxnSpPr>
      </xdr:nvCxnSpPr>
      <xdr:spPr bwMode="auto">
        <a:xfrm rot="16200000" flipH="1">
          <a:off x="3844925" y="1920875"/>
          <a:ext cx="106045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39</xdr:col>
      <xdr:colOff>6350</xdr:colOff>
      <xdr:row>11</xdr:row>
      <xdr:rowOff>6350</xdr:rowOff>
    </xdr:from>
    <xdr:to>
      <xdr:col>47</xdr:col>
      <xdr:colOff>38100</xdr:colOff>
      <xdr:row>11</xdr:row>
      <xdr:rowOff>6350</xdr:rowOff>
    </xdr:to>
    <xdr:cxnSp macro="">
      <xdr:nvCxnSpPr>
        <xdr:cNvPr id="890977" name="Straight Arrow Connector 323">
          <a:extLst>
            <a:ext uri="{FF2B5EF4-FFF2-40B4-BE49-F238E27FC236}">
              <a16:creationId xmlns="" xmlns:a16="http://schemas.microsoft.com/office/drawing/2014/main" id="{00000000-0008-0000-2500-000061980D00}"/>
            </a:ext>
          </a:extLst>
        </xdr:cNvPr>
        <xdr:cNvCxnSpPr>
          <a:cxnSpLocks noChangeShapeType="1"/>
        </xdr:cNvCxnSpPr>
      </xdr:nvCxnSpPr>
      <xdr:spPr bwMode="auto">
        <a:xfrm>
          <a:off x="5581650" y="1263650"/>
          <a:ext cx="94615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42</xdr:col>
      <xdr:colOff>0</xdr:colOff>
      <xdr:row>8</xdr:row>
      <xdr:rowOff>57785</xdr:rowOff>
    </xdr:from>
    <xdr:to>
      <xdr:col>46</xdr:col>
      <xdr:colOff>56723</xdr:colOff>
      <xdr:row>10</xdr:row>
      <xdr:rowOff>84628</xdr:rowOff>
    </xdr:to>
    <xdr:sp macro="" textlink="">
      <xdr:nvSpPr>
        <xdr:cNvPr id="229" name="TextBox 324">
          <a:extLst>
            <a:ext uri="{FF2B5EF4-FFF2-40B4-BE49-F238E27FC236}">
              <a16:creationId xmlns="" xmlns:a16="http://schemas.microsoft.com/office/drawing/2014/main" id="{00000000-0008-0000-2500-0000E5000000}"/>
            </a:ext>
          </a:extLst>
        </xdr:cNvPr>
        <xdr:cNvSpPr txBox="1"/>
      </xdr:nvSpPr>
      <xdr:spPr>
        <a:xfrm>
          <a:off x="5934075" y="990600"/>
          <a:ext cx="533400" cy="238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t>100</a:t>
          </a:r>
        </a:p>
      </xdr:txBody>
    </xdr:sp>
    <xdr:clientData/>
  </xdr:twoCellAnchor>
  <xdr:twoCellAnchor>
    <xdr:from>
      <xdr:col>19</xdr:col>
      <xdr:colOff>19050</xdr:colOff>
      <xdr:row>12</xdr:row>
      <xdr:rowOff>31750</xdr:rowOff>
    </xdr:from>
    <xdr:to>
      <xdr:col>19</xdr:col>
      <xdr:colOff>19050</xdr:colOff>
      <xdr:row>21</xdr:row>
      <xdr:rowOff>57150</xdr:rowOff>
    </xdr:to>
    <xdr:cxnSp macro="">
      <xdr:nvCxnSpPr>
        <xdr:cNvPr id="890979" name="Straight Connector 318">
          <a:extLst>
            <a:ext uri="{FF2B5EF4-FFF2-40B4-BE49-F238E27FC236}">
              <a16:creationId xmlns="" xmlns:a16="http://schemas.microsoft.com/office/drawing/2014/main" id="{00000000-0008-0000-2500-000063980D00}"/>
            </a:ext>
          </a:extLst>
        </xdr:cNvPr>
        <xdr:cNvCxnSpPr>
          <a:cxnSpLocks noChangeShapeType="1"/>
        </xdr:cNvCxnSpPr>
      </xdr:nvCxnSpPr>
      <xdr:spPr bwMode="auto">
        <a:xfrm rot="16200000" flipH="1">
          <a:off x="2781300" y="1930400"/>
          <a:ext cx="10541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18</xdr:col>
      <xdr:colOff>57150</xdr:colOff>
      <xdr:row>12</xdr:row>
      <xdr:rowOff>63500</xdr:rowOff>
    </xdr:from>
    <xdr:to>
      <xdr:col>18</xdr:col>
      <xdr:colOff>57150</xdr:colOff>
      <xdr:row>23</xdr:row>
      <xdr:rowOff>31750</xdr:rowOff>
    </xdr:to>
    <xdr:cxnSp macro="">
      <xdr:nvCxnSpPr>
        <xdr:cNvPr id="890980" name="Straight Connector 267">
          <a:extLst>
            <a:ext uri="{FF2B5EF4-FFF2-40B4-BE49-F238E27FC236}">
              <a16:creationId xmlns="" xmlns:a16="http://schemas.microsoft.com/office/drawing/2014/main" id="{00000000-0008-0000-2500-000064980D00}"/>
            </a:ext>
          </a:extLst>
        </xdr:cNvPr>
        <xdr:cNvCxnSpPr>
          <a:cxnSpLocks noChangeShapeType="1"/>
        </xdr:cNvCxnSpPr>
      </xdr:nvCxnSpPr>
      <xdr:spPr bwMode="auto">
        <a:xfrm rot="16200000" flipH="1">
          <a:off x="2619375" y="2047875"/>
          <a:ext cx="1225550" cy="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19</xdr:col>
      <xdr:colOff>63500</xdr:colOff>
      <xdr:row>13</xdr:row>
      <xdr:rowOff>31750</xdr:rowOff>
    </xdr:from>
    <xdr:to>
      <xdr:col>19</xdr:col>
      <xdr:colOff>88900</xdr:colOff>
      <xdr:row>23</xdr:row>
      <xdr:rowOff>57150</xdr:rowOff>
    </xdr:to>
    <xdr:cxnSp macro="">
      <xdr:nvCxnSpPr>
        <xdr:cNvPr id="890981" name="Straight Connector 267">
          <a:extLst>
            <a:ext uri="{FF2B5EF4-FFF2-40B4-BE49-F238E27FC236}">
              <a16:creationId xmlns="" xmlns:a16="http://schemas.microsoft.com/office/drawing/2014/main" id="{00000000-0008-0000-2500-000065980D00}"/>
            </a:ext>
          </a:extLst>
        </xdr:cNvPr>
        <xdr:cNvCxnSpPr>
          <a:cxnSpLocks noChangeShapeType="1"/>
        </xdr:cNvCxnSpPr>
      </xdr:nvCxnSpPr>
      <xdr:spPr bwMode="auto">
        <a:xfrm rot="16200000" flipH="1">
          <a:off x="2781300" y="2089150"/>
          <a:ext cx="1168400" cy="2540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39</xdr:col>
      <xdr:colOff>50800</xdr:colOff>
      <xdr:row>12</xdr:row>
      <xdr:rowOff>38100</xdr:rowOff>
    </xdr:from>
    <xdr:to>
      <xdr:col>39</xdr:col>
      <xdr:colOff>63500</xdr:colOff>
      <xdr:row>23</xdr:row>
      <xdr:rowOff>38100</xdr:rowOff>
    </xdr:to>
    <xdr:cxnSp macro="">
      <xdr:nvCxnSpPr>
        <xdr:cNvPr id="890982" name="Straight Connector 266">
          <a:extLst>
            <a:ext uri="{FF2B5EF4-FFF2-40B4-BE49-F238E27FC236}">
              <a16:creationId xmlns="" xmlns:a16="http://schemas.microsoft.com/office/drawing/2014/main" id="{00000000-0008-0000-2500-000066980D00}"/>
            </a:ext>
          </a:extLst>
        </xdr:cNvPr>
        <xdr:cNvCxnSpPr>
          <a:cxnSpLocks noChangeShapeType="1"/>
        </xdr:cNvCxnSpPr>
      </xdr:nvCxnSpPr>
      <xdr:spPr bwMode="auto">
        <a:xfrm rot="16200000" flipH="1">
          <a:off x="5003800" y="2032000"/>
          <a:ext cx="1257300" cy="1270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38</xdr:col>
      <xdr:colOff>31750</xdr:colOff>
      <xdr:row>12</xdr:row>
      <xdr:rowOff>19050</xdr:rowOff>
    </xdr:from>
    <xdr:to>
      <xdr:col>38</xdr:col>
      <xdr:colOff>38100</xdr:colOff>
      <xdr:row>23</xdr:row>
      <xdr:rowOff>50800</xdr:rowOff>
    </xdr:to>
    <xdr:cxnSp macro="">
      <xdr:nvCxnSpPr>
        <xdr:cNvPr id="890983" name="Straight Connector 267">
          <a:extLst>
            <a:ext uri="{FF2B5EF4-FFF2-40B4-BE49-F238E27FC236}">
              <a16:creationId xmlns="" xmlns:a16="http://schemas.microsoft.com/office/drawing/2014/main" id="{00000000-0008-0000-2500-000067980D00}"/>
            </a:ext>
          </a:extLst>
        </xdr:cNvPr>
        <xdr:cNvCxnSpPr>
          <a:cxnSpLocks noChangeShapeType="1"/>
        </xdr:cNvCxnSpPr>
      </xdr:nvCxnSpPr>
      <xdr:spPr bwMode="auto">
        <a:xfrm rot="16200000" flipH="1">
          <a:off x="4851400" y="2032000"/>
          <a:ext cx="1289050" cy="635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27</xdr:col>
      <xdr:colOff>63500</xdr:colOff>
      <xdr:row>8</xdr:row>
      <xdr:rowOff>57150</xdr:rowOff>
    </xdr:from>
    <xdr:to>
      <xdr:col>28</xdr:col>
      <xdr:colOff>88900</xdr:colOff>
      <xdr:row>12</xdr:row>
      <xdr:rowOff>50800</xdr:rowOff>
    </xdr:to>
    <xdr:cxnSp macro="">
      <xdr:nvCxnSpPr>
        <xdr:cNvPr id="890984" name="Straight Arrow Connector 315">
          <a:extLst>
            <a:ext uri="{FF2B5EF4-FFF2-40B4-BE49-F238E27FC236}">
              <a16:creationId xmlns="" xmlns:a16="http://schemas.microsoft.com/office/drawing/2014/main" id="{00000000-0008-0000-2500-000068980D00}"/>
            </a:ext>
          </a:extLst>
        </xdr:cNvPr>
        <xdr:cNvCxnSpPr>
          <a:cxnSpLocks noChangeShapeType="1"/>
        </xdr:cNvCxnSpPr>
      </xdr:nvCxnSpPr>
      <xdr:spPr bwMode="auto">
        <a:xfrm rot="5400000">
          <a:off x="4111625" y="1127125"/>
          <a:ext cx="450850" cy="1397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13</xdr:col>
      <xdr:colOff>4444</xdr:colOff>
      <xdr:row>5</xdr:row>
      <xdr:rowOff>20320</xdr:rowOff>
    </xdr:from>
    <xdr:to>
      <xdr:col>23</xdr:col>
      <xdr:colOff>56697</xdr:colOff>
      <xdr:row>8</xdr:row>
      <xdr:rowOff>79664</xdr:rowOff>
    </xdr:to>
    <xdr:sp macro="" textlink="">
      <xdr:nvSpPr>
        <xdr:cNvPr id="236" name="Text Box 530">
          <a:extLst>
            <a:ext uri="{FF2B5EF4-FFF2-40B4-BE49-F238E27FC236}">
              <a16:creationId xmlns="" xmlns:a16="http://schemas.microsoft.com/office/drawing/2014/main" id="{00000000-0008-0000-2500-0000EC000000}"/>
            </a:ext>
          </a:extLst>
        </xdr:cNvPr>
        <xdr:cNvSpPr txBox="1">
          <a:spLocks noChangeArrowheads="1"/>
        </xdr:cNvSpPr>
      </xdr:nvSpPr>
      <xdr:spPr bwMode="auto">
        <a:xfrm>
          <a:off x="2657474" y="600075"/>
          <a:ext cx="1181101" cy="4000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ctr" rtl="0">
            <a:defRPr sz="1000"/>
          </a:pPr>
          <a:r>
            <a:rPr lang="fr-FR" sz="1000" b="0" i="0" strike="noStrike">
              <a:solidFill>
                <a:srgbClr val="000000"/>
              </a:solidFill>
              <a:latin typeface="Arial"/>
              <a:cs typeface="Arial"/>
            </a:rPr>
            <a:t>Mur de separation en brics</a:t>
          </a:r>
        </a:p>
      </xdr:txBody>
    </xdr:sp>
    <xdr:clientData/>
  </xdr:twoCellAnchor>
  <xdr:twoCellAnchor>
    <xdr:from>
      <xdr:col>19</xdr:col>
      <xdr:colOff>57150</xdr:colOff>
      <xdr:row>8</xdr:row>
      <xdr:rowOff>57150</xdr:rowOff>
    </xdr:from>
    <xdr:to>
      <xdr:col>19</xdr:col>
      <xdr:colOff>57150</xdr:colOff>
      <xdr:row>13</xdr:row>
      <xdr:rowOff>19050</xdr:rowOff>
    </xdr:to>
    <xdr:cxnSp macro="">
      <xdr:nvCxnSpPr>
        <xdr:cNvPr id="890986" name="Straight Arrow Connector 315">
          <a:extLst>
            <a:ext uri="{FF2B5EF4-FFF2-40B4-BE49-F238E27FC236}">
              <a16:creationId xmlns="" xmlns:a16="http://schemas.microsoft.com/office/drawing/2014/main" id="{00000000-0008-0000-2500-00006A980D00}"/>
            </a:ext>
          </a:extLst>
        </xdr:cNvPr>
        <xdr:cNvCxnSpPr>
          <a:cxnSpLocks noChangeShapeType="1"/>
        </xdr:cNvCxnSpPr>
      </xdr:nvCxnSpPr>
      <xdr:spPr bwMode="auto">
        <a:xfrm rot="16200000" flipH="1">
          <a:off x="3079750" y="1238250"/>
          <a:ext cx="533400" cy="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29</xdr:col>
      <xdr:colOff>6350</xdr:colOff>
      <xdr:row>9</xdr:row>
      <xdr:rowOff>0</xdr:rowOff>
    </xdr:from>
    <xdr:to>
      <xdr:col>29</xdr:col>
      <xdr:colOff>19050</xdr:colOff>
      <xdr:row>12</xdr:row>
      <xdr:rowOff>31750</xdr:rowOff>
    </xdr:to>
    <xdr:cxnSp macro="">
      <xdr:nvCxnSpPr>
        <xdr:cNvPr id="890987" name="Straight Arrow Connector 315">
          <a:extLst>
            <a:ext uri="{FF2B5EF4-FFF2-40B4-BE49-F238E27FC236}">
              <a16:creationId xmlns="" xmlns:a16="http://schemas.microsoft.com/office/drawing/2014/main" id="{00000000-0008-0000-2500-00006B980D00}"/>
            </a:ext>
          </a:extLst>
        </xdr:cNvPr>
        <xdr:cNvCxnSpPr>
          <a:cxnSpLocks noChangeShapeType="1"/>
        </xdr:cNvCxnSpPr>
      </xdr:nvCxnSpPr>
      <xdr:spPr bwMode="auto">
        <a:xfrm rot="5400000">
          <a:off x="4257675" y="1209675"/>
          <a:ext cx="374650" cy="127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19050</xdr:colOff>
      <xdr:row>20</xdr:row>
      <xdr:rowOff>31750</xdr:rowOff>
    </xdr:from>
    <xdr:to>
      <xdr:col>15</xdr:col>
      <xdr:colOff>19050</xdr:colOff>
      <xdr:row>22</xdr:row>
      <xdr:rowOff>88900</xdr:rowOff>
    </xdr:to>
    <xdr:cxnSp macro="">
      <xdr:nvCxnSpPr>
        <xdr:cNvPr id="890988" name="Connecteur droit avec flèche 238">
          <a:extLst>
            <a:ext uri="{FF2B5EF4-FFF2-40B4-BE49-F238E27FC236}">
              <a16:creationId xmlns="" xmlns:a16="http://schemas.microsoft.com/office/drawing/2014/main" id="{00000000-0008-0000-2500-00006C980D00}"/>
            </a:ext>
          </a:extLst>
        </xdr:cNvPr>
        <xdr:cNvCxnSpPr>
          <a:cxnSpLocks noChangeShapeType="1"/>
        </xdr:cNvCxnSpPr>
      </xdr:nvCxnSpPr>
      <xdr:spPr bwMode="auto">
        <a:xfrm>
          <a:off x="984250" y="2317750"/>
          <a:ext cx="1866900" cy="285750"/>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xdr:col>
      <xdr:colOff>2222</xdr:colOff>
      <xdr:row>16</xdr:row>
      <xdr:rowOff>86045</xdr:rowOff>
    </xdr:from>
    <xdr:to>
      <xdr:col>3</xdr:col>
      <xdr:colOff>201976</xdr:colOff>
      <xdr:row>20</xdr:row>
      <xdr:rowOff>45740</xdr:rowOff>
    </xdr:to>
    <xdr:sp macro="" textlink="">
      <xdr:nvSpPr>
        <xdr:cNvPr id="240" name="ZoneTexte 239">
          <a:extLst>
            <a:ext uri="{FF2B5EF4-FFF2-40B4-BE49-F238E27FC236}">
              <a16:creationId xmlns="" xmlns:a16="http://schemas.microsoft.com/office/drawing/2014/main" id="{00000000-0008-0000-2500-0000F0000000}"/>
            </a:ext>
          </a:extLst>
        </xdr:cNvPr>
        <xdr:cNvSpPr txBox="1"/>
      </xdr:nvSpPr>
      <xdr:spPr>
        <a:xfrm rot="5400000">
          <a:off x="542924" y="1657353"/>
          <a:ext cx="409575" cy="990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vert270" wrap="square" rtlCol="0" anchor="t"/>
        <a:lstStyle/>
        <a:p>
          <a:pPr algn="ctr">
            <a:lnSpc>
              <a:spcPts val="900"/>
            </a:lnSpc>
          </a:pPr>
          <a:r>
            <a:rPr lang="en-GB" sz="1050" b="1"/>
            <a:t>Tuyau</a:t>
          </a:r>
          <a:r>
            <a:rPr lang="en-GB" sz="1050" b="1" baseline="0"/>
            <a:t> de ventilation PVC160</a:t>
          </a:r>
          <a:endParaRPr lang="en-GB" sz="1050" b="1"/>
        </a:p>
      </xdr:txBody>
    </xdr:sp>
    <xdr:clientData/>
  </xdr:twoCellAnchor>
  <xdr:twoCellAnchor>
    <xdr:from>
      <xdr:col>62</xdr:col>
      <xdr:colOff>19050</xdr:colOff>
      <xdr:row>35</xdr:row>
      <xdr:rowOff>76200</xdr:rowOff>
    </xdr:from>
    <xdr:to>
      <xdr:col>90</xdr:col>
      <xdr:colOff>57150</xdr:colOff>
      <xdr:row>75</xdr:row>
      <xdr:rowOff>88900</xdr:rowOff>
    </xdr:to>
    <xdr:grpSp>
      <xdr:nvGrpSpPr>
        <xdr:cNvPr id="890990" name="Groupe 240">
          <a:extLst>
            <a:ext uri="{FF2B5EF4-FFF2-40B4-BE49-F238E27FC236}">
              <a16:creationId xmlns="" xmlns:a16="http://schemas.microsoft.com/office/drawing/2014/main" id="{00000000-0008-0000-2500-00006E980D00}"/>
            </a:ext>
          </a:extLst>
        </xdr:cNvPr>
        <xdr:cNvGrpSpPr>
          <a:grpSpLocks/>
        </xdr:cNvGrpSpPr>
      </xdr:nvGrpSpPr>
      <xdr:grpSpPr bwMode="auto">
        <a:xfrm>
          <a:off x="8223250" y="4076700"/>
          <a:ext cx="3238500" cy="4584700"/>
          <a:chOff x="9553576" y="2533650"/>
          <a:chExt cx="3257549" cy="4581525"/>
        </a:xfrm>
      </xdr:grpSpPr>
      <xdr:sp macro="" textlink="">
        <xdr:nvSpPr>
          <xdr:cNvPr id="242" name="Rectangle 241">
            <a:extLst>
              <a:ext uri="{FF2B5EF4-FFF2-40B4-BE49-F238E27FC236}">
                <a16:creationId xmlns="" xmlns:a16="http://schemas.microsoft.com/office/drawing/2014/main" id="{00000000-0008-0000-2500-0000F2000000}"/>
              </a:ext>
            </a:extLst>
          </xdr:cNvPr>
          <xdr:cNvSpPr/>
        </xdr:nvSpPr>
        <xdr:spPr bwMode="auto">
          <a:xfrm>
            <a:off x="10217861" y="3422034"/>
            <a:ext cx="1826782" cy="710707"/>
          </a:xfrm>
          <a:prstGeom prst="rect">
            <a:avLst/>
          </a:prstGeom>
          <a:blipFill>
            <a:blip xmlns:r="http://schemas.openxmlformats.org/officeDocument/2006/relationships" r:embed="rId11" cstate="print"/>
            <a:tile tx="0" ty="0" sx="100000" sy="100000" flip="none" algn="tl"/>
          </a:blip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243" name="Text Box 530">
            <a:extLst>
              <a:ext uri="{FF2B5EF4-FFF2-40B4-BE49-F238E27FC236}">
                <a16:creationId xmlns="" xmlns:a16="http://schemas.microsoft.com/office/drawing/2014/main" id="{00000000-0008-0000-2500-0000F3000000}"/>
              </a:ext>
            </a:extLst>
          </xdr:cNvPr>
          <xdr:cNvSpPr txBox="1">
            <a:spLocks noChangeArrowheads="1"/>
          </xdr:cNvSpPr>
        </xdr:nvSpPr>
        <xdr:spPr bwMode="auto">
          <a:xfrm>
            <a:off x="9872944" y="4545206"/>
            <a:ext cx="2938181" cy="425155"/>
          </a:xfrm>
          <a:prstGeom prst="rect">
            <a:avLst/>
          </a:prstGeom>
          <a:noFill/>
          <a:ln w="9525">
            <a:noFill/>
            <a:miter lim="800000"/>
            <a:headEnd/>
            <a:tailEnd/>
          </a:ln>
        </xdr:spPr>
        <xdr:txBody>
          <a:bodyPr vertOverflow="clip" wrap="square" lIns="27432" tIns="22860" rIns="0" bIns="0" anchor="ctr" upright="1"/>
          <a:lstStyle/>
          <a:p>
            <a:pPr algn="l" rtl="0">
              <a:defRPr sz="1000"/>
            </a:pPr>
            <a:r>
              <a:rPr lang="fr-FR" sz="1200" b="1" i="0" strike="noStrike">
                <a:solidFill>
                  <a:srgbClr val="000000"/>
                </a:solidFill>
                <a:latin typeface="Arial"/>
                <a:cs typeface="Arial"/>
              </a:rPr>
              <a:t>Détails</a:t>
            </a:r>
            <a:r>
              <a:rPr lang="fr-FR" sz="1200" b="1" i="0" strike="noStrike" baseline="0">
                <a:solidFill>
                  <a:srgbClr val="000000"/>
                </a:solidFill>
                <a:latin typeface="Arial"/>
                <a:cs typeface="Arial"/>
              </a:rPr>
              <a:t> </a:t>
            </a:r>
            <a:r>
              <a:rPr lang="fr-FR" sz="1200" b="1" i="0" strike="noStrike">
                <a:solidFill>
                  <a:srgbClr val="000000"/>
                </a:solidFill>
                <a:latin typeface="Arial"/>
                <a:cs typeface="Arial"/>
              </a:rPr>
              <a:t>dalots amovibles Intermediaires</a:t>
            </a:r>
          </a:p>
        </xdr:txBody>
      </xdr:sp>
      <xdr:cxnSp macro="">
        <xdr:nvCxnSpPr>
          <xdr:cNvPr id="891200" name="Straight Arrow Connector 310">
            <a:extLst>
              <a:ext uri="{FF2B5EF4-FFF2-40B4-BE49-F238E27FC236}">
                <a16:creationId xmlns="" xmlns:a16="http://schemas.microsoft.com/office/drawing/2014/main" id="{00000000-0008-0000-2500-000040990D00}"/>
              </a:ext>
            </a:extLst>
          </xdr:cNvPr>
          <xdr:cNvCxnSpPr>
            <a:cxnSpLocks noChangeShapeType="1"/>
          </xdr:cNvCxnSpPr>
        </xdr:nvCxnSpPr>
        <xdr:spPr bwMode="auto">
          <a:xfrm flipV="1">
            <a:off x="10220325" y="3200400"/>
            <a:ext cx="1809750" cy="9525"/>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xnSp macro="">
        <xdr:nvCxnSpPr>
          <xdr:cNvPr id="891201" name="Straight Arrow Connector 313">
            <a:extLst>
              <a:ext uri="{FF2B5EF4-FFF2-40B4-BE49-F238E27FC236}">
                <a16:creationId xmlns="" xmlns:a16="http://schemas.microsoft.com/office/drawing/2014/main" id="{00000000-0008-0000-2500-000041990D00}"/>
              </a:ext>
            </a:extLst>
          </xdr:cNvPr>
          <xdr:cNvCxnSpPr>
            <a:cxnSpLocks noChangeShapeType="1"/>
          </xdr:cNvCxnSpPr>
        </xdr:nvCxnSpPr>
        <xdr:spPr bwMode="auto">
          <a:xfrm rot="5400000">
            <a:off x="9644063" y="3786187"/>
            <a:ext cx="695325" cy="1588"/>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246" name="TextBox 325">
            <a:extLst>
              <a:ext uri="{FF2B5EF4-FFF2-40B4-BE49-F238E27FC236}">
                <a16:creationId xmlns="" xmlns:a16="http://schemas.microsoft.com/office/drawing/2014/main" id="{00000000-0008-0000-2500-0000F6000000}"/>
              </a:ext>
            </a:extLst>
          </xdr:cNvPr>
          <xdr:cNvSpPr txBox="1"/>
        </xdr:nvSpPr>
        <xdr:spPr>
          <a:xfrm>
            <a:off x="9745197" y="5655686"/>
            <a:ext cx="459889" cy="3426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30 </a:t>
            </a:r>
          </a:p>
        </xdr:txBody>
      </xdr:sp>
      <xdr:sp macro="" textlink="">
        <xdr:nvSpPr>
          <xdr:cNvPr id="247" name="Rectangle 246">
            <a:extLst>
              <a:ext uri="{FF2B5EF4-FFF2-40B4-BE49-F238E27FC236}">
                <a16:creationId xmlns="" xmlns:a16="http://schemas.microsoft.com/office/drawing/2014/main" id="{00000000-0008-0000-2500-0000F7000000}"/>
              </a:ext>
            </a:extLst>
          </xdr:cNvPr>
          <xdr:cNvSpPr/>
        </xdr:nvSpPr>
        <xdr:spPr bwMode="auto">
          <a:xfrm>
            <a:off x="10224248" y="5465318"/>
            <a:ext cx="1839557" cy="723399"/>
          </a:xfrm>
          <a:prstGeom prst="rect">
            <a:avLst/>
          </a:prstGeom>
          <a:blipFill>
            <a:blip xmlns:r="http://schemas.openxmlformats.org/officeDocument/2006/relationships" r:embed="rId11" cstate="print"/>
            <a:tile tx="0" ty="0" sx="100000" sy="100000" flip="none" algn="tl"/>
          </a:blip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xnSp macro="">
        <xdr:nvCxnSpPr>
          <xdr:cNvPr id="891204" name="Straight Arrow Connector 327">
            <a:extLst>
              <a:ext uri="{FF2B5EF4-FFF2-40B4-BE49-F238E27FC236}">
                <a16:creationId xmlns="" xmlns:a16="http://schemas.microsoft.com/office/drawing/2014/main" id="{00000000-0008-0000-2500-000044990D00}"/>
              </a:ext>
            </a:extLst>
          </xdr:cNvPr>
          <xdr:cNvCxnSpPr>
            <a:cxnSpLocks noChangeShapeType="1"/>
          </xdr:cNvCxnSpPr>
        </xdr:nvCxnSpPr>
        <xdr:spPr bwMode="auto">
          <a:xfrm flipV="1">
            <a:off x="10191750" y="5219700"/>
            <a:ext cx="1895475" cy="1"/>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249" name="TextBox 328">
            <a:extLst>
              <a:ext uri="{FF2B5EF4-FFF2-40B4-BE49-F238E27FC236}">
                <a16:creationId xmlns="" xmlns:a16="http://schemas.microsoft.com/office/drawing/2014/main" id="{00000000-0008-0000-2500-0000F9000000}"/>
              </a:ext>
            </a:extLst>
          </xdr:cNvPr>
          <xdr:cNvSpPr txBox="1"/>
        </xdr:nvSpPr>
        <xdr:spPr>
          <a:xfrm>
            <a:off x="10869370" y="4913251"/>
            <a:ext cx="504601" cy="3236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80</a:t>
            </a:r>
          </a:p>
        </xdr:txBody>
      </xdr:sp>
      <xdr:cxnSp macro="">
        <xdr:nvCxnSpPr>
          <xdr:cNvPr id="891206" name="Straight Arrow Connector 329">
            <a:extLst>
              <a:ext uri="{FF2B5EF4-FFF2-40B4-BE49-F238E27FC236}">
                <a16:creationId xmlns="" xmlns:a16="http://schemas.microsoft.com/office/drawing/2014/main" id="{00000000-0008-0000-2500-000046990D00}"/>
              </a:ext>
            </a:extLst>
          </xdr:cNvPr>
          <xdr:cNvCxnSpPr>
            <a:cxnSpLocks noChangeShapeType="1"/>
          </xdr:cNvCxnSpPr>
        </xdr:nvCxnSpPr>
        <xdr:spPr bwMode="auto">
          <a:xfrm rot="5400000">
            <a:off x="9634538" y="5815013"/>
            <a:ext cx="714375" cy="1588"/>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251" name="Text Box 530">
            <a:extLst>
              <a:ext uri="{FF2B5EF4-FFF2-40B4-BE49-F238E27FC236}">
                <a16:creationId xmlns="" xmlns:a16="http://schemas.microsoft.com/office/drawing/2014/main" id="{00000000-0008-0000-2500-0000FB000000}"/>
              </a:ext>
            </a:extLst>
          </xdr:cNvPr>
          <xdr:cNvSpPr txBox="1">
            <a:spLocks noChangeArrowheads="1"/>
          </xdr:cNvSpPr>
        </xdr:nvSpPr>
        <xdr:spPr bwMode="auto">
          <a:xfrm>
            <a:off x="9757971" y="2533650"/>
            <a:ext cx="2938181" cy="393427"/>
          </a:xfrm>
          <a:prstGeom prst="rect">
            <a:avLst/>
          </a:prstGeom>
          <a:noFill/>
          <a:ln w="9525">
            <a:noFill/>
            <a:miter lim="800000"/>
            <a:headEnd/>
            <a:tailEnd/>
          </a:ln>
        </xdr:spPr>
        <xdr:txBody>
          <a:bodyPr vertOverflow="clip" wrap="square" lIns="27432" tIns="22860" rIns="0" bIns="0" anchor="ctr" upright="1"/>
          <a:lstStyle/>
          <a:p>
            <a:pPr algn="l" rtl="0">
              <a:defRPr sz="1000"/>
            </a:pPr>
            <a:r>
              <a:rPr lang="fr-FR" sz="1200" b="1" i="0" strike="noStrike">
                <a:solidFill>
                  <a:srgbClr val="000000"/>
                </a:solidFill>
                <a:latin typeface="Arial"/>
                <a:cs typeface="Arial"/>
              </a:rPr>
              <a:t>Détails</a:t>
            </a:r>
            <a:r>
              <a:rPr lang="fr-FR" sz="1200" b="1" i="0" strike="noStrike" baseline="0">
                <a:solidFill>
                  <a:srgbClr val="000000"/>
                </a:solidFill>
                <a:latin typeface="Arial"/>
                <a:cs typeface="Arial"/>
              </a:rPr>
              <a:t> </a:t>
            </a:r>
            <a:r>
              <a:rPr lang="fr-FR" sz="1200" b="1" i="0" strike="noStrike">
                <a:solidFill>
                  <a:srgbClr val="000000"/>
                </a:solidFill>
                <a:latin typeface="Arial"/>
                <a:cs typeface="Arial"/>
              </a:rPr>
              <a:t>dalots amovibles Extremes</a:t>
            </a:r>
          </a:p>
        </xdr:txBody>
      </xdr:sp>
      <xdr:sp macro="" textlink="">
        <xdr:nvSpPr>
          <xdr:cNvPr id="252" name="TextBox 332">
            <a:extLst>
              <a:ext uri="{FF2B5EF4-FFF2-40B4-BE49-F238E27FC236}">
                <a16:creationId xmlns="" xmlns:a16="http://schemas.microsoft.com/office/drawing/2014/main" id="{00000000-0008-0000-2500-0000FC000000}"/>
              </a:ext>
            </a:extLst>
          </xdr:cNvPr>
          <xdr:cNvSpPr txBox="1"/>
        </xdr:nvSpPr>
        <xdr:spPr>
          <a:xfrm>
            <a:off x="9553576" y="3612402"/>
            <a:ext cx="555700" cy="3299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35cm</a:t>
            </a:r>
          </a:p>
        </xdr:txBody>
      </xdr:sp>
      <xdr:sp macro="" textlink="">
        <xdr:nvSpPr>
          <xdr:cNvPr id="253" name="Rectangle 252">
            <a:extLst>
              <a:ext uri="{FF2B5EF4-FFF2-40B4-BE49-F238E27FC236}">
                <a16:creationId xmlns="" xmlns:a16="http://schemas.microsoft.com/office/drawing/2014/main" id="{00000000-0008-0000-2500-0000FD000000}"/>
              </a:ext>
            </a:extLst>
          </xdr:cNvPr>
          <xdr:cNvSpPr/>
        </xdr:nvSpPr>
        <xdr:spPr bwMode="auto">
          <a:xfrm>
            <a:off x="10511679" y="3612402"/>
            <a:ext cx="51099" cy="285552"/>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254" name="Rectangle 253">
            <a:extLst>
              <a:ext uri="{FF2B5EF4-FFF2-40B4-BE49-F238E27FC236}">
                <a16:creationId xmlns="" xmlns:a16="http://schemas.microsoft.com/office/drawing/2014/main" id="{00000000-0008-0000-2500-0000FE000000}"/>
              </a:ext>
            </a:extLst>
          </xdr:cNvPr>
          <xdr:cNvSpPr/>
        </xdr:nvSpPr>
        <xdr:spPr bwMode="auto">
          <a:xfrm>
            <a:off x="11693339" y="3631439"/>
            <a:ext cx="44711" cy="272861"/>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255" name="Rectangle 254">
            <a:extLst>
              <a:ext uri="{FF2B5EF4-FFF2-40B4-BE49-F238E27FC236}">
                <a16:creationId xmlns="" xmlns:a16="http://schemas.microsoft.com/office/drawing/2014/main" id="{00000000-0008-0000-2500-0000FF000000}"/>
              </a:ext>
            </a:extLst>
          </xdr:cNvPr>
          <xdr:cNvSpPr/>
        </xdr:nvSpPr>
        <xdr:spPr bwMode="auto">
          <a:xfrm>
            <a:off x="10492517" y="5655686"/>
            <a:ext cx="57486" cy="247478"/>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256" name="Rectangle 255">
            <a:extLst>
              <a:ext uri="{FF2B5EF4-FFF2-40B4-BE49-F238E27FC236}">
                <a16:creationId xmlns="" xmlns:a16="http://schemas.microsoft.com/office/drawing/2014/main" id="{00000000-0008-0000-2500-000000010000}"/>
              </a:ext>
            </a:extLst>
          </xdr:cNvPr>
          <xdr:cNvSpPr/>
        </xdr:nvSpPr>
        <xdr:spPr bwMode="auto">
          <a:xfrm>
            <a:off x="11680564" y="5655686"/>
            <a:ext cx="44711" cy="266515"/>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xnSp macro="">
        <xdr:nvCxnSpPr>
          <xdr:cNvPr id="891213" name="Connecteur droit avec flèche 256">
            <a:extLst>
              <a:ext uri="{FF2B5EF4-FFF2-40B4-BE49-F238E27FC236}">
                <a16:creationId xmlns="" xmlns:a16="http://schemas.microsoft.com/office/drawing/2014/main" id="{00000000-0008-0000-2500-00004D990D00}"/>
              </a:ext>
            </a:extLst>
          </xdr:cNvPr>
          <xdr:cNvCxnSpPr>
            <a:cxnSpLocks noChangeShapeType="1"/>
            <a:endCxn id="255" idx="3"/>
          </xdr:cNvCxnSpPr>
        </xdr:nvCxnSpPr>
        <xdr:spPr bwMode="auto">
          <a:xfrm rot="10800000">
            <a:off x="10551794" y="5776914"/>
            <a:ext cx="802006" cy="852487"/>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xnSp macro="">
        <xdr:nvCxnSpPr>
          <xdr:cNvPr id="891214" name="Connecteur droit avec flèche 257">
            <a:extLst>
              <a:ext uri="{FF2B5EF4-FFF2-40B4-BE49-F238E27FC236}">
                <a16:creationId xmlns="" xmlns:a16="http://schemas.microsoft.com/office/drawing/2014/main" id="{00000000-0008-0000-2500-00004E990D00}"/>
              </a:ext>
            </a:extLst>
          </xdr:cNvPr>
          <xdr:cNvCxnSpPr>
            <a:cxnSpLocks noChangeShapeType="1"/>
          </xdr:cNvCxnSpPr>
        </xdr:nvCxnSpPr>
        <xdr:spPr bwMode="auto">
          <a:xfrm rot="5400000" flipH="1" flipV="1">
            <a:off x="11094244" y="6036469"/>
            <a:ext cx="804862" cy="3048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sp macro="" textlink="">
        <xdr:nvSpPr>
          <xdr:cNvPr id="259" name="TextBox 328">
            <a:extLst>
              <a:ext uri="{FF2B5EF4-FFF2-40B4-BE49-F238E27FC236}">
                <a16:creationId xmlns="" xmlns:a16="http://schemas.microsoft.com/office/drawing/2014/main" id="{00000000-0008-0000-2500-000003010000}"/>
              </a:ext>
            </a:extLst>
          </xdr:cNvPr>
          <xdr:cNvSpPr txBox="1"/>
        </xdr:nvSpPr>
        <xdr:spPr>
          <a:xfrm>
            <a:off x="10645813" y="6512343"/>
            <a:ext cx="1845944" cy="6028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GB" sz="1000" b="1"/>
              <a:t>Crochets sur dalots amovibles avec des fers de 8mm</a:t>
            </a:r>
          </a:p>
        </xdr:txBody>
      </xdr:sp>
    </xdr:grpSp>
    <xdr:clientData/>
  </xdr:twoCellAnchor>
  <xdr:twoCellAnchor>
    <xdr:from>
      <xdr:col>13</xdr:col>
      <xdr:colOff>50800</xdr:colOff>
      <xdr:row>121</xdr:row>
      <xdr:rowOff>50800</xdr:rowOff>
    </xdr:from>
    <xdr:to>
      <xdr:col>13</xdr:col>
      <xdr:colOff>50800</xdr:colOff>
      <xdr:row>124</xdr:row>
      <xdr:rowOff>6350</xdr:rowOff>
    </xdr:to>
    <xdr:cxnSp macro="">
      <xdr:nvCxnSpPr>
        <xdr:cNvPr id="890991" name="Connecteur droit 259">
          <a:extLst>
            <a:ext uri="{FF2B5EF4-FFF2-40B4-BE49-F238E27FC236}">
              <a16:creationId xmlns="" xmlns:a16="http://schemas.microsoft.com/office/drawing/2014/main" id="{00000000-0008-0000-2500-00006F980D00}"/>
            </a:ext>
          </a:extLst>
        </xdr:cNvPr>
        <xdr:cNvCxnSpPr>
          <a:cxnSpLocks noChangeShapeType="1"/>
        </xdr:cNvCxnSpPr>
      </xdr:nvCxnSpPr>
      <xdr:spPr bwMode="auto">
        <a:xfrm rot="5400000">
          <a:off x="2505075" y="14030325"/>
          <a:ext cx="29845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43</xdr:col>
      <xdr:colOff>19050</xdr:colOff>
      <xdr:row>123</xdr:row>
      <xdr:rowOff>6350</xdr:rowOff>
    </xdr:from>
    <xdr:to>
      <xdr:col>49</xdr:col>
      <xdr:colOff>6350</xdr:colOff>
      <xdr:row>123</xdr:row>
      <xdr:rowOff>6350</xdr:rowOff>
    </xdr:to>
    <xdr:sp macro="" textlink="">
      <xdr:nvSpPr>
        <xdr:cNvPr id="890992" name="Line 377">
          <a:extLst>
            <a:ext uri="{FF2B5EF4-FFF2-40B4-BE49-F238E27FC236}">
              <a16:creationId xmlns="" xmlns:a16="http://schemas.microsoft.com/office/drawing/2014/main" id="{00000000-0008-0000-2500-000070980D00}"/>
            </a:ext>
          </a:extLst>
        </xdr:cNvPr>
        <xdr:cNvSpPr>
          <a:spLocks noChangeShapeType="1"/>
        </xdr:cNvSpPr>
      </xdr:nvSpPr>
      <xdr:spPr bwMode="auto">
        <a:xfrm>
          <a:off x="6051550" y="14065250"/>
          <a:ext cx="673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49</xdr:col>
      <xdr:colOff>31750</xdr:colOff>
      <xdr:row>121</xdr:row>
      <xdr:rowOff>57150</xdr:rowOff>
    </xdr:from>
    <xdr:to>
      <xdr:col>49</xdr:col>
      <xdr:colOff>31750</xdr:colOff>
      <xdr:row>124</xdr:row>
      <xdr:rowOff>19050</xdr:rowOff>
    </xdr:to>
    <xdr:cxnSp macro="">
      <xdr:nvCxnSpPr>
        <xdr:cNvPr id="890993" name="Connecteur droit 261">
          <a:extLst>
            <a:ext uri="{FF2B5EF4-FFF2-40B4-BE49-F238E27FC236}">
              <a16:creationId xmlns="" xmlns:a16="http://schemas.microsoft.com/office/drawing/2014/main" id="{00000000-0008-0000-2500-000071980D00}"/>
            </a:ext>
          </a:extLst>
        </xdr:cNvPr>
        <xdr:cNvCxnSpPr>
          <a:cxnSpLocks noChangeShapeType="1"/>
        </xdr:cNvCxnSpPr>
      </xdr:nvCxnSpPr>
      <xdr:spPr bwMode="auto">
        <a:xfrm rot="5400000">
          <a:off x="6597650" y="14039850"/>
          <a:ext cx="30480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45</xdr:col>
      <xdr:colOff>57785</xdr:colOff>
      <xdr:row>121</xdr:row>
      <xdr:rowOff>60960</xdr:rowOff>
    </xdr:from>
    <xdr:to>
      <xdr:col>117</xdr:col>
      <xdr:colOff>60970</xdr:colOff>
      <xdr:row>133</xdr:row>
      <xdr:rowOff>114296</xdr:rowOff>
    </xdr:to>
    <xdr:sp macro="" textlink="">
      <xdr:nvSpPr>
        <xdr:cNvPr id="263" name="Text Box 355">
          <a:extLst>
            <a:ext uri="{FF2B5EF4-FFF2-40B4-BE49-F238E27FC236}">
              <a16:creationId xmlns="" xmlns:a16="http://schemas.microsoft.com/office/drawing/2014/main" id="{00000000-0008-0000-2500-000007010000}"/>
            </a:ext>
          </a:extLst>
        </xdr:cNvPr>
        <xdr:cNvSpPr txBox="1">
          <a:spLocks noChangeArrowheads="1"/>
        </xdr:cNvSpPr>
      </xdr:nvSpPr>
      <xdr:spPr bwMode="auto">
        <a:xfrm>
          <a:off x="6334125" y="13868400"/>
          <a:ext cx="7248525" cy="14478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50</a:t>
          </a:r>
        </a:p>
      </xdr:txBody>
    </xdr:sp>
    <xdr:clientData/>
  </xdr:twoCellAnchor>
  <xdr:twoCellAnchor editAs="oneCell">
    <xdr:from>
      <xdr:col>12</xdr:col>
      <xdr:colOff>0</xdr:colOff>
      <xdr:row>37</xdr:row>
      <xdr:rowOff>61595</xdr:rowOff>
    </xdr:from>
    <xdr:to>
      <xdr:col>21</xdr:col>
      <xdr:colOff>24816</xdr:colOff>
      <xdr:row>39</xdr:row>
      <xdr:rowOff>410</xdr:rowOff>
    </xdr:to>
    <xdr:sp macro="" textlink="">
      <xdr:nvSpPr>
        <xdr:cNvPr id="264" name="Text Box 479">
          <a:extLst>
            <a:ext uri="{FF2B5EF4-FFF2-40B4-BE49-F238E27FC236}">
              <a16:creationId xmlns="" xmlns:a16="http://schemas.microsoft.com/office/drawing/2014/main" id="{00000000-0008-0000-2500-000008010000}"/>
            </a:ext>
          </a:extLst>
        </xdr:cNvPr>
        <xdr:cNvSpPr txBox="1">
          <a:spLocks noChangeArrowheads="1"/>
        </xdr:cNvSpPr>
      </xdr:nvSpPr>
      <xdr:spPr bwMode="auto">
        <a:xfrm>
          <a:off x="2505075" y="4248150"/>
          <a:ext cx="1038225" cy="2095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50</a:t>
          </a:r>
        </a:p>
      </xdr:txBody>
    </xdr:sp>
    <xdr:clientData/>
  </xdr:twoCellAnchor>
  <xdr:twoCellAnchor editAs="oneCell">
    <xdr:from>
      <xdr:col>43</xdr:col>
      <xdr:colOff>1</xdr:colOff>
      <xdr:row>37</xdr:row>
      <xdr:rowOff>0</xdr:rowOff>
    </xdr:from>
    <xdr:to>
      <xdr:col>52</xdr:col>
      <xdr:colOff>3194</xdr:colOff>
      <xdr:row>40</xdr:row>
      <xdr:rowOff>0</xdr:rowOff>
    </xdr:to>
    <xdr:sp macro="" textlink="">
      <xdr:nvSpPr>
        <xdr:cNvPr id="265" name="Text Box 479">
          <a:extLst>
            <a:ext uri="{FF2B5EF4-FFF2-40B4-BE49-F238E27FC236}">
              <a16:creationId xmlns="" xmlns:a16="http://schemas.microsoft.com/office/drawing/2014/main" id="{00000000-0008-0000-2500-000009010000}"/>
            </a:ext>
          </a:extLst>
        </xdr:cNvPr>
        <xdr:cNvSpPr txBox="1">
          <a:spLocks noChangeArrowheads="1"/>
        </xdr:cNvSpPr>
      </xdr:nvSpPr>
      <xdr:spPr bwMode="auto">
        <a:xfrm>
          <a:off x="6048376" y="4229100"/>
          <a:ext cx="1038224" cy="3429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50</a:t>
          </a:r>
        </a:p>
      </xdr:txBody>
    </xdr:sp>
    <xdr:clientData/>
  </xdr:twoCellAnchor>
  <xdr:twoCellAnchor editAs="oneCell">
    <xdr:from>
      <xdr:col>27</xdr:col>
      <xdr:colOff>1</xdr:colOff>
      <xdr:row>37</xdr:row>
      <xdr:rowOff>61595</xdr:rowOff>
    </xdr:from>
    <xdr:to>
      <xdr:col>39</xdr:col>
      <xdr:colOff>4484</xdr:colOff>
      <xdr:row>39</xdr:row>
      <xdr:rowOff>411</xdr:rowOff>
    </xdr:to>
    <xdr:sp macro="" textlink="">
      <xdr:nvSpPr>
        <xdr:cNvPr id="266" name="Text Box 479">
          <a:extLst>
            <a:ext uri="{FF2B5EF4-FFF2-40B4-BE49-F238E27FC236}">
              <a16:creationId xmlns="" xmlns:a16="http://schemas.microsoft.com/office/drawing/2014/main" id="{00000000-0008-0000-2500-00000A010000}"/>
            </a:ext>
          </a:extLst>
        </xdr:cNvPr>
        <xdr:cNvSpPr txBox="1">
          <a:spLocks noChangeArrowheads="1"/>
        </xdr:cNvSpPr>
      </xdr:nvSpPr>
      <xdr:spPr bwMode="auto">
        <a:xfrm>
          <a:off x="4219576" y="4248150"/>
          <a:ext cx="1419224" cy="20955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110</a:t>
          </a:r>
        </a:p>
      </xdr:txBody>
    </xdr:sp>
    <xdr:clientData/>
  </xdr:twoCellAnchor>
  <xdr:twoCellAnchor>
    <xdr:from>
      <xdr:col>39</xdr:col>
      <xdr:colOff>19050</xdr:colOff>
      <xdr:row>136</xdr:row>
      <xdr:rowOff>50800</xdr:rowOff>
    </xdr:from>
    <xdr:to>
      <xdr:col>39</xdr:col>
      <xdr:colOff>19050</xdr:colOff>
      <xdr:row>143</xdr:row>
      <xdr:rowOff>0</xdr:rowOff>
    </xdr:to>
    <xdr:cxnSp macro="">
      <xdr:nvCxnSpPr>
        <xdr:cNvPr id="890998" name="Connecteur droit avec flèche 266">
          <a:extLst>
            <a:ext uri="{FF2B5EF4-FFF2-40B4-BE49-F238E27FC236}">
              <a16:creationId xmlns="" xmlns:a16="http://schemas.microsoft.com/office/drawing/2014/main" id="{00000000-0008-0000-2500-000076980D00}"/>
            </a:ext>
          </a:extLst>
        </xdr:cNvPr>
        <xdr:cNvCxnSpPr>
          <a:cxnSpLocks noChangeShapeType="1"/>
        </xdr:cNvCxnSpPr>
      </xdr:nvCxnSpPr>
      <xdr:spPr bwMode="auto">
        <a:xfrm rot="5400000">
          <a:off x="5219700" y="15970250"/>
          <a:ext cx="7493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37</xdr:col>
      <xdr:colOff>4446</xdr:colOff>
      <xdr:row>138</xdr:row>
      <xdr:rowOff>60960</xdr:rowOff>
    </xdr:from>
    <xdr:to>
      <xdr:col>79</xdr:col>
      <xdr:colOff>74938</xdr:colOff>
      <xdr:row>144</xdr:row>
      <xdr:rowOff>61685</xdr:rowOff>
    </xdr:to>
    <xdr:sp macro="" textlink="">
      <xdr:nvSpPr>
        <xdr:cNvPr id="268" name="Text Box 419">
          <a:extLst>
            <a:ext uri="{FF2B5EF4-FFF2-40B4-BE49-F238E27FC236}">
              <a16:creationId xmlns="" xmlns:a16="http://schemas.microsoft.com/office/drawing/2014/main" id="{00000000-0008-0000-2500-00000C010000}"/>
            </a:ext>
          </a:extLst>
        </xdr:cNvPr>
        <xdr:cNvSpPr txBox="1">
          <a:spLocks noChangeArrowheads="1"/>
        </xdr:cNvSpPr>
      </xdr:nvSpPr>
      <xdr:spPr bwMode="auto">
        <a:xfrm>
          <a:off x="5410201" y="15811500"/>
          <a:ext cx="4857750" cy="6667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50</a:t>
          </a:r>
        </a:p>
      </xdr:txBody>
    </xdr:sp>
    <xdr:clientData/>
  </xdr:twoCellAnchor>
  <xdr:twoCellAnchor>
    <xdr:from>
      <xdr:col>38</xdr:col>
      <xdr:colOff>57150</xdr:colOff>
      <xdr:row>136</xdr:row>
      <xdr:rowOff>38100</xdr:rowOff>
    </xdr:from>
    <xdr:to>
      <xdr:col>40</xdr:col>
      <xdr:colOff>57150</xdr:colOff>
      <xdr:row>136</xdr:row>
      <xdr:rowOff>38100</xdr:rowOff>
    </xdr:to>
    <xdr:cxnSp macro="">
      <xdr:nvCxnSpPr>
        <xdr:cNvPr id="891000" name="Connecteur droit 268">
          <a:extLst>
            <a:ext uri="{FF2B5EF4-FFF2-40B4-BE49-F238E27FC236}">
              <a16:creationId xmlns="" xmlns:a16="http://schemas.microsoft.com/office/drawing/2014/main" id="{00000000-0008-0000-2500-000078980D00}"/>
            </a:ext>
          </a:extLst>
        </xdr:cNvPr>
        <xdr:cNvCxnSpPr>
          <a:cxnSpLocks noChangeShapeType="1"/>
        </xdr:cNvCxnSpPr>
      </xdr:nvCxnSpPr>
      <xdr:spPr bwMode="auto">
        <a:xfrm rot="10800000">
          <a:off x="5518150" y="15582900"/>
          <a:ext cx="22860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43</xdr:col>
      <xdr:colOff>19050</xdr:colOff>
      <xdr:row>126</xdr:row>
      <xdr:rowOff>38100</xdr:rowOff>
    </xdr:from>
    <xdr:to>
      <xdr:col>50</xdr:col>
      <xdr:colOff>31750</xdr:colOff>
      <xdr:row>132</xdr:row>
      <xdr:rowOff>6350</xdr:rowOff>
    </xdr:to>
    <xdr:cxnSp macro="">
      <xdr:nvCxnSpPr>
        <xdr:cNvPr id="891001" name="Connecteur droit avec flèche 269">
          <a:extLst>
            <a:ext uri="{FF2B5EF4-FFF2-40B4-BE49-F238E27FC236}">
              <a16:creationId xmlns="" xmlns:a16="http://schemas.microsoft.com/office/drawing/2014/main" id="{00000000-0008-0000-2500-000079980D00}"/>
            </a:ext>
          </a:extLst>
        </xdr:cNvPr>
        <xdr:cNvCxnSpPr>
          <a:cxnSpLocks noChangeShapeType="1"/>
          <a:endCxn id="886759" idx="3"/>
        </xdr:cNvCxnSpPr>
      </xdr:nvCxnSpPr>
      <xdr:spPr bwMode="auto">
        <a:xfrm rot="10800000">
          <a:off x="6051550" y="14439900"/>
          <a:ext cx="812800" cy="65405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43</xdr:col>
      <xdr:colOff>19050</xdr:colOff>
      <xdr:row>132</xdr:row>
      <xdr:rowOff>31750</xdr:rowOff>
    </xdr:from>
    <xdr:to>
      <xdr:col>50</xdr:col>
      <xdr:colOff>31750</xdr:colOff>
      <xdr:row>135</xdr:row>
      <xdr:rowOff>63500</xdr:rowOff>
    </xdr:to>
    <xdr:cxnSp macro="">
      <xdr:nvCxnSpPr>
        <xdr:cNvPr id="891002" name="Connecteur droit avec flèche 270">
          <a:extLst>
            <a:ext uri="{FF2B5EF4-FFF2-40B4-BE49-F238E27FC236}">
              <a16:creationId xmlns="" xmlns:a16="http://schemas.microsoft.com/office/drawing/2014/main" id="{00000000-0008-0000-2500-00007A980D00}"/>
            </a:ext>
          </a:extLst>
        </xdr:cNvPr>
        <xdr:cNvCxnSpPr>
          <a:cxnSpLocks noChangeShapeType="1"/>
          <a:endCxn id="886757" idx="3"/>
        </xdr:cNvCxnSpPr>
      </xdr:nvCxnSpPr>
      <xdr:spPr bwMode="auto">
        <a:xfrm rot="10800000" flipV="1">
          <a:off x="6051550" y="15119350"/>
          <a:ext cx="812800" cy="37465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49</xdr:col>
      <xdr:colOff>56515</xdr:colOff>
      <xdr:row>131</xdr:row>
      <xdr:rowOff>61595</xdr:rowOff>
    </xdr:from>
    <xdr:to>
      <xdr:col>63</xdr:col>
      <xdr:colOff>24801</xdr:colOff>
      <xdr:row>133</xdr:row>
      <xdr:rowOff>61178</xdr:rowOff>
    </xdr:to>
    <xdr:sp macro="" textlink="">
      <xdr:nvSpPr>
        <xdr:cNvPr id="272" name="Text Box 388">
          <a:extLst>
            <a:ext uri="{FF2B5EF4-FFF2-40B4-BE49-F238E27FC236}">
              <a16:creationId xmlns="" xmlns:a16="http://schemas.microsoft.com/office/drawing/2014/main" id="{00000000-0008-0000-2500-000010010000}"/>
            </a:ext>
          </a:extLst>
        </xdr:cNvPr>
        <xdr:cNvSpPr txBox="1">
          <a:spLocks noChangeArrowheads="1"/>
        </xdr:cNvSpPr>
      </xdr:nvSpPr>
      <xdr:spPr bwMode="auto">
        <a:xfrm>
          <a:off x="6800850" y="14992350"/>
          <a:ext cx="1552575" cy="2476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Trous</a:t>
          </a:r>
          <a:r>
            <a:rPr lang="fr-FR" sz="1000" b="1" i="0" strike="noStrike" baseline="0">
              <a:solidFill>
                <a:srgbClr val="000000"/>
              </a:solidFill>
              <a:latin typeface="Arial"/>
              <a:cs typeface="Arial"/>
            </a:rPr>
            <a:t> pour barbacanes</a:t>
          </a:r>
          <a:endParaRPr lang="fr-FR" sz="1000" b="1" i="0" strike="noStrike">
            <a:solidFill>
              <a:srgbClr val="000000"/>
            </a:solidFill>
            <a:latin typeface="Arial"/>
            <a:cs typeface="Arial"/>
          </a:endParaRPr>
        </a:p>
      </xdr:txBody>
    </xdr:sp>
    <xdr:clientData/>
  </xdr:twoCellAnchor>
  <xdr:twoCellAnchor>
    <xdr:from>
      <xdr:col>35</xdr:col>
      <xdr:colOff>56515</xdr:colOff>
      <xdr:row>117</xdr:row>
      <xdr:rowOff>60960</xdr:rowOff>
    </xdr:from>
    <xdr:to>
      <xdr:col>36</xdr:col>
      <xdr:colOff>57052</xdr:colOff>
      <xdr:row>119</xdr:row>
      <xdr:rowOff>61900</xdr:rowOff>
    </xdr:to>
    <xdr:sp macro="" textlink="">
      <xdr:nvSpPr>
        <xdr:cNvPr id="273" name="Arc plein 272">
          <a:extLst>
            <a:ext uri="{FF2B5EF4-FFF2-40B4-BE49-F238E27FC236}">
              <a16:creationId xmlns="" xmlns:a16="http://schemas.microsoft.com/office/drawing/2014/main" id="{00000000-0008-0000-2500-000011010000}"/>
            </a:ext>
          </a:extLst>
        </xdr:cNvPr>
        <xdr:cNvSpPr/>
      </xdr:nvSpPr>
      <xdr:spPr bwMode="auto">
        <a:xfrm>
          <a:off x="5210175" y="13420725"/>
          <a:ext cx="123825" cy="200025"/>
        </a:xfrm>
        <a:prstGeom prst="blockArc">
          <a:avLst/>
        </a:prstGeom>
        <a:solidFill>
          <a:schemeClr val="tx1">
            <a:lumMod val="65000"/>
            <a:lumOff val="3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p>
      </xdr:txBody>
    </xdr:sp>
    <xdr:clientData/>
  </xdr:twoCellAnchor>
  <xdr:twoCellAnchor>
    <xdr:from>
      <xdr:col>40</xdr:col>
      <xdr:colOff>57785</xdr:colOff>
      <xdr:row>117</xdr:row>
      <xdr:rowOff>60960</xdr:rowOff>
    </xdr:from>
    <xdr:to>
      <xdr:col>41</xdr:col>
      <xdr:colOff>57188</xdr:colOff>
      <xdr:row>119</xdr:row>
      <xdr:rowOff>61900</xdr:rowOff>
    </xdr:to>
    <xdr:sp macro="" textlink="">
      <xdr:nvSpPr>
        <xdr:cNvPr id="274" name="Arc plein 273">
          <a:extLst>
            <a:ext uri="{FF2B5EF4-FFF2-40B4-BE49-F238E27FC236}">
              <a16:creationId xmlns="" xmlns:a16="http://schemas.microsoft.com/office/drawing/2014/main" id="{00000000-0008-0000-2500-000012010000}"/>
            </a:ext>
          </a:extLst>
        </xdr:cNvPr>
        <xdr:cNvSpPr/>
      </xdr:nvSpPr>
      <xdr:spPr bwMode="auto">
        <a:xfrm>
          <a:off x="5762625" y="13420725"/>
          <a:ext cx="123825" cy="200025"/>
        </a:xfrm>
        <a:prstGeom prst="blockArc">
          <a:avLst/>
        </a:prstGeom>
        <a:solidFill>
          <a:schemeClr val="tx1">
            <a:lumMod val="65000"/>
            <a:lumOff val="3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p>
      </xdr:txBody>
    </xdr:sp>
    <xdr:clientData/>
  </xdr:twoCellAnchor>
  <xdr:twoCellAnchor>
    <xdr:from>
      <xdr:col>99</xdr:col>
      <xdr:colOff>57150</xdr:colOff>
      <xdr:row>89</xdr:row>
      <xdr:rowOff>38100</xdr:rowOff>
    </xdr:from>
    <xdr:to>
      <xdr:col>99</xdr:col>
      <xdr:colOff>63500</xdr:colOff>
      <xdr:row>95</xdr:row>
      <xdr:rowOff>19050</xdr:rowOff>
    </xdr:to>
    <xdr:cxnSp macro="">
      <xdr:nvCxnSpPr>
        <xdr:cNvPr id="891006" name="Connecteur droit avec flèche 274">
          <a:extLst>
            <a:ext uri="{FF2B5EF4-FFF2-40B4-BE49-F238E27FC236}">
              <a16:creationId xmlns="" xmlns:a16="http://schemas.microsoft.com/office/drawing/2014/main" id="{00000000-0008-0000-2500-00007E980D00}"/>
            </a:ext>
          </a:extLst>
        </xdr:cNvPr>
        <xdr:cNvCxnSpPr>
          <a:cxnSpLocks noChangeShapeType="1"/>
        </xdr:cNvCxnSpPr>
      </xdr:nvCxnSpPr>
      <xdr:spPr bwMode="auto">
        <a:xfrm rot="5400000">
          <a:off x="12160250" y="10541000"/>
          <a:ext cx="666750" cy="635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97</xdr:col>
      <xdr:colOff>57150</xdr:colOff>
      <xdr:row>89</xdr:row>
      <xdr:rowOff>50800</xdr:rowOff>
    </xdr:from>
    <xdr:to>
      <xdr:col>101</xdr:col>
      <xdr:colOff>0</xdr:colOff>
      <xdr:row>89</xdr:row>
      <xdr:rowOff>50800</xdr:rowOff>
    </xdr:to>
    <xdr:cxnSp macro="">
      <xdr:nvCxnSpPr>
        <xdr:cNvPr id="891007" name="Connecteur droit 275">
          <a:extLst>
            <a:ext uri="{FF2B5EF4-FFF2-40B4-BE49-F238E27FC236}">
              <a16:creationId xmlns="" xmlns:a16="http://schemas.microsoft.com/office/drawing/2014/main" id="{00000000-0008-0000-2500-00007F980D00}"/>
            </a:ext>
          </a:extLst>
        </xdr:cNvPr>
        <xdr:cNvCxnSpPr>
          <a:cxnSpLocks noChangeShapeType="1"/>
        </xdr:cNvCxnSpPr>
      </xdr:nvCxnSpPr>
      <xdr:spPr bwMode="auto">
        <a:xfrm rot="16200000" flipV="1">
          <a:off x="12461875" y="10023475"/>
          <a:ext cx="0" cy="4000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126</xdr:col>
      <xdr:colOff>95250</xdr:colOff>
      <xdr:row>86</xdr:row>
      <xdr:rowOff>88900</xdr:rowOff>
    </xdr:from>
    <xdr:to>
      <xdr:col>137</xdr:col>
      <xdr:colOff>120650</xdr:colOff>
      <xdr:row>92</xdr:row>
      <xdr:rowOff>19050</xdr:rowOff>
    </xdr:to>
    <xdr:cxnSp macro="">
      <xdr:nvCxnSpPr>
        <xdr:cNvPr id="891008" name="Connecteur droit avec flèche 276">
          <a:extLst>
            <a:ext uri="{FF2B5EF4-FFF2-40B4-BE49-F238E27FC236}">
              <a16:creationId xmlns="" xmlns:a16="http://schemas.microsoft.com/office/drawing/2014/main" id="{00000000-0008-0000-2500-000080980D00}"/>
            </a:ext>
          </a:extLst>
        </xdr:cNvPr>
        <xdr:cNvCxnSpPr>
          <a:cxnSpLocks noChangeShapeType="1"/>
        </xdr:cNvCxnSpPr>
      </xdr:nvCxnSpPr>
      <xdr:spPr bwMode="auto">
        <a:xfrm>
          <a:off x="14681200" y="9918700"/>
          <a:ext cx="1466850" cy="61595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72</xdr:col>
      <xdr:colOff>31750</xdr:colOff>
      <xdr:row>10</xdr:row>
      <xdr:rowOff>31750</xdr:rowOff>
    </xdr:from>
    <xdr:to>
      <xdr:col>82</xdr:col>
      <xdr:colOff>0</xdr:colOff>
      <xdr:row>15</xdr:row>
      <xdr:rowOff>57150</xdr:rowOff>
    </xdr:to>
    <xdr:grpSp>
      <xdr:nvGrpSpPr>
        <xdr:cNvPr id="891009" name="Groupe 277">
          <a:extLst>
            <a:ext uri="{FF2B5EF4-FFF2-40B4-BE49-F238E27FC236}">
              <a16:creationId xmlns="" xmlns:a16="http://schemas.microsoft.com/office/drawing/2014/main" id="{00000000-0008-0000-2500-000081980D00}"/>
            </a:ext>
          </a:extLst>
        </xdr:cNvPr>
        <xdr:cNvGrpSpPr>
          <a:grpSpLocks/>
        </xdr:cNvGrpSpPr>
      </xdr:nvGrpSpPr>
      <xdr:grpSpPr bwMode="auto">
        <a:xfrm>
          <a:off x="9378950" y="1174750"/>
          <a:ext cx="1111250" cy="596900"/>
          <a:chOff x="7810500" y="1704976"/>
          <a:chExt cx="1104900" cy="514350"/>
        </a:xfrm>
      </xdr:grpSpPr>
      <xdr:sp macro="" textlink="">
        <xdr:nvSpPr>
          <xdr:cNvPr id="279" name="Ellipse 278">
            <a:extLst>
              <a:ext uri="{FF2B5EF4-FFF2-40B4-BE49-F238E27FC236}">
                <a16:creationId xmlns="" xmlns:a16="http://schemas.microsoft.com/office/drawing/2014/main" id="{00000000-0008-0000-2500-000017010000}"/>
              </a:ext>
            </a:extLst>
          </xdr:cNvPr>
          <xdr:cNvSpPr/>
        </xdr:nvSpPr>
        <xdr:spPr bwMode="auto">
          <a:xfrm>
            <a:off x="7810500" y="1819884"/>
            <a:ext cx="359882" cy="333780"/>
          </a:xfrm>
          <a:prstGeom prst="ellipse">
            <a:avLst/>
          </a:prstGeom>
          <a:solidFill>
            <a:schemeClr val="accent2">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280" name="Organigramme : Délai 279">
            <a:extLst>
              <a:ext uri="{FF2B5EF4-FFF2-40B4-BE49-F238E27FC236}">
                <a16:creationId xmlns="" xmlns:a16="http://schemas.microsoft.com/office/drawing/2014/main" id="{00000000-0008-0000-2500-000018010000}"/>
              </a:ext>
            </a:extLst>
          </xdr:cNvPr>
          <xdr:cNvSpPr/>
        </xdr:nvSpPr>
        <xdr:spPr bwMode="auto">
          <a:xfrm>
            <a:off x="7999911" y="1819884"/>
            <a:ext cx="814469" cy="328309"/>
          </a:xfrm>
          <a:prstGeom prst="flowChartDelay">
            <a:avLst/>
          </a:prstGeom>
          <a:solidFill>
            <a:schemeClr val="accent2">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281" name="Ellipse 280">
            <a:extLst>
              <a:ext uri="{FF2B5EF4-FFF2-40B4-BE49-F238E27FC236}">
                <a16:creationId xmlns="" xmlns:a16="http://schemas.microsoft.com/office/drawing/2014/main" id="{00000000-0008-0000-2500-000019010000}"/>
              </a:ext>
            </a:extLst>
          </xdr:cNvPr>
          <xdr:cNvSpPr/>
        </xdr:nvSpPr>
        <xdr:spPr bwMode="auto">
          <a:xfrm>
            <a:off x="8403989" y="1704976"/>
            <a:ext cx="511411" cy="514350"/>
          </a:xfrm>
          <a:prstGeom prst="ellipse">
            <a:avLst/>
          </a:prstGeom>
          <a:solidFill>
            <a:schemeClr val="accent1">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grpSp>
    <xdr:clientData/>
  </xdr:twoCellAnchor>
  <xdr:twoCellAnchor>
    <xdr:from>
      <xdr:col>72</xdr:col>
      <xdr:colOff>6350</xdr:colOff>
      <xdr:row>9</xdr:row>
      <xdr:rowOff>6350</xdr:rowOff>
    </xdr:from>
    <xdr:to>
      <xdr:col>82</xdr:col>
      <xdr:colOff>31750</xdr:colOff>
      <xdr:row>9</xdr:row>
      <xdr:rowOff>6350</xdr:rowOff>
    </xdr:to>
    <xdr:cxnSp macro="">
      <xdr:nvCxnSpPr>
        <xdr:cNvPr id="891010" name="Connecteur droit avec flèche 281">
          <a:extLst>
            <a:ext uri="{FF2B5EF4-FFF2-40B4-BE49-F238E27FC236}">
              <a16:creationId xmlns="" xmlns:a16="http://schemas.microsoft.com/office/drawing/2014/main" id="{00000000-0008-0000-2500-000082980D00}"/>
            </a:ext>
          </a:extLst>
        </xdr:cNvPr>
        <xdr:cNvCxnSpPr>
          <a:cxnSpLocks noChangeShapeType="1"/>
        </xdr:cNvCxnSpPr>
      </xdr:nvCxnSpPr>
      <xdr:spPr bwMode="auto">
        <a:xfrm>
          <a:off x="9353550" y="1035050"/>
          <a:ext cx="11684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76</xdr:col>
      <xdr:colOff>0</xdr:colOff>
      <xdr:row>7</xdr:row>
      <xdr:rowOff>0</xdr:rowOff>
    </xdr:from>
    <xdr:to>
      <xdr:col>80</xdr:col>
      <xdr:colOff>58045</xdr:colOff>
      <xdr:row>9</xdr:row>
      <xdr:rowOff>82268</xdr:rowOff>
    </xdr:to>
    <xdr:sp macro="" textlink="">
      <xdr:nvSpPr>
        <xdr:cNvPr id="283" name="TextBox 311">
          <a:extLst>
            <a:ext uri="{FF2B5EF4-FFF2-40B4-BE49-F238E27FC236}">
              <a16:creationId xmlns="" xmlns:a16="http://schemas.microsoft.com/office/drawing/2014/main" id="{00000000-0008-0000-2500-00001B010000}"/>
            </a:ext>
          </a:extLst>
        </xdr:cNvPr>
        <xdr:cNvSpPr txBox="1"/>
      </xdr:nvSpPr>
      <xdr:spPr>
        <a:xfrm>
          <a:off x="9820275" y="800100"/>
          <a:ext cx="51435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28</a:t>
          </a:r>
        </a:p>
      </xdr:txBody>
    </xdr:sp>
    <xdr:clientData/>
  </xdr:twoCellAnchor>
  <xdr:twoCellAnchor>
    <xdr:from>
      <xdr:col>77</xdr:col>
      <xdr:colOff>50800</xdr:colOff>
      <xdr:row>13</xdr:row>
      <xdr:rowOff>6350</xdr:rowOff>
    </xdr:from>
    <xdr:to>
      <xdr:col>82</xdr:col>
      <xdr:colOff>6350</xdr:colOff>
      <xdr:row>13</xdr:row>
      <xdr:rowOff>19050</xdr:rowOff>
    </xdr:to>
    <xdr:cxnSp macro="">
      <xdr:nvCxnSpPr>
        <xdr:cNvPr id="891012" name="Connecteur droit avec flèche 283">
          <a:extLst>
            <a:ext uri="{FF2B5EF4-FFF2-40B4-BE49-F238E27FC236}">
              <a16:creationId xmlns="" xmlns:a16="http://schemas.microsoft.com/office/drawing/2014/main" id="{00000000-0008-0000-2500-000084980D00}"/>
            </a:ext>
          </a:extLst>
        </xdr:cNvPr>
        <xdr:cNvCxnSpPr>
          <a:cxnSpLocks noChangeShapeType="1"/>
          <a:stCxn id="281" idx="2"/>
        </xdr:cNvCxnSpPr>
      </xdr:nvCxnSpPr>
      <xdr:spPr bwMode="auto">
        <a:xfrm rot="10800000" flipH="1" flipV="1">
          <a:off x="9969500" y="1492250"/>
          <a:ext cx="527050" cy="1270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77</xdr:col>
      <xdr:colOff>74295</xdr:colOff>
      <xdr:row>11</xdr:row>
      <xdr:rowOff>635</xdr:rowOff>
    </xdr:from>
    <xdr:to>
      <xdr:col>82</xdr:col>
      <xdr:colOff>19957</xdr:colOff>
      <xdr:row>14</xdr:row>
      <xdr:rowOff>225</xdr:rowOff>
    </xdr:to>
    <xdr:sp macro="" textlink="">
      <xdr:nvSpPr>
        <xdr:cNvPr id="285" name="TextBox 311">
          <a:extLst>
            <a:ext uri="{FF2B5EF4-FFF2-40B4-BE49-F238E27FC236}">
              <a16:creationId xmlns="" xmlns:a16="http://schemas.microsoft.com/office/drawing/2014/main" id="{00000000-0008-0000-2500-00001D010000}"/>
            </a:ext>
          </a:extLst>
        </xdr:cNvPr>
        <xdr:cNvSpPr txBox="1"/>
      </xdr:nvSpPr>
      <xdr:spPr>
        <a:xfrm>
          <a:off x="10020300" y="1266825"/>
          <a:ext cx="5143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D=15</a:t>
          </a:r>
        </a:p>
      </xdr:txBody>
    </xdr:sp>
    <xdr:clientData/>
  </xdr:twoCellAnchor>
  <xdr:twoCellAnchor>
    <xdr:from>
      <xdr:col>71</xdr:col>
      <xdr:colOff>0</xdr:colOff>
      <xdr:row>11</xdr:row>
      <xdr:rowOff>63500</xdr:rowOff>
    </xdr:from>
    <xdr:to>
      <xdr:col>71</xdr:col>
      <xdr:colOff>6350</xdr:colOff>
      <xdr:row>15</xdr:row>
      <xdr:rowOff>6350</xdr:rowOff>
    </xdr:to>
    <xdr:cxnSp macro="">
      <xdr:nvCxnSpPr>
        <xdr:cNvPr id="891014" name="Connecteur droit avec flèche 285">
          <a:extLst>
            <a:ext uri="{FF2B5EF4-FFF2-40B4-BE49-F238E27FC236}">
              <a16:creationId xmlns="" xmlns:a16="http://schemas.microsoft.com/office/drawing/2014/main" id="{00000000-0008-0000-2500-000086980D00}"/>
            </a:ext>
          </a:extLst>
        </xdr:cNvPr>
        <xdr:cNvCxnSpPr>
          <a:cxnSpLocks noChangeShapeType="1"/>
        </xdr:cNvCxnSpPr>
      </xdr:nvCxnSpPr>
      <xdr:spPr bwMode="auto">
        <a:xfrm rot="5400000">
          <a:off x="9036050" y="1517650"/>
          <a:ext cx="400050" cy="635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68</xdr:col>
      <xdr:colOff>4445</xdr:colOff>
      <xdr:row>12</xdr:row>
      <xdr:rowOff>635</xdr:rowOff>
    </xdr:from>
    <xdr:to>
      <xdr:col>72</xdr:col>
      <xdr:colOff>75330</xdr:colOff>
      <xdr:row>15</xdr:row>
      <xdr:rowOff>225</xdr:rowOff>
    </xdr:to>
    <xdr:sp macro="" textlink="">
      <xdr:nvSpPr>
        <xdr:cNvPr id="287" name="TextBox 311">
          <a:extLst>
            <a:ext uri="{FF2B5EF4-FFF2-40B4-BE49-F238E27FC236}">
              <a16:creationId xmlns="" xmlns:a16="http://schemas.microsoft.com/office/drawing/2014/main" id="{00000000-0008-0000-2500-00001F010000}"/>
            </a:ext>
          </a:extLst>
        </xdr:cNvPr>
        <xdr:cNvSpPr txBox="1"/>
      </xdr:nvSpPr>
      <xdr:spPr>
        <a:xfrm>
          <a:off x="8943975" y="1381125"/>
          <a:ext cx="5143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7,5</a:t>
          </a:r>
        </a:p>
      </xdr:txBody>
    </xdr:sp>
    <xdr:clientData/>
  </xdr:twoCellAnchor>
  <xdr:twoCellAnchor>
    <xdr:from>
      <xdr:col>72</xdr:col>
      <xdr:colOff>50800</xdr:colOff>
      <xdr:row>17</xdr:row>
      <xdr:rowOff>63500</xdr:rowOff>
    </xdr:from>
    <xdr:to>
      <xdr:col>78</xdr:col>
      <xdr:colOff>0</xdr:colOff>
      <xdr:row>17</xdr:row>
      <xdr:rowOff>63500</xdr:rowOff>
    </xdr:to>
    <xdr:cxnSp macro="">
      <xdr:nvCxnSpPr>
        <xdr:cNvPr id="891016" name="Connecteur droit avec flèche 287">
          <a:extLst>
            <a:ext uri="{FF2B5EF4-FFF2-40B4-BE49-F238E27FC236}">
              <a16:creationId xmlns="" xmlns:a16="http://schemas.microsoft.com/office/drawing/2014/main" id="{00000000-0008-0000-2500-000088980D00}"/>
            </a:ext>
          </a:extLst>
        </xdr:cNvPr>
        <xdr:cNvCxnSpPr>
          <a:cxnSpLocks noChangeShapeType="1"/>
        </xdr:cNvCxnSpPr>
      </xdr:nvCxnSpPr>
      <xdr:spPr bwMode="auto">
        <a:xfrm>
          <a:off x="9398000" y="2006600"/>
          <a:ext cx="6350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74</xdr:col>
      <xdr:colOff>4445</xdr:colOff>
      <xdr:row>15</xdr:row>
      <xdr:rowOff>57785</xdr:rowOff>
    </xdr:from>
    <xdr:to>
      <xdr:col>78</xdr:col>
      <xdr:colOff>75330</xdr:colOff>
      <xdr:row>18</xdr:row>
      <xdr:rowOff>47993</xdr:rowOff>
    </xdr:to>
    <xdr:sp macro="" textlink="">
      <xdr:nvSpPr>
        <xdr:cNvPr id="289" name="TextBox 311">
          <a:extLst>
            <a:ext uri="{FF2B5EF4-FFF2-40B4-BE49-F238E27FC236}">
              <a16:creationId xmlns="" xmlns:a16="http://schemas.microsoft.com/office/drawing/2014/main" id="{00000000-0008-0000-2500-000021010000}"/>
            </a:ext>
          </a:extLst>
        </xdr:cNvPr>
        <xdr:cNvSpPr txBox="1"/>
      </xdr:nvSpPr>
      <xdr:spPr>
        <a:xfrm>
          <a:off x="9629775" y="1790700"/>
          <a:ext cx="5143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13</a:t>
          </a:r>
        </a:p>
      </xdr:txBody>
    </xdr:sp>
    <xdr:clientData/>
  </xdr:twoCellAnchor>
  <xdr:twoCellAnchor>
    <xdr:from>
      <xdr:col>84</xdr:col>
      <xdr:colOff>6350</xdr:colOff>
      <xdr:row>10</xdr:row>
      <xdr:rowOff>50800</xdr:rowOff>
    </xdr:from>
    <xdr:to>
      <xdr:col>84</xdr:col>
      <xdr:colOff>6350</xdr:colOff>
      <xdr:row>15</xdr:row>
      <xdr:rowOff>31750</xdr:rowOff>
    </xdr:to>
    <xdr:cxnSp macro="">
      <xdr:nvCxnSpPr>
        <xdr:cNvPr id="891018" name="Connecteur droit avec flèche 289">
          <a:extLst>
            <a:ext uri="{FF2B5EF4-FFF2-40B4-BE49-F238E27FC236}">
              <a16:creationId xmlns="" xmlns:a16="http://schemas.microsoft.com/office/drawing/2014/main" id="{00000000-0008-0000-2500-00008A980D00}"/>
            </a:ext>
          </a:extLst>
        </xdr:cNvPr>
        <xdr:cNvCxnSpPr>
          <a:cxnSpLocks noChangeShapeType="1"/>
        </xdr:cNvCxnSpPr>
      </xdr:nvCxnSpPr>
      <xdr:spPr bwMode="auto">
        <a:xfrm rot="16200000" flipH="1">
          <a:off x="10448925" y="1470025"/>
          <a:ext cx="55245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83</xdr:col>
      <xdr:colOff>56515</xdr:colOff>
      <xdr:row>11</xdr:row>
      <xdr:rowOff>57785</xdr:rowOff>
    </xdr:from>
    <xdr:to>
      <xdr:col>88</xdr:col>
      <xdr:colOff>24917</xdr:colOff>
      <xdr:row>14</xdr:row>
      <xdr:rowOff>61053</xdr:rowOff>
    </xdr:to>
    <xdr:sp macro="" textlink="">
      <xdr:nvSpPr>
        <xdr:cNvPr id="291" name="TextBox 311">
          <a:extLst>
            <a:ext uri="{FF2B5EF4-FFF2-40B4-BE49-F238E27FC236}">
              <a16:creationId xmlns="" xmlns:a16="http://schemas.microsoft.com/office/drawing/2014/main" id="{00000000-0008-0000-2500-000023010000}"/>
            </a:ext>
          </a:extLst>
        </xdr:cNvPr>
        <xdr:cNvSpPr txBox="1"/>
      </xdr:nvSpPr>
      <xdr:spPr>
        <a:xfrm>
          <a:off x="10687050" y="1314450"/>
          <a:ext cx="5143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15</a:t>
          </a:r>
        </a:p>
      </xdr:txBody>
    </xdr:sp>
    <xdr:clientData/>
  </xdr:twoCellAnchor>
  <xdr:twoCellAnchor>
    <xdr:from>
      <xdr:col>14</xdr:col>
      <xdr:colOff>24765</xdr:colOff>
      <xdr:row>28</xdr:row>
      <xdr:rowOff>0</xdr:rowOff>
    </xdr:from>
    <xdr:to>
      <xdr:col>16</xdr:col>
      <xdr:colOff>24765</xdr:colOff>
      <xdr:row>32</xdr:row>
      <xdr:rowOff>60957</xdr:rowOff>
    </xdr:to>
    <xdr:grpSp>
      <xdr:nvGrpSpPr>
        <xdr:cNvPr id="472" name="Groupe 291">
          <a:extLst>
            <a:ext uri="{FF2B5EF4-FFF2-40B4-BE49-F238E27FC236}">
              <a16:creationId xmlns="" xmlns:a16="http://schemas.microsoft.com/office/drawing/2014/main" id="{00000000-0008-0000-2500-0000D8010000}"/>
            </a:ext>
          </a:extLst>
        </xdr:cNvPr>
        <xdr:cNvGrpSpPr/>
      </xdr:nvGrpSpPr>
      <xdr:grpSpPr>
        <a:xfrm rot="16200000">
          <a:off x="2597786" y="3345179"/>
          <a:ext cx="518157" cy="228600"/>
          <a:chOff x="7810500" y="1704976"/>
          <a:chExt cx="1104900" cy="514350"/>
        </a:xfrm>
        <a:solidFill>
          <a:schemeClr val="tx2">
            <a:lumMod val="60000"/>
            <a:lumOff val="40000"/>
          </a:schemeClr>
        </a:solidFill>
      </xdr:grpSpPr>
      <xdr:sp macro="" textlink="">
        <xdr:nvSpPr>
          <xdr:cNvPr id="293" name="Ellipse 292">
            <a:extLst>
              <a:ext uri="{FF2B5EF4-FFF2-40B4-BE49-F238E27FC236}">
                <a16:creationId xmlns="" xmlns:a16="http://schemas.microsoft.com/office/drawing/2014/main" id="{00000000-0008-0000-2500-000025010000}"/>
              </a:ext>
            </a:extLst>
          </xdr:cNvPr>
          <xdr:cNvSpPr/>
        </xdr:nvSpPr>
        <xdr:spPr bwMode="auto">
          <a:xfrm>
            <a:off x="8157132" y="1706406"/>
            <a:ext cx="338513" cy="342900"/>
          </a:xfrm>
          <a:prstGeom prst="ellipse">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294" name="Organigramme : Délai 293">
            <a:extLst>
              <a:ext uri="{FF2B5EF4-FFF2-40B4-BE49-F238E27FC236}">
                <a16:creationId xmlns="" xmlns:a16="http://schemas.microsoft.com/office/drawing/2014/main" id="{00000000-0008-0000-2500-000026010000}"/>
              </a:ext>
            </a:extLst>
          </xdr:cNvPr>
          <xdr:cNvSpPr/>
        </xdr:nvSpPr>
        <xdr:spPr bwMode="auto">
          <a:xfrm>
            <a:off x="8170672" y="1706406"/>
            <a:ext cx="853053" cy="342900"/>
          </a:xfrm>
          <a:prstGeom prst="flowChartDelay">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295" name="Ellipse 294">
            <a:extLst>
              <a:ext uri="{FF2B5EF4-FFF2-40B4-BE49-F238E27FC236}">
                <a16:creationId xmlns="" xmlns:a16="http://schemas.microsoft.com/office/drawing/2014/main" id="{00000000-0008-0000-2500-000027010000}"/>
              </a:ext>
            </a:extLst>
          </xdr:cNvPr>
          <xdr:cNvSpPr/>
        </xdr:nvSpPr>
        <xdr:spPr bwMode="auto">
          <a:xfrm>
            <a:off x="8455023" y="1620681"/>
            <a:ext cx="460378" cy="514350"/>
          </a:xfrm>
          <a:prstGeom prst="ellipse">
            <a:avLst/>
          </a:prstGeom>
          <a:solidFill>
            <a:schemeClr val="accent1">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grpSp>
    <xdr:clientData/>
  </xdr:twoCellAnchor>
  <xdr:twoCellAnchor>
    <xdr:from>
      <xdr:col>23</xdr:col>
      <xdr:colOff>24765</xdr:colOff>
      <xdr:row>28</xdr:row>
      <xdr:rowOff>0</xdr:rowOff>
    </xdr:from>
    <xdr:to>
      <xdr:col>25</xdr:col>
      <xdr:colOff>24765</xdr:colOff>
      <xdr:row>32</xdr:row>
      <xdr:rowOff>60957</xdr:rowOff>
    </xdr:to>
    <xdr:grpSp>
      <xdr:nvGrpSpPr>
        <xdr:cNvPr id="471" name="Groupe 295">
          <a:extLst>
            <a:ext uri="{FF2B5EF4-FFF2-40B4-BE49-F238E27FC236}">
              <a16:creationId xmlns="" xmlns:a16="http://schemas.microsoft.com/office/drawing/2014/main" id="{00000000-0008-0000-2500-0000D7010000}"/>
            </a:ext>
          </a:extLst>
        </xdr:cNvPr>
        <xdr:cNvGrpSpPr/>
      </xdr:nvGrpSpPr>
      <xdr:grpSpPr>
        <a:xfrm rot="16200000">
          <a:off x="3626486" y="3345179"/>
          <a:ext cx="518157" cy="228600"/>
          <a:chOff x="7810500" y="1704976"/>
          <a:chExt cx="1104900" cy="514350"/>
        </a:xfrm>
        <a:solidFill>
          <a:schemeClr val="tx2">
            <a:lumMod val="60000"/>
            <a:lumOff val="40000"/>
          </a:schemeClr>
        </a:solidFill>
      </xdr:grpSpPr>
      <xdr:sp macro="" textlink="">
        <xdr:nvSpPr>
          <xdr:cNvPr id="297" name="Ellipse 296">
            <a:extLst>
              <a:ext uri="{FF2B5EF4-FFF2-40B4-BE49-F238E27FC236}">
                <a16:creationId xmlns="" xmlns:a16="http://schemas.microsoft.com/office/drawing/2014/main" id="{00000000-0008-0000-2500-000029010000}"/>
              </a:ext>
            </a:extLst>
          </xdr:cNvPr>
          <xdr:cNvSpPr/>
        </xdr:nvSpPr>
        <xdr:spPr bwMode="auto">
          <a:xfrm>
            <a:off x="8157132" y="1706406"/>
            <a:ext cx="338513" cy="342900"/>
          </a:xfrm>
          <a:prstGeom prst="ellipse">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298" name="Organigramme : Délai 297">
            <a:extLst>
              <a:ext uri="{FF2B5EF4-FFF2-40B4-BE49-F238E27FC236}">
                <a16:creationId xmlns="" xmlns:a16="http://schemas.microsoft.com/office/drawing/2014/main" id="{00000000-0008-0000-2500-00002A010000}"/>
              </a:ext>
            </a:extLst>
          </xdr:cNvPr>
          <xdr:cNvSpPr/>
        </xdr:nvSpPr>
        <xdr:spPr bwMode="auto">
          <a:xfrm>
            <a:off x="8170672" y="1706406"/>
            <a:ext cx="853053" cy="342900"/>
          </a:xfrm>
          <a:prstGeom prst="flowChartDelay">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299" name="Ellipse 298">
            <a:extLst>
              <a:ext uri="{FF2B5EF4-FFF2-40B4-BE49-F238E27FC236}">
                <a16:creationId xmlns="" xmlns:a16="http://schemas.microsoft.com/office/drawing/2014/main" id="{00000000-0008-0000-2500-00002B010000}"/>
              </a:ext>
            </a:extLst>
          </xdr:cNvPr>
          <xdr:cNvSpPr/>
        </xdr:nvSpPr>
        <xdr:spPr bwMode="auto">
          <a:xfrm>
            <a:off x="8455023" y="1620681"/>
            <a:ext cx="460378" cy="514350"/>
          </a:xfrm>
          <a:prstGeom prst="ellipse">
            <a:avLst/>
          </a:prstGeom>
          <a:solidFill>
            <a:schemeClr val="accent1">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grpSp>
    <xdr:clientData/>
  </xdr:twoCellAnchor>
  <xdr:twoCellAnchor>
    <xdr:from>
      <xdr:col>15</xdr:col>
      <xdr:colOff>6350</xdr:colOff>
      <xdr:row>25</xdr:row>
      <xdr:rowOff>31750</xdr:rowOff>
    </xdr:from>
    <xdr:to>
      <xdr:col>15</xdr:col>
      <xdr:colOff>19050</xdr:colOff>
      <xdr:row>27</xdr:row>
      <xdr:rowOff>63500</xdr:rowOff>
    </xdr:to>
    <xdr:cxnSp macro="">
      <xdr:nvCxnSpPr>
        <xdr:cNvPr id="891022" name="Connecteur droit avec flèche 299">
          <a:extLst>
            <a:ext uri="{FF2B5EF4-FFF2-40B4-BE49-F238E27FC236}">
              <a16:creationId xmlns="" xmlns:a16="http://schemas.microsoft.com/office/drawing/2014/main" id="{00000000-0008-0000-2500-00008E980D00}"/>
            </a:ext>
          </a:extLst>
        </xdr:cNvPr>
        <xdr:cNvCxnSpPr>
          <a:cxnSpLocks noChangeShapeType="1"/>
        </xdr:cNvCxnSpPr>
      </xdr:nvCxnSpPr>
      <xdr:spPr bwMode="auto">
        <a:xfrm rot="16200000" flipH="1">
          <a:off x="2714625" y="3013075"/>
          <a:ext cx="260350" cy="12700"/>
        </a:xfrm>
        <a:prstGeom prst="straightConnector1">
          <a:avLst/>
        </a:prstGeom>
        <a:noFill/>
        <a:ln w="12700"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15</xdr:col>
      <xdr:colOff>56517</xdr:colOff>
      <xdr:row>25</xdr:row>
      <xdr:rowOff>57787</xdr:rowOff>
    </xdr:from>
    <xdr:to>
      <xdr:col>24</xdr:col>
      <xdr:colOff>57873</xdr:colOff>
      <xdr:row>29</xdr:row>
      <xdr:rowOff>624</xdr:rowOff>
    </xdr:to>
    <xdr:sp macro="" textlink="">
      <xdr:nvSpPr>
        <xdr:cNvPr id="301" name="Text Box 507">
          <a:extLst>
            <a:ext uri="{FF2B5EF4-FFF2-40B4-BE49-F238E27FC236}">
              <a16:creationId xmlns="" xmlns:a16="http://schemas.microsoft.com/office/drawing/2014/main" id="{00000000-0008-0000-2500-00002D010000}"/>
            </a:ext>
          </a:extLst>
        </xdr:cNvPr>
        <xdr:cNvSpPr txBox="1">
          <a:spLocks noChangeArrowheads="1"/>
        </xdr:cNvSpPr>
      </xdr:nvSpPr>
      <xdr:spPr bwMode="auto">
        <a:xfrm>
          <a:off x="2914652" y="2933702"/>
          <a:ext cx="1019174" cy="380999"/>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FFFF00"/>
              </a:solidFill>
              <a:latin typeface="Arial"/>
              <a:cs typeface="Arial"/>
            </a:rPr>
            <a:t>25</a:t>
          </a:r>
        </a:p>
      </xdr:txBody>
    </xdr:sp>
    <xdr:clientData/>
  </xdr:twoCellAnchor>
  <xdr:twoCellAnchor>
    <xdr:from>
      <xdr:col>14</xdr:col>
      <xdr:colOff>63500</xdr:colOff>
      <xdr:row>32</xdr:row>
      <xdr:rowOff>19050</xdr:rowOff>
    </xdr:from>
    <xdr:to>
      <xdr:col>14</xdr:col>
      <xdr:colOff>76200</xdr:colOff>
      <xdr:row>35</xdr:row>
      <xdr:rowOff>19050</xdr:rowOff>
    </xdr:to>
    <xdr:cxnSp macro="">
      <xdr:nvCxnSpPr>
        <xdr:cNvPr id="891024" name="Connecteur droit avec flèche 301">
          <a:extLst>
            <a:ext uri="{FF2B5EF4-FFF2-40B4-BE49-F238E27FC236}">
              <a16:creationId xmlns="" xmlns:a16="http://schemas.microsoft.com/office/drawing/2014/main" id="{00000000-0008-0000-2500-000090980D00}"/>
            </a:ext>
          </a:extLst>
        </xdr:cNvPr>
        <xdr:cNvCxnSpPr>
          <a:cxnSpLocks noChangeShapeType="1"/>
        </xdr:cNvCxnSpPr>
      </xdr:nvCxnSpPr>
      <xdr:spPr bwMode="auto">
        <a:xfrm rot="5400000">
          <a:off x="2616200" y="3841750"/>
          <a:ext cx="342900" cy="12700"/>
        </a:xfrm>
        <a:prstGeom prst="straightConnector1">
          <a:avLst/>
        </a:prstGeom>
        <a:noFill/>
        <a:ln w="12700"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14</xdr:col>
      <xdr:colOff>74931</xdr:colOff>
      <xdr:row>32</xdr:row>
      <xdr:rowOff>47627</xdr:rowOff>
    </xdr:from>
    <xdr:to>
      <xdr:col>26</xdr:col>
      <xdr:colOff>24792</xdr:colOff>
      <xdr:row>35</xdr:row>
      <xdr:rowOff>94655</xdr:rowOff>
    </xdr:to>
    <xdr:sp macro="" textlink="">
      <xdr:nvSpPr>
        <xdr:cNvPr id="303" name="Text Box 507">
          <a:extLst>
            <a:ext uri="{FF2B5EF4-FFF2-40B4-BE49-F238E27FC236}">
              <a16:creationId xmlns="" xmlns:a16="http://schemas.microsoft.com/office/drawing/2014/main" id="{00000000-0008-0000-2500-00002F010000}"/>
            </a:ext>
          </a:extLst>
        </xdr:cNvPr>
        <xdr:cNvSpPr txBox="1">
          <a:spLocks noChangeArrowheads="1"/>
        </xdr:cNvSpPr>
      </xdr:nvSpPr>
      <xdr:spPr bwMode="auto">
        <a:xfrm>
          <a:off x="2838451" y="3724277"/>
          <a:ext cx="1276350" cy="38099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FFFF00"/>
              </a:solidFill>
              <a:latin typeface="Arial"/>
              <a:cs typeface="Arial"/>
            </a:rPr>
            <a:t>67</a:t>
          </a:r>
        </a:p>
      </xdr:txBody>
    </xdr:sp>
    <xdr:clientData/>
  </xdr:twoCellAnchor>
  <xdr:twoCellAnchor>
    <xdr:from>
      <xdr:col>24</xdr:col>
      <xdr:colOff>6350</xdr:colOff>
      <xdr:row>28</xdr:row>
      <xdr:rowOff>6350</xdr:rowOff>
    </xdr:from>
    <xdr:to>
      <xdr:col>24</xdr:col>
      <xdr:colOff>6350</xdr:colOff>
      <xdr:row>32</xdr:row>
      <xdr:rowOff>50800</xdr:rowOff>
    </xdr:to>
    <xdr:cxnSp macro="">
      <xdr:nvCxnSpPr>
        <xdr:cNvPr id="891026" name="Connecteur droit avec flèche 303">
          <a:extLst>
            <a:ext uri="{FF2B5EF4-FFF2-40B4-BE49-F238E27FC236}">
              <a16:creationId xmlns="" xmlns:a16="http://schemas.microsoft.com/office/drawing/2014/main" id="{00000000-0008-0000-2500-000092980D00}"/>
            </a:ext>
          </a:extLst>
        </xdr:cNvPr>
        <xdr:cNvCxnSpPr>
          <a:cxnSpLocks noChangeShapeType="1"/>
        </xdr:cNvCxnSpPr>
      </xdr:nvCxnSpPr>
      <xdr:spPr bwMode="auto">
        <a:xfrm rot="5400000">
          <a:off x="3616325" y="3457575"/>
          <a:ext cx="50165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22</xdr:col>
      <xdr:colOff>4446</xdr:colOff>
      <xdr:row>29</xdr:row>
      <xdr:rowOff>61597</xdr:rowOff>
    </xdr:from>
    <xdr:to>
      <xdr:col>31</xdr:col>
      <xdr:colOff>56718</xdr:colOff>
      <xdr:row>31</xdr:row>
      <xdr:rowOff>412</xdr:rowOff>
    </xdr:to>
    <xdr:sp macro="" textlink="">
      <xdr:nvSpPr>
        <xdr:cNvPr id="305" name="Text Box 507">
          <a:extLst>
            <a:ext uri="{FF2B5EF4-FFF2-40B4-BE49-F238E27FC236}">
              <a16:creationId xmlns="" xmlns:a16="http://schemas.microsoft.com/office/drawing/2014/main" id="{00000000-0008-0000-2500-000031010000}"/>
            </a:ext>
          </a:extLst>
        </xdr:cNvPr>
        <xdr:cNvSpPr txBox="1">
          <a:spLocks noChangeArrowheads="1"/>
        </xdr:cNvSpPr>
      </xdr:nvSpPr>
      <xdr:spPr bwMode="auto">
        <a:xfrm>
          <a:off x="3695701" y="3333752"/>
          <a:ext cx="1047750" cy="209549"/>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200" b="1" i="0" strike="noStrike">
              <a:solidFill>
                <a:srgbClr val="FFFF00"/>
              </a:solidFill>
              <a:latin typeface="Arial"/>
              <a:cs typeface="Arial"/>
            </a:rPr>
            <a:t>28</a:t>
          </a:r>
        </a:p>
      </xdr:txBody>
    </xdr:sp>
    <xdr:clientData/>
  </xdr:twoCellAnchor>
  <xdr:twoCellAnchor>
    <xdr:from>
      <xdr:col>12</xdr:col>
      <xdr:colOff>0</xdr:colOff>
      <xdr:row>28</xdr:row>
      <xdr:rowOff>38100</xdr:rowOff>
    </xdr:from>
    <xdr:to>
      <xdr:col>14</xdr:col>
      <xdr:colOff>19050</xdr:colOff>
      <xdr:row>28</xdr:row>
      <xdr:rowOff>50800</xdr:rowOff>
    </xdr:to>
    <xdr:cxnSp macro="">
      <xdr:nvCxnSpPr>
        <xdr:cNvPr id="891028" name="Connecteur droit avec flèche 305">
          <a:extLst>
            <a:ext uri="{FF2B5EF4-FFF2-40B4-BE49-F238E27FC236}">
              <a16:creationId xmlns="" xmlns:a16="http://schemas.microsoft.com/office/drawing/2014/main" id="{00000000-0008-0000-2500-000094980D00}"/>
            </a:ext>
          </a:extLst>
        </xdr:cNvPr>
        <xdr:cNvCxnSpPr>
          <a:cxnSpLocks noChangeShapeType="1"/>
        </xdr:cNvCxnSpPr>
      </xdr:nvCxnSpPr>
      <xdr:spPr bwMode="auto">
        <a:xfrm>
          <a:off x="2489200" y="3238500"/>
          <a:ext cx="247650" cy="1270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12</xdr:col>
      <xdr:colOff>24766</xdr:colOff>
      <xdr:row>26</xdr:row>
      <xdr:rowOff>47625</xdr:rowOff>
    </xdr:from>
    <xdr:to>
      <xdr:col>20</xdr:col>
      <xdr:colOff>74923</xdr:colOff>
      <xdr:row>28</xdr:row>
      <xdr:rowOff>86644</xdr:rowOff>
    </xdr:to>
    <xdr:sp macro="" textlink="">
      <xdr:nvSpPr>
        <xdr:cNvPr id="307" name="Text Box 507">
          <a:extLst>
            <a:ext uri="{FF2B5EF4-FFF2-40B4-BE49-F238E27FC236}">
              <a16:creationId xmlns="" xmlns:a16="http://schemas.microsoft.com/office/drawing/2014/main" id="{00000000-0008-0000-2500-000033010000}"/>
            </a:ext>
          </a:extLst>
        </xdr:cNvPr>
        <xdr:cNvSpPr txBox="1">
          <a:spLocks noChangeArrowheads="1"/>
        </xdr:cNvSpPr>
      </xdr:nvSpPr>
      <xdr:spPr bwMode="auto">
        <a:xfrm>
          <a:off x="2514601" y="3038475"/>
          <a:ext cx="1000124" cy="2762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200" b="1" i="0" strike="noStrike">
              <a:solidFill>
                <a:srgbClr val="FFFF00"/>
              </a:solidFill>
              <a:latin typeface="Arial"/>
              <a:cs typeface="Arial"/>
            </a:rPr>
            <a:t>30</a:t>
          </a:r>
        </a:p>
      </xdr:txBody>
    </xdr:sp>
    <xdr:clientData/>
  </xdr:twoCellAnchor>
  <xdr:twoCellAnchor>
    <xdr:from>
      <xdr:col>20</xdr:col>
      <xdr:colOff>0</xdr:colOff>
      <xdr:row>119</xdr:row>
      <xdr:rowOff>38100</xdr:rowOff>
    </xdr:from>
    <xdr:to>
      <xdr:col>26</xdr:col>
      <xdr:colOff>0</xdr:colOff>
      <xdr:row>119</xdr:row>
      <xdr:rowOff>38100</xdr:rowOff>
    </xdr:to>
    <xdr:cxnSp macro="">
      <xdr:nvCxnSpPr>
        <xdr:cNvPr id="891030" name="Connecteur droit 307">
          <a:extLst>
            <a:ext uri="{FF2B5EF4-FFF2-40B4-BE49-F238E27FC236}">
              <a16:creationId xmlns="" xmlns:a16="http://schemas.microsoft.com/office/drawing/2014/main" id="{00000000-0008-0000-2500-000096980D00}"/>
            </a:ext>
          </a:extLst>
        </xdr:cNvPr>
        <xdr:cNvCxnSpPr>
          <a:cxnSpLocks noChangeShapeType="1"/>
        </xdr:cNvCxnSpPr>
      </xdr:nvCxnSpPr>
      <xdr:spPr bwMode="auto">
        <a:xfrm rot="10800000" flipH="1">
          <a:off x="3403600" y="13639800"/>
          <a:ext cx="6858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20</xdr:col>
      <xdr:colOff>56515</xdr:colOff>
      <xdr:row>118</xdr:row>
      <xdr:rowOff>47625</xdr:rowOff>
    </xdr:from>
    <xdr:to>
      <xdr:col>21</xdr:col>
      <xdr:colOff>20464</xdr:colOff>
      <xdr:row>119</xdr:row>
      <xdr:rowOff>59500</xdr:rowOff>
    </xdr:to>
    <xdr:sp macro="" textlink="">
      <xdr:nvSpPr>
        <xdr:cNvPr id="309" name="Ellipse 308">
          <a:extLst>
            <a:ext uri="{FF2B5EF4-FFF2-40B4-BE49-F238E27FC236}">
              <a16:creationId xmlns="" xmlns:a16="http://schemas.microsoft.com/office/drawing/2014/main" id="{00000000-0008-0000-2500-000035010000}"/>
            </a:ext>
          </a:extLst>
        </xdr:cNvPr>
        <xdr:cNvSpPr/>
      </xdr:nvSpPr>
      <xdr:spPr bwMode="auto">
        <a:xfrm>
          <a:off x="3486150" y="13554075"/>
          <a:ext cx="45719" cy="6667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30</xdr:col>
      <xdr:colOff>24765</xdr:colOff>
      <xdr:row>118</xdr:row>
      <xdr:rowOff>57785</xdr:rowOff>
    </xdr:from>
    <xdr:to>
      <xdr:col>30</xdr:col>
      <xdr:colOff>58631</xdr:colOff>
      <xdr:row>119</xdr:row>
      <xdr:rowOff>3908</xdr:rowOff>
    </xdr:to>
    <xdr:sp macro="" textlink="">
      <xdr:nvSpPr>
        <xdr:cNvPr id="310" name="Ellipse 309">
          <a:extLst>
            <a:ext uri="{FF2B5EF4-FFF2-40B4-BE49-F238E27FC236}">
              <a16:creationId xmlns="" xmlns:a16="http://schemas.microsoft.com/office/drawing/2014/main" id="{00000000-0008-0000-2500-000036010000}"/>
            </a:ext>
          </a:extLst>
        </xdr:cNvPr>
        <xdr:cNvSpPr/>
      </xdr:nvSpPr>
      <xdr:spPr bwMode="auto">
        <a:xfrm>
          <a:off x="4572000" y="13563600"/>
          <a:ext cx="45719" cy="6667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28</xdr:col>
      <xdr:colOff>56515</xdr:colOff>
      <xdr:row>118</xdr:row>
      <xdr:rowOff>57785</xdr:rowOff>
    </xdr:from>
    <xdr:to>
      <xdr:col>29</xdr:col>
      <xdr:colOff>20464</xdr:colOff>
      <xdr:row>119</xdr:row>
      <xdr:rowOff>3908</xdr:rowOff>
    </xdr:to>
    <xdr:sp macro="" textlink="">
      <xdr:nvSpPr>
        <xdr:cNvPr id="311" name="Ellipse 310">
          <a:extLst>
            <a:ext uri="{FF2B5EF4-FFF2-40B4-BE49-F238E27FC236}">
              <a16:creationId xmlns="" xmlns:a16="http://schemas.microsoft.com/office/drawing/2014/main" id="{00000000-0008-0000-2500-000037010000}"/>
            </a:ext>
          </a:extLst>
        </xdr:cNvPr>
        <xdr:cNvSpPr/>
      </xdr:nvSpPr>
      <xdr:spPr bwMode="auto">
        <a:xfrm>
          <a:off x="4400550" y="13563600"/>
          <a:ext cx="45719" cy="6667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23</xdr:col>
      <xdr:colOff>56515</xdr:colOff>
      <xdr:row>118</xdr:row>
      <xdr:rowOff>47625</xdr:rowOff>
    </xdr:from>
    <xdr:to>
      <xdr:col>24</xdr:col>
      <xdr:colOff>20464</xdr:colOff>
      <xdr:row>119</xdr:row>
      <xdr:rowOff>59500</xdr:rowOff>
    </xdr:to>
    <xdr:sp macro="" textlink="">
      <xdr:nvSpPr>
        <xdr:cNvPr id="312" name="Ellipse 311">
          <a:extLst>
            <a:ext uri="{FF2B5EF4-FFF2-40B4-BE49-F238E27FC236}">
              <a16:creationId xmlns="" xmlns:a16="http://schemas.microsoft.com/office/drawing/2014/main" id="{00000000-0008-0000-2500-000038010000}"/>
            </a:ext>
          </a:extLst>
        </xdr:cNvPr>
        <xdr:cNvSpPr/>
      </xdr:nvSpPr>
      <xdr:spPr bwMode="auto">
        <a:xfrm>
          <a:off x="3829050" y="13554075"/>
          <a:ext cx="45719" cy="6667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25</xdr:col>
      <xdr:colOff>24765</xdr:colOff>
      <xdr:row>118</xdr:row>
      <xdr:rowOff>57785</xdr:rowOff>
    </xdr:from>
    <xdr:to>
      <xdr:col>25</xdr:col>
      <xdr:colOff>57810</xdr:colOff>
      <xdr:row>119</xdr:row>
      <xdr:rowOff>4435</xdr:rowOff>
    </xdr:to>
    <xdr:sp macro="" textlink="">
      <xdr:nvSpPr>
        <xdr:cNvPr id="313" name="Ellipse 312">
          <a:extLst>
            <a:ext uri="{FF2B5EF4-FFF2-40B4-BE49-F238E27FC236}">
              <a16:creationId xmlns="" xmlns:a16="http://schemas.microsoft.com/office/drawing/2014/main" id="{00000000-0008-0000-2500-000039010000}"/>
            </a:ext>
          </a:extLst>
        </xdr:cNvPr>
        <xdr:cNvSpPr/>
      </xdr:nvSpPr>
      <xdr:spPr bwMode="auto">
        <a:xfrm>
          <a:off x="4010025" y="13544550"/>
          <a:ext cx="45719" cy="6667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22</xdr:col>
      <xdr:colOff>20320</xdr:colOff>
      <xdr:row>118</xdr:row>
      <xdr:rowOff>47625</xdr:rowOff>
    </xdr:from>
    <xdr:to>
      <xdr:col>22</xdr:col>
      <xdr:colOff>59263</xdr:colOff>
      <xdr:row>119</xdr:row>
      <xdr:rowOff>59500</xdr:rowOff>
    </xdr:to>
    <xdr:sp macro="" textlink="">
      <xdr:nvSpPr>
        <xdr:cNvPr id="314" name="Ellipse 313">
          <a:extLst>
            <a:ext uri="{FF2B5EF4-FFF2-40B4-BE49-F238E27FC236}">
              <a16:creationId xmlns="" xmlns:a16="http://schemas.microsoft.com/office/drawing/2014/main" id="{00000000-0008-0000-2500-00003A010000}"/>
            </a:ext>
          </a:extLst>
        </xdr:cNvPr>
        <xdr:cNvSpPr/>
      </xdr:nvSpPr>
      <xdr:spPr bwMode="auto">
        <a:xfrm>
          <a:off x="3676650" y="13554075"/>
          <a:ext cx="45719" cy="6667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33</xdr:col>
      <xdr:colOff>4445</xdr:colOff>
      <xdr:row>118</xdr:row>
      <xdr:rowOff>57785</xdr:rowOff>
    </xdr:from>
    <xdr:to>
      <xdr:col>33</xdr:col>
      <xdr:colOff>76397</xdr:colOff>
      <xdr:row>119</xdr:row>
      <xdr:rowOff>3908</xdr:rowOff>
    </xdr:to>
    <xdr:sp macro="" textlink="">
      <xdr:nvSpPr>
        <xdr:cNvPr id="315" name="Ellipse 314">
          <a:extLst>
            <a:ext uri="{FF2B5EF4-FFF2-40B4-BE49-F238E27FC236}">
              <a16:creationId xmlns="" xmlns:a16="http://schemas.microsoft.com/office/drawing/2014/main" id="{00000000-0008-0000-2500-00003B010000}"/>
            </a:ext>
          </a:extLst>
        </xdr:cNvPr>
        <xdr:cNvSpPr/>
      </xdr:nvSpPr>
      <xdr:spPr bwMode="auto">
        <a:xfrm>
          <a:off x="4943475" y="13563600"/>
          <a:ext cx="45719" cy="6667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31</xdr:col>
      <xdr:colOff>74930</xdr:colOff>
      <xdr:row>118</xdr:row>
      <xdr:rowOff>57785</xdr:rowOff>
    </xdr:from>
    <xdr:to>
      <xdr:col>32</xdr:col>
      <xdr:colOff>3240</xdr:colOff>
      <xdr:row>119</xdr:row>
      <xdr:rowOff>3908</xdr:rowOff>
    </xdr:to>
    <xdr:sp macro="" textlink="">
      <xdr:nvSpPr>
        <xdr:cNvPr id="316" name="Ellipse 315">
          <a:extLst>
            <a:ext uri="{FF2B5EF4-FFF2-40B4-BE49-F238E27FC236}">
              <a16:creationId xmlns="" xmlns:a16="http://schemas.microsoft.com/office/drawing/2014/main" id="{00000000-0008-0000-2500-00003C010000}"/>
            </a:ext>
          </a:extLst>
        </xdr:cNvPr>
        <xdr:cNvSpPr/>
      </xdr:nvSpPr>
      <xdr:spPr bwMode="auto">
        <a:xfrm>
          <a:off x="4772025" y="13563600"/>
          <a:ext cx="45719" cy="6667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28</xdr:col>
      <xdr:colOff>6350</xdr:colOff>
      <xdr:row>119</xdr:row>
      <xdr:rowOff>38100</xdr:rowOff>
    </xdr:from>
    <xdr:to>
      <xdr:col>34</xdr:col>
      <xdr:colOff>6350</xdr:colOff>
      <xdr:row>119</xdr:row>
      <xdr:rowOff>38100</xdr:rowOff>
    </xdr:to>
    <xdr:cxnSp macro="">
      <xdr:nvCxnSpPr>
        <xdr:cNvPr id="891039" name="Connecteur droit 316">
          <a:extLst>
            <a:ext uri="{FF2B5EF4-FFF2-40B4-BE49-F238E27FC236}">
              <a16:creationId xmlns="" xmlns:a16="http://schemas.microsoft.com/office/drawing/2014/main" id="{00000000-0008-0000-2500-00009F980D00}"/>
            </a:ext>
          </a:extLst>
        </xdr:cNvPr>
        <xdr:cNvCxnSpPr>
          <a:cxnSpLocks noChangeShapeType="1"/>
        </xdr:cNvCxnSpPr>
      </xdr:nvCxnSpPr>
      <xdr:spPr bwMode="auto">
        <a:xfrm rot="10800000" flipH="1">
          <a:off x="4324350" y="13639800"/>
          <a:ext cx="6858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34</xdr:col>
      <xdr:colOff>63500</xdr:colOff>
      <xdr:row>119</xdr:row>
      <xdr:rowOff>19050</xdr:rowOff>
    </xdr:from>
    <xdr:to>
      <xdr:col>43</xdr:col>
      <xdr:colOff>19050</xdr:colOff>
      <xdr:row>119</xdr:row>
      <xdr:rowOff>19050</xdr:rowOff>
    </xdr:to>
    <xdr:cxnSp macro="">
      <xdr:nvCxnSpPr>
        <xdr:cNvPr id="891040" name="Connecteur droit 317">
          <a:extLst>
            <a:ext uri="{FF2B5EF4-FFF2-40B4-BE49-F238E27FC236}">
              <a16:creationId xmlns="" xmlns:a16="http://schemas.microsoft.com/office/drawing/2014/main" id="{00000000-0008-0000-2500-0000A0980D00}"/>
            </a:ext>
          </a:extLst>
        </xdr:cNvPr>
        <xdr:cNvCxnSpPr>
          <a:cxnSpLocks noChangeShapeType="1"/>
        </xdr:cNvCxnSpPr>
      </xdr:nvCxnSpPr>
      <xdr:spPr bwMode="auto">
        <a:xfrm>
          <a:off x="5067300" y="13620750"/>
          <a:ext cx="98425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39</xdr:col>
      <xdr:colOff>74295</xdr:colOff>
      <xdr:row>118</xdr:row>
      <xdr:rowOff>57785</xdr:rowOff>
    </xdr:from>
    <xdr:to>
      <xdr:col>40</xdr:col>
      <xdr:colOff>19867</xdr:colOff>
      <xdr:row>119</xdr:row>
      <xdr:rowOff>4435</xdr:rowOff>
    </xdr:to>
    <xdr:sp macro="" textlink="">
      <xdr:nvSpPr>
        <xdr:cNvPr id="319" name="Ellipse 318">
          <a:extLst>
            <a:ext uri="{FF2B5EF4-FFF2-40B4-BE49-F238E27FC236}">
              <a16:creationId xmlns="" xmlns:a16="http://schemas.microsoft.com/office/drawing/2014/main" id="{00000000-0008-0000-2500-00003F010000}"/>
            </a:ext>
          </a:extLst>
        </xdr:cNvPr>
        <xdr:cNvSpPr/>
      </xdr:nvSpPr>
      <xdr:spPr bwMode="auto">
        <a:xfrm>
          <a:off x="5676900" y="13544550"/>
          <a:ext cx="45719" cy="6667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35</xdr:col>
      <xdr:colOff>74930</xdr:colOff>
      <xdr:row>118</xdr:row>
      <xdr:rowOff>57785</xdr:rowOff>
    </xdr:from>
    <xdr:to>
      <xdr:col>36</xdr:col>
      <xdr:colOff>3240</xdr:colOff>
      <xdr:row>119</xdr:row>
      <xdr:rowOff>4435</xdr:rowOff>
    </xdr:to>
    <xdr:sp macro="" textlink="">
      <xdr:nvSpPr>
        <xdr:cNvPr id="320" name="Ellipse 319">
          <a:extLst>
            <a:ext uri="{FF2B5EF4-FFF2-40B4-BE49-F238E27FC236}">
              <a16:creationId xmlns="" xmlns:a16="http://schemas.microsoft.com/office/drawing/2014/main" id="{00000000-0008-0000-2500-000040010000}"/>
            </a:ext>
          </a:extLst>
        </xdr:cNvPr>
        <xdr:cNvSpPr/>
      </xdr:nvSpPr>
      <xdr:spPr bwMode="auto">
        <a:xfrm>
          <a:off x="5229225" y="13544550"/>
          <a:ext cx="45719" cy="6667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41</xdr:col>
      <xdr:colOff>74295</xdr:colOff>
      <xdr:row>118</xdr:row>
      <xdr:rowOff>47625</xdr:rowOff>
    </xdr:from>
    <xdr:to>
      <xdr:col>42</xdr:col>
      <xdr:colOff>19867</xdr:colOff>
      <xdr:row>119</xdr:row>
      <xdr:rowOff>59500</xdr:rowOff>
    </xdr:to>
    <xdr:sp macro="" textlink="">
      <xdr:nvSpPr>
        <xdr:cNvPr id="321" name="Ellipse 320">
          <a:extLst>
            <a:ext uri="{FF2B5EF4-FFF2-40B4-BE49-F238E27FC236}">
              <a16:creationId xmlns="" xmlns:a16="http://schemas.microsoft.com/office/drawing/2014/main" id="{00000000-0008-0000-2500-000041010000}"/>
            </a:ext>
          </a:extLst>
        </xdr:cNvPr>
        <xdr:cNvSpPr/>
      </xdr:nvSpPr>
      <xdr:spPr bwMode="auto">
        <a:xfrm>
          <a:off x="5905500" y="13554075"/>
          <a:ext cx="45719" cy="6667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37</xdr:col>
      <xdr:colOff>74930</xdr:colOff>
      <xdr:row>118</xdr:row>
      <xdr:rowOff>47625</xdr:rowOff>
    </xdr:from>
    <xdr:to>
      <xdr:col>38</xdr:col>
      <xdr:colOff>25772</xdr:colOff>
      <xdr:row>119</xdr:row>
      <xdr:rowOff>59500</xdr:rowOff>
    </xdr:to>
    <xdr:sp macro="" textlink="">
      <xdr:nvSpPr>
        <xdr:cNvPr id="322" name="Ellipse 321">
          <a:extLst>
            <a:ext uri="{FF2B5EF4-FFF2-40B4-BE49-F238E27FC236}">
              <a16:creationId xmlns="" xmlns:a16="http://schemas.microsoft.com/office/drawing/2014/main" id="{00000000-0008-0000-2500-000042010000}"/>
            </a:ext>
          </a:extLst>
        </xdr:cNvPr>
        <xdr:cNvSpPr/>
      </xdr:nvSpPr>
      <xdr:spPr bwMode="auto">
        <a:xfrm>
          <a:off x="5467350" y="13554075"/>
          <a:ext cx="45719" cy="6667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15</xdr:col>
      <xdr:colOff>6350</xdr:colOff>
      <xdr:row>115</xdr:row>
      <xdr:rowOff>0</xdr:rowOff>
    </xdr:from>
    <xdr:to>
      <xdr:col>22</xdr:col>
      <xdr:colOff>57150</xdr:colOff>
      <xdr:row>119</xdr:row>
      <xdr:rowOff>6350</xdr:rowOff>
    </xdr:to>
    <xdr:cxnSp macro="">
      <xdr:nvCxnSpPr>
        <xdr:cNvPr id="891045" name="Connecteur droit avec flèche 322">
          <a:extLst>
            <a:ext uri="{FF2B5EF4-FFF2-40B4-BE49-F238E27FC236}">
              <a16:creationId xmlns="" xmlns:a16="http://schemas.microsoft.com/office/drawing/2014/main" id="{00000000-0008-0000-2500-0000A5980D00}"/>
            </a:ext>
          </a:extLst>
        </xdr:cNvPr>
        <xdr:cNvCxnSpPr>
          <a:cxnSpLocks noChangeShapeType="1"/>
        </xdr:cNvCxnSpPr>
      </xdr:nvCxnSpPr>
      <xdr:spPr bwMode="auto">
        <a:xfrm>
          <a:off x="2838450" y="13144500"/>
          <a:ext cx="850900" cy="46355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5</xdr:col>
      <xdr:colOff>74295</xdr:colOff>
      <xdr:row>112</xdr:row>
      <xdr:rowOff>635</xdr:rowOff>
    </xdr:from>
    <xdr:to>
      <xdr:col>48</xdr:col>
      <xdr:colOff>57795</xdr:colOff>
      <xdr:row>123</xdr:row>
      <xdr:rowOff>635</xdr:rowOff>
    </xdr:to>
    <xdr:sp macro="" textlink="">
      <xdr:nvSpPr>
        <xdr:cNvPr id="324" name="Text Box 421">
          <a:extLst>
            <a:ext uri="{FF2B5EF4-FFF2-40B4-BE49-F238E27FC236}">
              <a16:creationId xmlns="" xmlns:a16="http://schemas.microsoft.com/office/drawing/2014/main" id="{00000000-0008-0000-2500-000044010000}"/>
            </a:ext>
          </a:extLst>
        </xdr:cNvPr>
        <xdr:cNvSpPr txBox="1">
          <a:spLocks noChangeArrowheads="1"/>
        </xdr:cNvSpPr>
      </xdr:nvSpPr>
      <xdr:spPr bwMode="auto">
        <a:xfrm>
          <a:off x="1790700" y="12811125"/>
          <a:ext cx="4895849" cy="12573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Plancher d'épaisseur 8cm</a:t>
          </a:r>
          <a:r>
            <a:rPr lang="fr-FR" sz="1000" b="0" i="0" strike="noStrike" baseline="0">
              <a:solidFill>
                <a:srgbClr val="000000"/>
              </a:solidFill>
              <a:latin typeface="Arial"/>
              <a:cs typeface="Arial"/>
            </a:rPr>
            <a:t> avec </a:t>
          </a:r>
          <a:r>
            <a:rPr lang="fr-FR" sz="1000" b="0" i="0" strike="noStrike">
              <a:solidFill>
                <a:srgbClr val="000000"/>
              </a:solidFill>
              <a:latin typeface="Arial"/>
              <a:cs typeface="Arial"/>
            </a:rPr>
            <a:t>Fers</a:t>
          </a:r>
          <a:r>
            <a:rPr lang="fr-FR" sz="1000" b="0" i="0" strike="noStrike" baseline="0">
              <a:solidFill>
                <a:srgbClr val="000000"/>
              </a:solidFill>
              <a:latin typeface="Arial"/>
              <a:cs typeface="Arial"/>
            </a:rPr>
            <a:t> de 10mm, espacement:18cm</a:t>
          </a:r>
          <a:endParaRPr lang="fr-FR" sz="1000" b="0" i="0" strike="noStrike">
            <a:solidFill>
              <a:srgbClr val="000000"/>
            </a:solidFill>
            <a:latin typeface="Arial"/>
            <a:cs typeface="Arial"/>
          </a:endParaRPr>
        </a:p>
      </xdr:txBody>
    </xdr:sp>
    <xdr:clientData/>
  </xdr:twoCellAnchor>
  <xdr:twoCellAnchor>
    <xdr:from>
      <xdr:col>32</xdr:col>
      <xdr:colOff>4445</xdr:colOff>
      <xdr:row>120</xdr:row>
      <xdr:rowOff>635</xdr:rowOff>
    </xdr:from>
    <xdr:to>
      <xdr:col>32</xdr:col>
      <xdr:colOff>80758</xdr:colOff>
      <xdr:row>120</xdr:row>
      <xdr:rowOff>59601</xdr:rowOff>
    </xdr:to>
    <xdr:sp macro="" textlink="">
      <xdr:nvSpPr>
        <xdr:cNvPr id="325" name="Ellipse 324">
          <a:extLst>
            <a:ext uri="{FF2B5EF4-FFF2-40B4-BE49-F238E27FC236}">
              <a16:creationId xmlns="" xmlns:a16="http://schemas.microsoft.com/office/drawing/2014/main" id="{00000000-0008-0000-2500-000045010000}"/>
            </a:ext>
          </a:extLst>
        </xdr:cNvPr>
        <xdr:cNvSpPr/>
      </xdr:nvSpPr>
      <xdr:spPr bwMode="auto">
        <a:xfrm>
          <a:off x="4829175" y="13725525"/>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33</xdr:col>
      <xdr:colOff>24765</xdr:colOff>
      <xdr:row>121</xdr:row>
      <xdr:rowOff>0</xdr:rowOff>
    </xdr:from>
    <xdr:to>
      <xdr:col>33</xdr:col>
      <xdr:colOff>65404</xdr:colOff>
      <xdr:row>121</xdr:row>
      <xdr:rowOff>60651</xdr:rowOff>
    </xdr:to>
    <xdr:sp macro="" textlink="">
      <xdr:nvSpPr>
        <xdr:cNvPr id="326" name="Ellipse 325">
          <a:extLst>
            <a:ext uri="{FF2B5EF4-FFF2-40B4-BE49-F238E27FC236}">
              <a16:creationId xmlns="" xmlns:a16="http://schemas.microsoft.com/office/drawing/2014/main" id="{00000000-0008-0000-2500-000046010000}"/>
            </a:ext>
          </a:extLst>
        </xdr:cNvPr>
        <xdr:cNvSpPr/>
      </xdr:nvSpPr>
      <xdr:spPr bwMode="auto">
        <a:xfrm>
          <a:off x="4914900" y="13830300"/>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31</xdr:col>
      <xdr:colOff>57785</xdr:colOff>
      <xdr:row>121</xdr:row>
      <xdr:rowOff>635</xdr:rowOff>
    </xdr:from>
    <xdr:to>
      <xdr:col>31</xdr:col>
      <xdr:colOff>61521</xdr:colOff>
      <xdr:row>121</xdr:row>
      <xdr:rowOff>59601</xdr:rowOff>
    </xdr:to>
    <xdr:sp macro="" textlink="">
      <xdr:nvSpPr>
        <xdr:cNvPr id="327" name="Ellipse 326">
          <a:extLst>
            <a:ext uri="{FF2B5EF4-FFF2-40B4-BE49-F238E27FC236}">
              <a16:creationId xmlns="" xmlns:a16="http://schemas.microsoft.com/office/drawing/2014/main" id="{00000000-0008-0000-2500-000047010000}"/>
            </a:ext>
          </a:extLst>
        </xdr:cNvPr>
        <xdr:cNvSpPr/>
      </xdr:nvSpPr>
      <xdr:spPr bwMode="auto">
        <a:xfrm>
          <a:off x="4733925" y="13839825"/>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31</xdr:col>
      <xdr:colOff>4446</xdr:colOff>
      <xdr:row>119</xdr:row>
      <xdr:rowOff>81916</xdr:rowOff>
    </xdr:from>
    <xdr:to>
      <xdr:col>33</xdr:col>
      <xdr:colOff>75453</xdr:colOff>
      <xdr:row>121</xdr:row>
      <xdr:rowOff>47701</xdr:rowOff>
    </xdr:to>
    <xdr:sp macro="" textlink="">
      <xdr:nvSpPr>
        <xdr:cNvPr id="328" name="Triangle isocèle 327">
          <a:extLst>
            <a:ext uri="{FF2B5EF4-FFF2-40B4-BE49-F238E27FC236}">
              <a16:creationId xmlns="" xmlns:a16="http://schemas.microsoft.com/office/drawing/2014/main" id="{00000000-0008-0000-2500-000048010000}"/>
            </a:ext>
          </a:extLst>
        </xdr:cNvPr>
        <xdr:cNvSpPr/>
      </xdr:nvSpPr>
      <xdr:spPr bwMode="auto">
        <a:xfrm>
          <a:off x="4714876" y="13687426"/>
          <a:ext cx="276224" cy="209550"/>
        </a:xfrm>
        <a:prstGeom prst="triangle">
          <a:avLst/>
        </a:prstGeom>
        <a:noFill/>
        <a:ln w="1270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77</xdr:col>
      <xdr:colOff>50800</xdr:colOff>
      <xdr:row>11</xdr:row>
      <xdr:rowOff>57150</xdr:rowOff>
    </xdr:from>
    <xdr:to>
      <xdr:col>77</xdr:col>
      <xdr:colOff>57150</xdr:colOff>
      <xdr:row>14</xdr:row>
      <xdr:rowOff>63500</xdr:rowOff>
    </xdr:to>
    <xdr:cxnSp macro="">
      <xdr:nvCxnSpPr>
        <xdr:cNvPr id="891051" name="Connecteur droit avec flèche 328">
          <a:extLst>
            <a:ext uri="{FF2B5EF4-FFF2-40B4-BE49-F238E27FC236}">
              <a16:creationId xmlns="" xmlns:a16="http://schemas.microsoft.com/office/drawing/2014/main" id="{00000000-0008-0000-2500-0000AB980D00}"/>
            </a:ext>
          </a:extLst>
        </xdr:cNvPr>
        <xdr:cNvCxnSpPr>
          <a:cxnSpLocks noChangeShapeType="1"/>
        </xdr:cNvCxnSpPr>
      </xdr:nvCxnSpPr>
      <xdr:spPr bwMode="auto">
        <a:xfrm rot="5400000">
          <a:off x="9798050" y="1485900"/>
          <a:ext cx="349250" cy="635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74</xdr:col>
      <xdr:colOff>74930</xdr:colOff>
      <xdr:row>11</xdr:row>
      <xdr:rowOff>81915</xdr:rowOff>
    </xdr:from>
    <xdr:to>
      <xdr:col>79</xdr:col>
      <xdr:colOff>4508</xdr:colOff>
      <xdr:row>14</xdr:row>
      <xdr:rowOff>57629</xdr:rowOff>
    </xdr:to>
    <xdr:sp macro="" textlink="">
      <xdr:nvSpPr>
        <xdr:cNvPr id="330" name="TextBox 311">
          <a:extLst>
            <a:ext uri="{FF2B5EF4-FFF2-40B4-BE49-F238E27FC236}">
              <a16:creationId xmlns="" xmlns:a16="http://schemas.microsoft.com/office/drawing/2014/main" id="{00000000-0008-0000-2500-00004A010000}"/>
            </a:ext>
          </a:extLst>
        </xdr:cNvPr>
        <xdr:cNvSpPr txBox="1"/>
      </xdr:nvSpPr>
      <xdr:spPr>
        <a:xfrm>
          <a:off x="9686925" y="1343025"/>
          <a:ext cx="5143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7,5</a:t>
          </a:r>
        </a:p>
      </xdr:txBody>
    </xdr:sp>
    <xdr:clientData/>
  </xdr:twoCellAnchor>
  <xdr:twoCellAnchor>
    <xdr:from>
      <xdr:col>72</xdr:col>
      <xdr:colOff>38100</xdr:colOff>
      <xdr:row>14</xdr:row>
      <xdr:rowOff>57150</xdr:rowOff>
    </xdr:from>
    <xdr:to>
      <xdr:col>72</xdr:col>
      <xdr:colOff>38100</xdr:colOff>
      <xdr:row>19</xdr:row>
      <xdr:rowOff>19050</xdr:rowOff>
    </xdr:to>
    <xdr:cxnSp macro="">
      <xdr:nvCxnSpPr>
        <xdr:cNvPr id="891053" name="Connecteur droit 330">
          <a:extLst>
            <a:ext uri="{FF2B5EF4-FFF2-40B4-BE49-F238E27FC236}">
              <a16:creationId xmlns="" xmlns:a16="http://schemas.microsoft.com/office/drawing/2014/main" id="{00000000-0008-0000-2500-0000AD980D00}"/>
            </a:ext>
          </a:extLst>
        </xdr:cNvPr>
        <xdr:cNvCxnSpPr>
          <a:cxnSpLocks noChangeShapeType="1"/>
        </xdr:cNvCxnSpPr>
      </xdr:nvCxnSpPr>
      <xdr:spPr bwMode="auto">
        <a:xfrm rot="5400000">
          <a:off x="9118600" y="1924050"/>
          <a:ext cx="53340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78</xdr:col>
      <xdr:colOff>6350</xdr:colOff>
      <xdr:row>15</xdr:row>
      <xdr:rowOff>6350</xdr:rowOff>
    </xdr:from>
    <xdr:to>
      <xdr:col>78</xdr:col>
      <xdr:colOff>6350</xdr:colOff>
      <xdr:row>19</xdr:row>
      <xdr:rowOff>57150</xdr:rowOff>
    </xdr:to>
    <xdr:cxnSp macro="">
      <xdr:nvCxnSpPr>
        <xdr:cNvPr id="891054" name="Connecteur droit 331">
          <a:extLst>
            <a:ext uri="{FF2B5EF4-FFF2-40B4-BE49-F238E27FC236}">
              <a16:creationId xmlns="" xmlns:a16="http://schemas.microsoft.com/office/drawing/2014/main" id="{00000000-0008-0000-2500-0000AE980D00}"/>
            </a:ext>
          </a:extLst>
        </xdr:cNvPr>
        <xdr:cNvCxnSpPr>
          <a:cxnSpLocks noChangeShapeType="1"/>
        </xdr:cNvCxnSpPr>
      </xdr:nvCxnSpPr>
      <xdr:spPr bwMode="auto">
        <a:xfrm rot="5400000">
          <a:off x="9785350" y="1974850"/>
          <a:ext cx="50800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25</xdr:col>
      <xdr:colOff>3029</xdr:colOff>
      <xdr:row>30</xdr:row>
      <xdr:rowOff>28205</xdr:rowOff>
    </xdr:from>
    <xdr:to>
      <xdr:col>26</xdr:col>
      <xdr:colOff>57153</xdr:colOff>
      <xdr:row>30</xdr:row>
      <xdr:rowOff>85403</xdr:rowOff>
    </xdr:to>
    <xdr:sp macro="" textlink="">
      <xdr:nvSpPr>
        <xdr:cNvPr id="333" name="Rectangle 332">
          <a:extLst>
            <a:ext uri="{FF2B5EF4-FFF2-40B4-BE49-F238E27FC236}">
              <a16:creationId xmlns="" xmlns:a16="http://schemas.microsoft.com/office/drawing/2014/main" id="{00000000-0008-0000-2500-00004D010000}"/>
            </a:ext>
          </a:extLst>
        </xdr:cNvPr>
        <xdr:cNvSpPr/>
      </xdr:nvSpPr>
      <xdr:spPr bwMode="auto">
        <a:xfrm rot="2557756">
          <a:off x="4012419" y="3460380"/>
          <a:ext cx="187100" cy="95023"/>
        </a:xfrm>
        <a:prstGeom prst="rect">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21</xdr:col>
      <xdr:colOff>58008</xdr:colOff>
      <xdr:row>29</xdr:row>
      <xdr:rowOff>82708</xdr:rowOff>
    </xdr:from>
    <xdr:to>
      <xdr:col>22</xdr:col>
      <xdr:colOff>56497</xdr:colOff>
      <xdr:row>31</xdr:row>
      <xdr:rowOff>94554</xdr:rowOff>
    </xdr:to>
    <xdr:sp macro="" textlink="">
      <xdr:nvSpPr>
        <xdr:cNvPr id="334" name="Rectangle 333">
          <a:extLst>
            <a:ext uri="{FF2B5EF4-FFF2-40B4-BE49-F238E27FC236}">
              <a16:creationId xmlns="" xmlns:a16="http://schemas.microsoft.com/office/drawing/2014/main" id="{00000000-0008-0000-2500-00004E010000}"/>
            </a:ext>
          </a:extLst>
        </xdr:cNvPr>
        <xdr:cNvSpPr/>
      </xdr:nvSpPr>
      <xdr:spPr bwMode="auto">
        <a:xfrm rot="2557756" flipH="1">
          <a:off x="3607023" y="3394868"/>
          <a:ext cx="82102" cy="230189"/>
        </a:xfrm>
        <a:prstGeom prst="rect">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11</xdr:col>
      <xdr:colOff>63500</xdr:colOff>
      <xdr:row>12</xdr:row>
      <xdr:rowOff>19050</xdr:rowOff>
    </xdr:from>
    <xdr:to>
      <xdr:col>11</xdr:col>
      <xdr:colOff>76200</xdr:colOff>
      <xdr:row>23</xdr:row>
      <xdr:rowOff>63500</xdr:rowOff>
    </xdr:to>
    <xdr:cxnSp macro="">
      <xdr:nvCxnSpPr>
        <xdr:cNvPr id="891057" name="Straight Connector 267">
          <a:extLst>
            <a:ext uri="{FF2B5EF4-FFF2-40B4-BE49-F238E27FC236}">
              <a16:creationId xmlns="" xmlns:a16="http://schemas.microsoft.com/office/drawing/2014/main" id="{00000000-0008-0000-2500-0000B1980D00}"/>
            </a:ext>
          </a:extLst>
        </xdr:cNvPr>
        <xdr:cNvCxnSpPr>
          <a:cxnSpLocks noChangeShapeType="1"/>
        </xdr:cNvCxnSpPr>
      </xdr:nvCxnSpPr>
      <xdr:spPr bwMode="auto">
        <a:xfrm rot="16200000" flipH="1">
          <a:off x="1793875" y="2035175"/>
          <a:ext cx="1301750" cy="1270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45</xdr:col>
      <xdr:colOff>63500</xdr:colOff>
      <xdr:row>12</xdr:row>
      <xdr:rowOff>19050</xdr:rowOff>
    </xdr:from>
    <xdr:to>
      <xdr:col>45</xdr:col>
      <xdr:colOff>76200</xdr:colOff>
      <xdr:row>23</xdr:row>
      <xdr:rowOff>63500</xdr:rowOff>
    </xdr:to>
    <xdr:cxnSp macro="">
      <xdr:nvCxnSpPr>
        <xdr:cNvPr id="891058" name="Straight Connector 267">
          <a:extLst>
            <a:ext uri="{FF2B5EF4-FFF2-40B4-BE49-F238E27FC236}">
              <a16:creationId xmlns="" xmlns:a16="http://schemas.microsoft.com/office/drawing/2014/main" id="{00000000-0008-0000-2500-0000B2980D00}"/>
            </a:ext>
          </a:extLst>
        </xdr:cNvPr>
        <xdr:cNvCxnSpPr>
          <a:cxnSpLocks noChangeShapeType="1"/>
        </xdr:cNvCxnSpPr>
      </xdr:nvCxnSpPr>
      <xdr:spPr bwMode="auto">
        <a:xfrm rot="16200000" flipH="1">
          <a:off x="5680075" y="2035175"/>
          <a:ext cx="1301750" cy="1270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10</xdr:col>
      <xdr:colOff>19050</xdr:colOff>
      <xdr:row>13</xdr:row>
      <xdr:rowOff>57150</xdr:rowOff>
    </xdr:from>
    <xdr:to>
      <xdr:col>47</xdr:col>
      <xdr:colOff>31750</xdr:colOff>
      <xdr:row>13</xdr:row>
      <xdr:rowOff>57150</xdr:rowOff>
    </xdr:to>
    <xdr:cxnSp macro="">
      <xdr:nvCxnSpPr>
        <xdr:cNvPr id="891059" name="Straight Connector 267">
          <a:extLst>
            <a:ext uri="{FF2B5EF4-FFF2-40B4-BE49-F238E27FC236}">
              <a16:creationId xmlns="" xmlns:a16="http://schemas.microsoft.com/office/drawing/2014/main" id="{00000000-0008-0000-2500-0000B3980D00}"/>
            </a:ext>
          </a:extLst>
        </xdr:cNvPr>
        <xdr:cNvCxnSpPr>
          <a:cxnSpLocks noChangeShapeType="1"/>
        </xdr:cNvCxnSpPr>
      </xdr:nvCxnSpPr>
      <xdr:spPr bwMode="auto">
        <a:xfrm flipV="1">
          <a:off x="2279650" y="1543050"/>
          <a:ext cx="4241800" cy="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100</xdr:col>
      <xdr:colOff>88900</xdr:colOff>
      <xdr:row>88</xdr:row>
      <xdr:rowOff>95250</xdr:rowOff>
    </xdr:from>
    <xdr:to>
      <xdr:col>111</xdr:col>
      <xdr:colOff>57150</xdr:colOff>
      <xdr:row>91</xdr:row>
      <xdr:rowOff>38100</xdr:rowOff>
    </xdr:to>
    <xdr:sp macro="" textlink="">
      <xdr:nvSpPr>
        <xdr:cNvPr id="891060" name="Rectangle 354" descr="Outlined diamond">
          <a:extLst>
            <a:ext uri="{FF2B5EF4-FFF2-40B4-BE49-F238E27FC236}">
              <a16:creationId xmlns="" xmlns:a16="http://schemas.microsoft.com/office/drawing/2014/main" id="{00000000-0008-0000-2500-0000B4980D00}"/>
            </a:ext>
          </a:extLst>
        </xdr:cNvPr>
        <xdr:cNvSpPr>
          <a:spLocks noChangeArrowheads="1"/>
        </xdr:cNvSpPr>
      </xdr:nvSpPr>
      <xdr:spPr bwMode="auto">
        <a:xfrm flipV="1">
          <a:off x="12636500" y="10153650"/>
          <a:ext cx="196850" cy="28575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95</xdr:col>
      <xdr:colOff>57785</xdr:colOff>
      <xdr:row>90</xdr:row>
      <xdr:rowOff>60960</xdr:rowOff>
    </xdr:from>
    <xdr:to>
      <xdr:col>101</xdr:col>
      <xdr:colOff>4759</xdr:colOff>
      <xdr:row>92</xdr:row>
      <xdr:rowOff>58608</xdr:rowOff>
    </xdr:to>
    <xdr:sp macro="" textlink="">
      <xdr:nvSpPr>
        <xdr:cNvPr id="339" name="ZoneTexte 338">
          <a:extLst>
            <a:ext uri="{FF2B5EF4-FFF2-40B4-BE49-F238E27FC236}">
              <a16:creationId xmlns="" xmlns:a16="http://schemas.microsoft.com/office/drawing/2014/main" id="{00000000-0008-0000-2500-000053010000}"/>
            </a:ext>
          </a:extLst>
        </xdr:cNvPr>
        <xdr:cNvSpPr txBox="1"/>
      </xdr:nvSpPr>
      <xdr:spPr>
        <a:xfrm>
          <a:off x="12049125" y="10325100"/>
          <a:ext cx="6762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50cm</a:t>
          </a:r>
        </a:p>
      </xdr:txBody>
    </xdr:sp>
    <xdr:clientData/>
  </xdr:twoCellAnchor>
  <xdr:twoCellAnchor>
    <xdr:from>
      <xdr:col>16</xdr:col>
      <xdr:colOff>0</xdr:colOff>
      <xdr:row>28</xdr:row>
      <xdr:rowOff>55639</xdr:rowOff>
    </xdr:from>
    <xdr:to>
      <xdr:col>23</xdr:col>
      <xdr:colOff>2384</xdr:colOff>
      <xdr:row>29</xdr:row>
      <xdr:rowOff>25503</xdr:rowOff>
    </xdr:to>
    <xdr:cxnSp macro="">
      <xdr:nvCxnSpPr>
        <xdr:cNvPr id="340" name="Connecteur droit avec flèche 339">
          <a:extLst>
            <a:ext uri="{FF2B5EF4-FFF2-40B4-BE49-F238E27FC236}">
              <a16:creationId xmlns="" xmlns:a16="http://schemas.microsoft.com/office/drawing/2014/main" id="{00000000-0008-0000-2500-000054010000}"/>
            </a:ext>
          </a:extLst>
        </xdr:cNvPr>
        <xdr:cNvCxnSpPr/>
      </xdr:nvCxnSpPr>
      <xdr:spPr>
        <a:xfrm>
          <a:off x="2962275" y="3278899"/>
          <a:ext cx="833438" cy="35802"/>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24765</xdr:colOff>
      <xdr:row>26</xdr:row>
      <xdr:rowOff>81916</xdr:rowOff>
    </xdr:from>
    <xdr:to>
      <xdr:col>21</xdr:col>
      <xdr:colOff>74469</xdr:colOff>
      <xdr:row>29</xdr:row>
      <xdr:rowOff>19716</xdr:rowOff>
    </xdr:to>
    <xdr:sp macro="" textlink="">
      <xdr:nvSpPr>
        <xdr:cNvPr id="341" name="ZoneTexte 340">
          <a:extLst>
            <a:ext uri="{FF2B5EF4-FFF2-40B4-BE49-F238E27FC236}">
              <a16:creationId xmlns="" xmlns:a16="http://schemas.microsoft.com/office/drawing/2014/main" id="{00000000-0008-0000-2500-000055010000}"/>
            </a:ext>
          </a:extLst>
        </xdr:cNvPr>
        <xdr:cNvSpPr txBox="1"/>
      </xdr:nvSpPr>
      <xdr:spPr>
        <a:xfrm>
          <a:off x="3200400" y="3057526"/>
          <a:ext cx="4191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solidFill>
                <a:srgbClr val="FFFF00"/>
              </a:solidFill>
            </a:rPr>
            <a:t>60</a:t>
          </a:r>
        </a:p>
      </xdr:txBody>
    </xdr:sp>
    <xdr:clientData/>
  </xdr:twoCellAnchor>
  <xdr:twoCellAnchor>
    <xdr:from>
      <xdr:col>43</xdr:col>
      <xdr:colOff>4445</xdr:colOff>
      <xdr:row>86</xdr:row>
      <xdr:rowOff>60960</xdr:rowOff>
    </xdr:from>
    <xdr:to>
      <xdr:col>57</xdr:col>
      <xdr:colOff>24878</xdr:colOff>
      <xdr:row>89</xdr:row>
      <xdr:rowOff>61786</xdr:rowOff>
    </xdr:to>
    <xdr:sp macro="" textlink="">
      <xdr:nvSpPr>
        <xdr:cNvPr id="342" name="ZoneTexte 341">
          <a:extLst>
            <a:ext uri="{FF2B5EF4-FFF2-40B4-BE49-F238E27FC236}">
              <a16:creationId xmlns="" xmlns:a16="http://schemas.microsoft.com/office/drawing/2014/main" id="{00000000-0008-0000-2500-000056010000}"/>
            </a:ext>
          </a:extLst>
        </xdr:cNvPr>
        <xdr:cNvSpPr txBox="1"/>
      </xdr:nvSpPr>
      <xdr:spPr>
        <a:xfrm>
          <a:off x="6086475" y="9867900"/>
          <a:ext cx="15716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Toiles moustiquaire</a:t>
          </a:r>
        </a:p>
      </xdr:txBody>
    </xdr:sp>
    <xdr:clientData/>
  </xdr:twoCellAnchor>
  <xdr:twoCellAnchor>
    <xdr:from>
      <xdr:col>12</xdr:col>
      <xdr:colOff>84043</xdr:colOff>
      <xdr:row>29</xdr:row>
      <xdr:rowOff>46512</xdr:rowOff>
    </xdr:from>
    <xdr:to>
      <xdr:col>13</xdr:col>
      <xdr:colOff>57214</xdr:colOff>
      <xdr:row>31</xdr:row>
      <xdr:rowOff>61435</xdr:rowOff>
    </xdr:to>
    <xdr:sp macro="" textlink="">
      <xdr:nvSpPr>
        <xdr:cNvPr id="343" name="Rectangle 342">
          <a:extLst>
            <a:ext uri="{FF2B5EF4-FFF2-40B4-BE49-F238E27FC236}">
              <a16:creationId xmlns="" xmlns:a16="http://schemas.microsoft.com/office/drawing/2014/main" id="{00000000-0008-0000-2500-000057010000}"/>
            </a:ext>
          </a:extLst>
        </xdr:cNvPr>
        <xdr:cNvSpPr/>
      </xdr:nvSpPr>
      <xdr:spPr bwMode="auto">
        <a:xfrm rot="2557756" flipH="1">
          <a:off x="2606898" y="3366292"/>
          <a:ext cx="82102" cy="230189"/>
        </a:xfrm>
        <a:prstGeom prst="rect">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16</xdr:col>
      <xdr:colOff>23348</xdr:colOff>
      <xdr:row>30</xdr:row>
      <xdr:rowOff>31381</xdr:rowOff>
    </xdr:from>
    <xdr:to>
      <xdr:col>17</xdr:col>
      <xdr:colOff>85151</xdr:colOff>
      <xdr:row>31</xdr:row>
      <xdr:rowOff>2476</xdr:rowOff>
    </xdr:to>
    <xdr:sp macro="" textlink="">
      <xdr:nvSpPr>
        <xdr:cNvPr id="344" name="Rectangle 343">
          <a:extLst>
            <a:ext uri="{FF2B5EF4-FFF2-40B4-BE49-F238E27FC236}">
              <a16:creationId xmlns="" xmlns:a16="http://schemas.microsoft.com/office/drawing/2014/main" id="{00000000-0008-0000-2500-000058010000}"/>
            </a:ext>
          </a:extLst>
        </xdr:cNvPr>
        <xdr:cNvSpPr/>
      </xdr:nvSpPr>
      <xdr:spPr bwMode="auto">
        <a:xfrm rot="2557756">
          <a:off x="3002768" y="3450856"/>
          <a:ext cx="187100" cy="95023"/>
        </a:xfrm>
        <a:prstGeom prst="rect">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17</xdr:col>
      <xdr:colOff>58092</xdr:colOff>
      <xdr:row>30</xdr:row>
      <xdr:rowOff>83830</xdr:rowOff>
    </xdr:from>
    <xdr:to>
      <xdr:col>21</xdr:col>
      <xdr:colOff>24521</xdr:colOff>
      <xdr:row>31</xdr:row>
      <xdr:rowOff>1630</xdr:rowOff>
    </xdr:to>
    <xdr:cxnSp macro="">
      <xdr:nvCxnSpPr>
        <xdr:cNvPr id="345" name="Connecteur droit avec flèche 344">
          <a:extLst>
            <a:ext uri="{FF2B5EF4-FFF2-40B4-BE49-F238E27FC236}">
              <a16:creationId xmlns="" xmlns:a16="http://schemas.microsoft.com/office/drawing/2014/main" id="{00000000-0008-0000-2500-000059010000}"/>
            </a:ext>
          </a:extLst>
        </xdr:cNvPr>
        <xdr:cNvCxnSpPr/>
      </xdr:nvCxnSpPr>
      <xdr:spPr>
        <a:xfrm>
          <a:off x="3155622" y="3514100"/>
          <a:ext cx="417881" cy="47477"/>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24765</xdr:colOff>
      <xdr:row>29</xdr:row>
      <xdr:rowOff>61595</xdr:rowOff>
    </xdr:from>
    <xdr:to>
      <xdr:col>21</xdr:col>
      <xdr:colOff>20572</xdr:colOff>
      <xdr:row>31</xdr:row>
      <xdr:rowOff>21168</xdr:rowOff>
    </xdr:to>
    <xdr:sp macro="" textlink="">
      <xdr:nvSpPr>
        <xdr:cNvPr id="346" name="ZoneTexte 345">
          <a:extLst>
            <a:ext uri="{FF2B5EF4-FFF2-40B4-BE49-F238E27FC236}">
              <a16:creationId xmlns="" xmlns:a16="http://schemas.microsoft.com/office/drawing/2014/main" id="{00000000-0008-0000-2500-00005A010000}"/>
            </a:ext>
          </a:extLst>
        </xdr:cNvPr>
        <xdr:cNvSpPr txBox="1"/>
      </xdr:nvSpPr>
      <xdr:spPr>
        <a:xfrm>
          <a:off x="3209925" y="3333750"/>
          <a:ext cx="352425" cy="2381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solidFill>
                <a:srgbClr val="FFFF00"/>
              </a:solidFill>
            </a:rPr>
            <a:t>30</a:t>
          </a:r>
        </a:p>
      </xdr:txBody>
    </xdr:sp>
    <xdr:clientData/>
  </xdr:twoCellAnchor>
  <xdr:twoCellAnchor editAs="oneCell">
    <xdr:from>
      <xdr:col>41</xdr:col>
      <xdr:colOff>29210</xdr:colOff>
      <xdr:row>13</xdr:row>
      <xdr:rowOff>635</xdr:rowOff>
    </xdr:from>
    <xdr:to>
      <xdr:col>50</xdr:col>
      <xdr:colOff>29210</xdr:colOff>
      <xdr:row>15</xdr:row>
      <xdr:rowOff>346</xdr:rowOff>
    </xdr:to>
    <xdr:sp macro="" textlink="">
      <xdr:nvSpPr>
        <xdr:cNvPr id="347" name="Text Box 507">
          <a:extLst>
            <a:ext uri="{FF2B5EF4-FFF2-40B4-BE49-F238E27FC236}">
              <a16:creationId xmlns="" xmlns:a16="http://schemas.microsoft.com/office/drawing/2014/main" id="{00000000-0008-0000-2500-00005B010000}"/>
            </a:ext>
          </a:extLst>
        </xdr:cNvPr>
        <xdr:cNvSpPr txBox="1">
          <a:spLocks noChangeArrowheads="1"/>
        </xdr:cNvSpPr>
      </xdr:nvSpPr>
      <xdr:spPr bwMode="auto">
        <a:xfrm>
          <a:off x="5867400" y="1495425"/>
          <a:ext cx="1028700" cy="2190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FFFF00"/>
              </a:solidFill>
              <a:latin typeface="Arial"/>
              <a:cs typeface="Arial"/>
            </a:rPr>
            <a:t>35</a:t>
          </a:r>
        </a:p>
      </xdr:txBody>
    </xdr:sp>
    <xdr:clientData/>
  </xdr:twoCellAnchor>
  <xdr:twoCellAnchor>
    <xdr:from>
      <xdr:col>81</xdr:col>
      <xdr:colOff>87</xdr:colOff>
      <xdr:row>28</xdr:row>
      <xdr:rowOff>85894</xdr:rowOff>
    </xdr:from>
    <xdr:to>
      <xdr:col>82</xdr:col>
      <xdr:colOff>83819</xdr:colOff>
      <xdr:row>30</xdr:row>
      <xdr:rowOff>47408</xdr:rowOff>
    </xdr:to>
    <xdr:cxnSp macro="">
      <xdr:nvCxnSpPr>
        <xdr:cNvPr id="348" name="Connecteur droit 347">
          <a:extLst>
            <a:ext uri="{FF2B5EF4-FFF2-40B4-BE49-F238E27FC236}">
              <a16:creationId xmlns="" xmlns:a16="http://schemas.microsoft.com/office/drawing/2014/main" id="{00000000-0008-0000-2500-00005C010000}"/>
            </a:ext>
          </a:extLst>
        </xdr:cNvPr>
        <xdr:cNvCxnSpPr/>
      </xdr:nvCxnSpPr>
      <xdr:spPr>
        <a:xfrm rot="16200000" flipH="1">
          <a:off x="10407143" y="3291968"/>
          <a:ext cx="201126" cy="2062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80</xdr:col>
      <xdr:colOff>58507</xdr:colOff>
      <xdr:row>29</xdr:row>
      <xdr:rowOff>86529</xdr:rowOff>
    </xdr:from>
    <xdr:to>
      <xdr:col>82</xdr:col>
      <xdr:colOff>3309</xdr:colOff>
      <xdr:row>31</xdr:row>
      <xdr:rowOff>48443</xdr:rowOff>
    </xdr:to>
    <xdr:cxnSp macro="">
      <xdr:nvCxnSpPr>
        <xdr:cNvPr id="349" name="Connecteur droit 348">
          <a:extLst>
            <a:ext uri="{FF2B5EF4-FFF2-40B4-BE49-F238E27FC236}">
              <a16:creationId xmlns="" xmlns:a16="http://schemas.microsoft.com/office/drawing/2014/main" id="{00000000-0008-0000-2500-00005D010000}"/>
            </a:ext>
          </a:extLst>
        </xdr:cNvPr>
        <xdr:cNvCxnSpPr/>
      </xdr:nvCxnSpPr>
      <xdr:spPr>
        <a:xfrm rot="16200000" flipH="1">
          <a:off x="10330943" y="3415793"/>
          <a:ext cx="201126" cy="2062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80</xdr:col>
      <xdr:colOff>74931</xdr:colOff>
      <xdr:row>29</xdr:row>
      <xdr:rowOff>57784</xdr:rowOff>
    </xdr:from>
    <xdr:to>
      <xdr:col>82</xdr:col>
      <xdr:colOff>74933</xdr:colOff>
      <xdr:row>31</xdr:row>
      <xdr:rowOff>58180</xdr:rowOff>
    </xdr:to>
    <xdr:cxnSp macro="">
      <xdr:nvCxnSpPr>
        <xdr:cNvPr id="350" name="Connecteur droit 349">
          <a:extLst>
            <a:ext uri="{FF2B5EF4-FFF2-40B4-BE49-F238E27FC236}">
              <a16:creationId xmlns="" xmlns:a16="http://schemas.microsoft.com/office/drawing/2014/main" id="{00000000-0008-0000-2500-00005E010000}"/>
            </a:ext>
          </a:extLst>
        </xdr:cNvPr>
        <xdr:cNvCxnSpPr/>
      </xdr:nvCxnSpPr>
      <xdr:spPr>
        <a:xfrm rot="10800000" flipV="1">
          <a:off x="10372726" y="3381374"/>
          <a:ext cx="238127" cy="238126"/>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6350</xdr:colOff>
      <xdr:row>23</xdr:row>
      <xdr:rowOff>31750</xdr:rowOff>
    </xdr:from>
    <xdr:to>
      <xdr:col>83</xdr:col>
      <xdr:colOff>19050</xdr:colOff>
      <xdr:row>32</xdr:row>
      <xdr:rowOff>38100</xdr:rowOff>
    </xdr:to>
    <xdr:grpSp>
      <xdr:nvGrpSpPr>
        <xdr:cNvPr id="891073" name="Groupe 350">
          <a:extLst>
            <a:ext uri="{FF2B5EF4-FFF2-40B4-BE49-F238E27FC236}">
              <a16:creationId xmlns="" xmlns:a16="http://schemas.microsoft.com/office/drawing/2014/main" id="{00000000-0008-0000-2500-0000C1980D00}"/>
            </a:ext>
          </a:extLst>
        </xdr:cNvPr>
        <xdr:cNvGrpSpPr>
          <a:grpSpLocks/>
        </xdr:cNvGrpSpPr>
      </xdr:nvGrpSpPr>
      <xdr:grpSpPr bwMode="auto">
        <a:xfrm>
          <a:off x="9010650" y="2660650"/>
          <a:ext cx="1612900" cy="1035050"/>
          <a:chOff x="12182475" y="1047750"/>
          <a:chExt cx="1609725" cy="1038225"/>
        </a:xfrm>
      </xdr:grpSpPr>
      <xdr:sp macro="" textlink="">
        <xdr:nvSpPr>
          <xdr:cNvPr id="352" name="ZoneTexte 351">
            <a:extLst>
              <a:ext uri="{FF2B5EF4-FFF2-40B4-BE49-F238E27FC236}">
                <a16:creationId xmlns="" xmlns:a16="http://schemas.microsoft.com/office/drawing/2014/main" id="{00000000-0008-0000-2500-000060010000}"/>
              </a:ext>
            </a:extLst>
          </xdr:cNvPr>
          <xdr:cNvSpPr txBox="1"/>
        </xdr:nvSpPr>
        <xdr:spPr>
          <a:xfrm rot="1828187">
            <a:off x="12220500" y="1754762"/>
            <a:ext cx="392925" cy="1910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13</a:t>
            </a:r>
          </a:p>
        </xdr:txBody>
      </xdr:sp>
      <xdr:cxnSp macro="">
        <xdr:nvCxnSpPr>
          <xdr:cNvPr id="353" name="Connecteur droit 352">
            <a:extLst>
              <a:ext uri="{FF2B5EF4-FFF2-40B4-BE49-F238E27FC236}">
                <a16:creationId xmlns="" xmlns:a16="http://schemas.microsoft.com/office/drawing/2014/main" id="{00000000-0008-0000-2500-000061010000}"/>
              </a:ext>
            </a:extLst>
          </xdr:cNvPr>
          <xdr:cNvCxnSpPr/>
        </xdr:nvCxnSpPr>
        <xdr:spPr>
          <a:xfrm rot="5400000">
            <a:off x="12257837" y="1863475"/>
            <a:ext cx="273888" cy="171113"/>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54" name="Connecteur droit 353">
            <a:extLst>
              <a:ext uri="{FF2B5EF4-FFF2-40B4-BE49-F238E27FC236}">
                <a16:creationId xmlns="" xmlns:a16="http://schemas.microsoft.com/office/drawing/2014/main" id="{00000000-0008-0000-2500-000062010000}"/>
              </a:ext>
            </a:extLst>
          </xdr:cNvPr>
          <xdr:cNvCxnSpPr/>
        </xdr:nvCxnSpPr>
        <xdr:spPr>
          <a:xfrm>
            <a:off x="12214162" y="1856674"/>
            <a:ext cx="209138" cy="18471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nvGrpSpPr>
          <xdr:cNvPr id="891177" name="Groupe 525">
            <a:extLst>
              <a:ext uri="{FF2B5EF4-FFF2-40B4-BE49-F238E27FC236}">
                <a16:creationId xmlns="" xmlns:a16="http://schemas.microsoft.com/office/drawing/2014/main" id="{00000000-0008-0000-2500-000029990D00}"/>
              </a:ext>
            </a:extLst>
          </xdr:cNvPr>
          <xdr:cNvGrpSpPr>
            <a:grpSpLocks/>
          </xdr:cNvGrpSpPr>
        </xdr:nvGrpSpPr>
        <xdr:grpSpPr bwMode="auto">
          <a:xfrm>
            <a:off x="12182475" y="1047768"/>
            <a:ext cx="1609725" cy="962007"/>
            <a:chOff x="12182475" y="1047768"/>
            <a:chExt cx="1609725" cy="962007"/>
          </a:xfrm>
        </xdr:grpSpPr>
        <xdr:grpSp>
          <xdr:nvGrpSpPr>
            <xdr:cNvPr id="470" name="Groupe 357">
              <a:extLst>
                <a:ext uri="{FF2B5EF4-FFF2-40B4-BE49-F238E27FC236}">
                  <a16:creationId xmlns="" xmlns:a16="http://schemas.microsoft.com/office/drawing/2014/main" id="{00000000-0008-0000-2500-0000D6010000}"/>
                </a:ext>
              </a:extLst>
            </xdr:cNvPr>
            <xdr:cNvGrpSpPr/>
          </xdr:nvGrpSpPr>
          <xdr:grpSpPr>
            <a:xfrm rot="16200000">
              <a:off x="12557829" y="1217421"/>
              <a:ext cx="687904" cy="348563"/>
              <a:chOff x="7810500" y="1704976"/>
              <a:chExt cx="1104900" cy="514350"/>
            </a:xfrm>
            <a:solidFill>
              <a:schemeClr val="tx2">
                <a:lumMod val="60000"/>
                <a:lumOff val="40000"/>
              </a:schemeClr>
            </a:solidFill>
          </xdr:grpSpPr>
          <xdr:sp macro="" textlink="">
            <xdr:nvSpPr>
              <xdr:cNvPr id="364" name="Ellipse 363">
                <a:extLst>
                  <a:ext uri="{FF2B5EF4-FFF2-40B4-BE49-F238E27FC236}">
                    <a16:creationId xmlns="" xmlns:a16="http://schemas.microsoft.com/office/drawing/2014/main" id="{00000000-0008-0000-2500-00006C010000}"/>
                  </a:ext>
                </a:extLst>
              </xdr:cNvPr>
              <xdr:cNvSpPr/>
            </xdr:nvSpPr>
            <xdr:spPr bwMode="auto">
              <a:xfrm>
                <a:off x="7810501" y="1817198"/>
                <a:ext cx="368300" cy="336664"/>
              </a:xfrm>
              <a:prstGeom prst="ellipse">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365" name="Organigramme : Délai 364">
                <a:extLst>
                  <a:ext uri="{FF2B5EF4-FFF2-40B4-BE49-F238E27FC236}">
                    <a16:creationId xmlns="" xmlns:a16="http://schemas.microsoft.com/office/drawing/2014/main" id="{00000000-0008-0000-2500-00006D010000}"/>
                  </a:ext>
                </a:extLst>
              </xdr:cNvPr>
              <xdr:cNvSpPr/>
            </xdr:nvSpPr>
            <xdr:spPr bwMode="auto">
              <a:xfrm>
                <a:off x="7963959" y="1817198"/>
                <a:ext cx="808214" cy="336664"/>
              </a:xfrm>
              <a:prstGeom prst="flowChartDelay">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366" name="Ellipse 365">
                <a:extLst>
                  <a:ext uri="{FF2B5EF4-FFF2-40B4-BE49-F238E27FC236}">
                    <a16:creationId xmlns="" xmlns:a16="http://schemas.microsoft.com/office/drawing/2014/main" id="{00000000-0008-0000-2500-00006E010000}"/>
                  </a:ext>
                </a:extLst>
              </xdr:cNvPr>
              <xdr:cNvSpPr/>
            </xdr:nvSpPr>
            <xdr:spPr bwMode="auto">
              <a:xfrm>
                <a:off x="8485717" y="1704977"/>
                <a:ext cx="501297" cy="514349"/>
              </a:xfrm>
              <a:prstGeom prst="ellipse">
                <a:avLst/>
              </a:prstGeom>
              <a:solidFill>
                <a:schemeClr val="accent1">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grpSp>
        <xdr:sp macro="" textlink="">
          <xdr:nvSpPr>
            <xdr:cNvPr id="357" name="Rectangle 356">
              <a:extLst>
                <a:ext uri="{FF2B5EF4-FFF2-40B4-BE49-F238E27FC236}">
                  <a16:creationId xmlns="" xmlns:a16="http://schemas.microsoft.com/office/drawing/2014/main" id="{00000000-0008-0000-2500-000065010000}"/>
                </a:ext>
              </a:extLst>
            </xdr:cNvPr>
            <xdr:cNvSpPr/>
          </xdr:nvSpPr>
          <xdr:spPr>
            <a:xfrm rot="2786224">
              <a:off x="13046073" y="1484427"/>
              <a:ext cx="585992" cy="14576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sp macro="" textlink="">
          <xdr:nvSpPr>
            <xdr:cNvPr id="358" name="Rectangle 362">
              <a:extLst>
                <a:ext uri="{FF2B5EF4-FFF2-40B4-BE49-F238E27FC236}">
                  <a16:creationId xmlns="" xmlns:a16="http://schemas.microsoft.com/office/drawing/2014/main" id="{00000000-0008-0000-2500-000066010000}"/>
                </a:ext>
              </a:extLst>
            </xdr:cNvPr>
            <xdr:cNvSpPr/>
          </xdr:nvSpPr>
          <xdr:spPr>
            <a:xfrm rot="17801563">
              <a:off x="12228535" y="1446210"/>
              <a:ext cx="585992" cy="14576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xnSp macro="">
          <xdr:nvCxnSpPr>
            <xdr:cNvPr id="359" name="Connecteur droit avec flèche 364">
              <a:extLst>
                <a:ext uri="{FF2B5EF4-FFF2-40B4-BE49-F238E27FC236}">
                  <a16:creationId xmlns="" xmlns:a16="http://schemas.microsoft.com/office/drawing/2014/main" id="{00000000-0008-0000-2500-000067010000}"/>
                </a:ext>
              </a:extLst>
            </xdr:cNvPr>
            <xdr:cNvCxnSpPr/>
          </xdr:nvCxnSpPr>
          <xdr:spPr>
            <a:xfrm rot="5400000" flipH="1" flipV="1">
              <a:off x="12904854" y="1298558"/>
              <a:ext cx="38217" cy="950625"/>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360" name="ZoneTexte 359">
              <a:extLst>
                <a:ext uri="{FF2B5EF4-FFF2-40B4-BE49-F238E27FC236}">
                  <a16:creationId xmlns="" xmlns:a16="http://schemas.microsoft.com/office/drawing/2014/main" id="{00000000-0008-0000-2500-000068010000}"/>
                </a:ext>
              </a:extLst>
            </xdr:cNvPr>
            <xdr:cNvSpPr txBox="1"/>
          </xdr:nvSpPr>
          <xdr:spPr>
            <a:xfrm>
              <a:off x="12765525" y="1735654"/>
              <a:ext cx="405600" cy="171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15</a:t>
              </a:r>
            </a:p>
          </xdr:txBody>
        </xdr:sp>
        <xdr:cxnSp macro="">
          <xdr:nvCxnSpPr>
            <xdr:cNvPr id="361" name="Connecteur droit 360">
              <a:extLst>
                <a:ext uri="{FF2B5EF4-FFF2-40B4-BE49-F238E27FC236}">
                  <a16:creationId xmlns="" xmlns:a16="http://schemas.microsoft.com/office/drawing/2014/main" id="{00000000-0008-0000-2500-000069010000}"/>
                </a:ext>
              </a:extLst>
            </xdr:cNvPr>
            <xdr:cNvCxnSpPr/>
          </xdr:nvCxnSpPr>
          <xdr:spPr>
            <a:xfrm rot="5400000">
              <a:off x="12131103" y="1793395"/>
              <a:ext cx="267518" cy="1647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362" name="ZoneTexte 361">
              <a:extLst>
                <a:ext uri="{FF2B5EF4-FFF2-40B4-BE49-F238E27FC236}">
                  <a16:creationId xmlns="" xmlns:a16="http://schemas.microsoft.com/office/drawing/2014/main" id="{00000000-0008-0000-2500-00006A010000}"/>
                </a:ext>
              </a:extLst>
            </xdr:cNvPr>
            <xdr:cNvSpPr txBox="1"/>
          </xdr:nvSpPr>
          <xdr:spPr>
            <a:xfrm rot="19191446">
              <a:off x="13399275" y="1665589"/>
              <a:ext cx="392925" cy="1910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13</a:t>
              </a:r>
            </a:p>
          </xdr:txBody>
        </xdr:sp>
        <xdr:sp macro="" textlink="">
          <xdr:nvSpPr>
            <xdr:cNvPr id="363" name="ZoneTexte 362">
              <a:extLst>
                <a:ext uri="{FF2B5EF4-FFF2-40B4-BE49-F238E27FC236}">
                  <a16:creationId xmlns="" xmlns:a16="http://schemas.microsoft.com/office/drawing/2014/main" id="{00000000-0008-0000-2500-00006B010000}"/>
                </a:ext>
              </a:extLst>
            </xdr:cNvPr>
            <xdr:cNvSpPr txBox="1"/>
          </xdr:nvSpPr>
          <xdr:spPr>
            <a:xfrm rot="2520652">
              <a:off x="13361250" y="1283421"/>
              <a:ext cx="380250" cy="171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15</a:t>
              </a:r>
            </a:p>
          </xdr:txBody>
        </xdr:sp>
      </xdr:grpSp>
    </xdr:grpSp>
    <xdr:clientData/>
  </xdr:twoCellAnchor>
  <xdr:twoCellAnchor>
    <xdr:from>
      <xdr:col>81</xdr:col>
      <xdr:colOff>61179</xdr:colOff>
      <xdr:row>27</xdr:row>
      <xdr:rowOff>20954</xdr:rowOff>
    </xdr:from>
    <xdr:to>
      <xdr:col>82</xdr:col>
      <xdr:colOff>110335</xdr:colOff>
      <xdr:row>28</xdr:row>
      <xdr:rowOff>84649</xdr:rowOff>
    </xdr:to>
    <xdr:cxnSp macro="">
      <xdr:nvCxnSpPr>
        <xdr:cNvPr id="367" name="Connecteur droit 366">
          <a:extLst>
            <a:ext uri="{FF2B5EF4-FFF2-40B4-BE49-F238E27FC236}">
              <a16:creationId xmlns="" xmlns:a16="http://schemas.microsoft.com/office/drawing/2014/main" id="{00000000-0008-0000-2500-00006F010000}"/>
            </a:ext>
          </a:extLst>
        </xdr:cNvPr>
        <xdr:cNvCxnSpPr/>
      </xdr:nvCxnSpPr>
      <xdr:spPr>
        <a:xfrm rot="10800000" flipV="1">
          <a:off x="10443429" y="3114674"/>
          <a:ext cx="176947" cy="1973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85856</xdr:colOff>
      <xdr:row>23</xdr:row>
      <xdr:rowOff>58293</xdr:rowOff>
    </xdr:from>
    <xdr:to>
      <xdr:col>79</xdr:col>
      <xdr:colOff>57292</xdr:colOff>
      <xdr:row>25</xdr:row>
      <xdr:rowOff>57757</xdr:rowOff>
    </xdr:to>
    <xdr:cxnSp macro="">
      <xdr:nvCxnSpPr>
        <xdr:cNvPr id="368" name="Connecteur droit 367">
          <a:extLst>
            <a:ext uri="{FF2B5EF4-FFF2-40B4-BE49-F238E27FC236}">
              <a16:creationId xmlns="" xmlns:a16="http://schemas.microsoft.com/office/drawing/2014/main" id="{00000000-0008-0000-2500-000070010000}"/>
            </a:ext>
          </a:extLst>
        </xdr:cNvPr>
        <xdr:cNvCxnSpPr/>
      </xdr:nvCxnSpPr>
      <xdr:spPr>
        <a:xfrm flipH="1">
          <a:off x="10038211" y="2692908"/>
          <a:ext cx="189086" cy="22129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38100</xdr:colOff>
      <xdr:row>12</xdr:row>
      <xdr:rowOff>19050</xdr:rowOff>
    </xdr:from>
    <xdr:to>
      <xdr:col>29</xdr:col>
      <xdr:colOff>38100</xdr:colOff>
      <xdr:row>24</xdr:row>
      <xdr:rowOff>0</xdr:rowOff>
    </xdr:to>
    <xdr:cxnSp macro="">
      <xdr:nvCxnSpPr>
        <xdr:cNvPr id="891076" name="Straight Connector 267">
          <a:extLst>
            <a:ext uri="{FF2B5EF4-FFF2-40B4-BE49-F238E27FC236}">
              <a16:creationId xmlns="" xmlns:a16="http://schemas.microsoft.com/office/drawing/2014/main" id="{00000000-0008-0000-2500-0000C4980D00}"/>
            </a:ext>
          </a:extLst>
        </xdr:cNvPr>
        <xdr:cNvCxnSpPr>
          <a:cxnSpLocks noChangeShapeType="1"/>
        </xdr:cNvCxnSpPr>
      </xdr:nvCxnSpPr>
      <xdr:spPr bwMode="auto">
        <a:xfrm rot="16200000" flipH="1">
          <a:off x="3794125" y="2066925"/>
          <a:ext cx="1352550" cy="0"/>
        </a:xfrm>
        <a:prstGeom prst="line">
          <a:avLst/>
        </a:prstGeom>
        <a:noFill/>
        <a:ln w="19050" algn="ctr">
          <a:solidFill>
            <a:srgbClr val="000000"/>
          </a:solidFill>
          <a:prstDash val="dashDot"/>
          <a:round/>
          <a:headEnd/>
          <a:tailEnd/>
        </a:ln>
        <a:extLst>
          <a:ext uri="{909E8E84-426E-40DD-AFC4-6F175D3DCCD1}">
            <a14:hiddenFill xmlns:a14="http://schemas.microsoft.com/office/drawing/2010/main">
              <a:noFill/>
            </a14:hiddenFill>
          </a:ext>
        </a:extLst>
      </xdr:spPr>
    </xdr:cxnSp>
    <xdr:clientData/>
  </xdr:twoCellAnchor>
  <xdr:twoCellAnchor>
    <xdr:from>
      <xdr:col>3</xdr:col>
      <xdr:colOff>279400</xdr:colOff>
      <xdr:row>28</xdr:row>
      <xdr:rowOff>50800</xdr:rowOff>
    </xdr:from>
    <xdr:to>
      <xdr:col>11</xdr:col>
      <xdr:colOff>76200</xdr:colOff>
      <xdr:row>29</xdr:row>
      <xdr:rowOff>76200</xdr:rowOff>
    </xdr:to>
    <xdr:sp macro="" textlink="">
      <xdr:nvSpPr>
        <xdr:cNvPr id="891077" name="Rectangle 491" descr="Horizontal brick">
          <a:extLst>
            <a:ext uri="{FF2B5EF4-FFF2-40B4-BE49-F238E27FC236}">
              <a16:creationId xmlns="" xmlns:a16="http://schemas.microsoft.com/office/drawing/2014/main" id="{00000000-0008-0000-2500-0000C5980D00}"/>
            </a:ext>
          </a:extLst>
        </xdr:cNvPr>
        <xdr:cNvSpPr>
          <a:spLocks noChangeArrowheads="1"/>
        </xdr:cNvSpPr>
      </xdr:nvSpPr>
      <xdr:spPr bwMode="auto">
        <a:xfrm rot="-5400000">
          <a:off x="1778000" y="2717800"/>
          <a:ext cx="139700" cy="12065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3</xdr:col>
      <xdr:colOff>279400</xdr:colOff>
      <xdr:row>28</xdr:row>
      <xdr:rowOff>57150</xdr:rowOff>
    </xdr:from>
    <xdr:to>
      <xdr:col>3</xdr:col>
      <xdr:colOff>419100</xdr:colOff>
      <xdr:row>36</xdr:row>
      <xdr:rowOff>57150</xdr:rowOff>
    </xdr:to>
    <xdr:sp macro="" textlink="">
      <xdr:nvSpPr>
        <xdr:cNvPr id="891078" name="Rectangle 497" descr="Horizontal brick">
          <a:extLst>
            <a:ext uri="{FF2B5EF4-FFF2-40B4-BE49-F238E27FC236}">
              <a16:creationId xmlns="" xmlns:a16="http://schemas.microsoft.com/office/drawing/2014/main" id="{00000000-0008-0000-2500-0000C6980D00}"/>
            </a:ext>
          </a:extLst>
        </xdr:cNvPr>
        <xdr:cNvSpPr>
          <a:spLocks noChangeArrowheads="1"/>
        </xdr:cNvSpPr>
      </xdr:nvSpPr>
      <xdr:spPr bwMode="auto">
        <a:xfrm rot="-5400000">
          <a:off x="857250" y="3644900"/>
          <a:ext cx="914400" cy="1397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11</xdr:col>
      <xdr:colOff>0</xdr:colOff>
      <xdr:row>30</xdr:row>
      <xdr:rowOff>61595</xdr:rowOff>
    </xdr:from>
    <xdr:to>
      <xdr:col>11</xdr:col>
      <xdr:colOff>58688</xdr:colOff>
      <xdr:row>35</xdr:row>
      <xdr:rowOff>187</xdr:rowOff>
    </xdr:to>
    <xdr:sp macro="" textlink="">
      <xdr:nvSpPr>
        <xdr:cNvPr id="372" name="Rectangle 371">
          <a:extLst>
            <a:ext uri="{FF2B5EF4-FFF2-40B4-BE49-F238E27FC236}">
              <a16:creationId xmlns="" xmlns:a16="http://schemas.microsoft.com/office/drawing/2014/main" id="{00000000-0008-0000-2500-000074010000}"/>
            </a:ext>
          </a:extLst>
        </xdr:cNvPr>
        <xdr:cNvSpPr/>
      </xdr:nvSpPr>
      <xdr:spPr>
        <a:xfrm>
          <a:off x="2390775" y="3448050"/>
          <a:ext cx="76200" cy="552450"/>
        </a:xfrm>
        <a:prstGeom prst="rect">
          <a:avLst/>
        </a:prstGeom>
        <a:solidFill>
          <a:schemeClr val="accent6">
            <a:lumMod val="60000"/>
            <a:lumOff val="40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3</xdr:col>
      <xdr:colOff>448945</xdr:colOff>
      <xdr:row>31</xdr:row>
      <xdr:rowOff>60960</xdr:rowOff>
    </xdr:from>
    <xdr:to>
      <xdr:col>7</xdr:col>
      <xdr:colOff>61458</xdr:colOff>
      <xdr:row>34</xdr:row>
      <xdr:rowOff>94657</xdr:rowOff>
    </xdr:to>
    <xdr:sp macro="" textlink="">
      <xdr:nvSpPr>
        <xdr:cNvPr id="373" name="Rectangle 372">
          <a:extLst>
            <a:ext uri="{FF2B5EF4-FFF2-40B4-BE49-F238E27FC236}">
              <a16:creationId xmlns="" xmlns:a16="http://schemas.microsoft.com/office/drawing/2014/main" id="{00000000-0008-0000-2500-000075010000}"/>
            </a:ext>
          </a:extLst>
        </xdr:cNvPr>
        <xdr:cNvSpPr/>
      </xdr:nvSpPr>
      <xdr:spPr>
        <a:xfrm>
          <a:off x="1524000" y="3581400"/>
          <a:ext cx="495300" cy="409575"/>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3</xdr:col>
      <xdr:colOff>276860</xdr:colOff>
      <xdr:row>26</xdr:row>
      <xdr:rowOff>80961</xdr:rowOff>
    </xdr:from>
    <xdr:to>
      <xdr:col>10</xdr:col>
      <xdr:colOff>24130</xdr:colOff>
      <xdr:row>26</xdr:row>
      <xdr:rowOff>81279</xdr:rowOff>
    </xdr:to>
    <xdr:cxnSp macro="">
      <xdr:nvCxnSpPr>
        <xdr:cNvPr id="374" name="Connecteur droit avec flèche 373">
          <a:extLst>
            <a:ext uri="{FF2B5EF4-FFF2-40B4-BE49-F238E27FC236}">
              <a16:creationId xmlns="" xmlns:a16="http://schemas.microsoft.com/office/drawing/2014/main" id="{00000000-0008-0000-2500-000076010000}"/>
            </a:ext>
          </a:extLst>
        </xdr:cNvPr>
        <xdr:cNvCxnSpPr>
          <a:stCxn id="890912" idx="0"/>
        </xdr:cNvCxnSpPr>
      </xdr:nvCxnSpPr>
      <xdr:spPr>
        <a:xfrm rot="10800000" flipV="1">
          <a:off x="1304925" y="3062286"/>
          <a:ext cx="990600" cy="4763"/>
        </a:xfrm>
        <a:prstGeom prst="straightConnector1">
          <a:avLst/>
        </a:prstGeom>
        <a:ln>
          <a:solidFill>
            <a:schemeClr val="bg2">
              <a:lumMod val="25000"/>
            </a:schemeClr>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74295</xdr:colOff>
      <xdr:row>24</xdr:row>
      <xdr:rowOff>81915</xdr:rowOff>
    </xdr:from>
    <xdr:to>
      <xdr:col>16</xdr:col>
      <xdr:colOff>57739</xdr:colOff>
      <xdr:row>28</xdr:row>
      <xdr:rowOff>255</xdr:rowOff>
    </xdr:to>
    <xdr:sp macro="" textlink="">
      <xdr:nvSpPr>
        <xdr:cNvPr id="375" name="Text Box 470">
          <a:extLst>
            <a:ext uri="{FF2B5EF4-FFF2-40B4-BE49-F238E27FC236}">
              <a16:creationId xmlns="" xmlns:a16="http://schemas.microsoft.com/office/drawing/2014/main" id="{00000000-0008-0000-2500-000077010000}"/>
            </a:ext>
          </a:extLst>
        </xdr:cNvPr>
        <xdr:cNvSpPr txBox="1">
          <a:spLocks noChangeArrowheads="1"/>
        </xdr:cNvSpPr>
      </xdr:nvSpPr>
      <xdr:spPr bwMode="auto">
        <a:xfrm>
          <a:off x="1676400" y="2828925"/>
          <a:ext cx="1343025" cy="3714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100</a:t>
          </a:r>
        </a:p>
      </xdr:txBody>
    </xdr:sp>
    <xdr:clientData/>
  </xdr:twoCellAnchor>
  <xdr:twoCellAnchor>
    <xdr:from>
      <xdr:col>3</xdr:col>
      <xdr:colOff>295752</xdr:colOff>
      <xdr:row>25</xdr:row>
      <xdr:rowOff>82709</xdr:rowOff>
    </xdr:from>
    <xdr:to>
      <xdr:col>3</xdr:col>
      <xdr:colOff>290514</xdr:colOff>
      <xdr:row>28</xdr:row>
      <xdr:rowOff>1152</xdr:rowOff>
    </xdr:to>
    <xdr:cxnSp macro="">
      <xdr:nvCxnSpPr>
        <xdr:cNvPr id="376" name="Connecteur droit 375">
          <a:extLst>
            <a:ext uri="{FF2B5EF4-FFF2-40B4-BE49-F238E27FC236}">
              <a16:creationId xmlns="" xmlns:a16="http://schemas.microsoft.com/office/drawing/2014/main" id="{00000000-0008-0000-2500-000078010000}"/>
            </a:ext>
          </a:extLst>
        </xdr:cNvPr>
        <xdr:cNvCxnSpPr/>
      </xdr:nvCxnSpPr>
      <xdr:spPr>
        <a:xfrm rot="5400000" flipH="1" flipV="1">
          <a:off x="1195388" y="3071813"/>
          <a:ext cx="257175" cy="1588"/>
        </a:xfrm>
        <a:prstGeom prst="line">
          <a:avLst/>
        </a:prstGeom>
        <a:ln>
          <a:solidFill>
            <a:schemeClr val="bg2">
              <a:lumMod val="2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147161</xdr:colOff>
      <xdr:row>28</xdr:row>
      <xdr:rowOff>58579</xdr:rowOff>
    </xdr:from>
    <xdr:to>
      <xdr:col>3</xdr:col>
      <xdr:colOff>133509</xdr:colOff>
      <xdr:row>36</xdr:row>
      <xdr:rowOff>103015</xdr:rowOff>
    </xdr:to>
    <xdr:cxnSp macro="">
      <xdr:nvCxnSpPr>
        <xdr:cNvPr id="377" name="Connecteur droit avec flèche 376">
          <a:extLst>
            <a:ext uri="{FF2B5EF4-FFF2-40B4-BE49-F238E27FC236}">
              <a16:creationId xmlns="" xmlns:a16="http://schemas.microsoft.com/office/drawing/2014/main" id="{00000000-0008-0000-2500-000079010000}"/>
            </a:ext>
          </a:extLst>
        </xdr:cNvPr>
        <xdr:cNvCxnSpPr/>
      </xdr:nvCxnSpPr>
      <xdr:spPr>
        <a:xfrm rot="5400000">
          <a:off x="666750" y="3733800"/>
          <a:ext cx="952500" cy="1588"/>
        </a:xfrm>
        <a:prstGeom prst="straightConnector1">
          <a:avLst/>
        </a:prstGeom>
        <a:ln>
          <a:solidFill>
            <a:schemeClr val="bg2">
              <a:lumMod val="25000"/>
            </a:schemeClr>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64136</xdr:colOff>
      <xdr:row>28</xdr:row>
      <xdr:rowOff>57785</xdr:rowOff>
    </xdr:from>
    <xdr:to>
      <xdr:col>3</xdr:col>
      <xdr:colOff>197855</xdr:colOff>
      <xdr:row>28</xdr:row>
      <xdr:rowOff>61278</xdr:rowOff>
    </xdr:to>
    <xdr:cxnSp macro="">
      <xdr:nvCxnSpPr>
        <xdr:cNvPr id="378" name="Connecteur droit 377">
          <a:extLst>
            <a:ext uri="{FF2B5EF4-FFF2-40B4-BE49-F238E27FC236}">
              <a16:creationId xmlns="" xmlns:a16="http://schemas.microsoft.com/office/drawing/2014/main" id="{00000000-0008-0000-2500-00007A010000}"/>
            </a:ext>
          </a:extLst>
        </xdr:cNvPr>
        <xdr:cNvCxnSpPr/>
      </xdr:nvCxnSpPr>
      <xdr:spPr>
        <a:xfrm rot="10800000">
          <a:off x="1038226" y="3276600"/>
          <a:ext cx="219075" cy="1588"/>
        </a:xfrm>
        <a:prstGeom prst="line">
          <a:avLst/>
        </a:prstGeom>
        <a:ln>
          <a:solidFill>
            <a:schemeClr val="bg2">
              <a:lumMod val="2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xdr:colOff>
      <xdr:row>37</xdr:row>
      <xdr:rowOff>1586</xdr:rowOff>
    </xdr:from>
    <xdr:to>
      <xdr:col>3</xdr:col>
      <xdr:colOff>256049</xdr:colOff>
      <xdr:row>37</xdr:row>
      <xdr:rowOff>1586</xdr:rowOff>
    </xdr:to>
    <xdr:cxnSp macro="">
      <xdr:nvCxnSpPr>
        <xdr:cNvPr id="379" name="Connecteur droit 378">
          <a:extLst>
            <a:ext uri="{FF2B5EF4-FFF2-40B4-BE49-F238E27FC236}">
              <a16:creationId xmlns="" xmlns:a16="http://schemas.microsoft.com/office/drawing/2014/main" id="{00000000-0008-0000-2500-00007B010000}"/>
            </a:ext>
          </a:extLst>
        </xdr:cNvPr>
        <xdr:cNvCxnSpPr/>
      </xdr:nvCxnSpPr>
      <xdr:spPr>
        <a:xfrm rot="10800000" flipV="1">
          <a:off x="981076" y="4214811"/>
          <a:ext cx="304801" cy="4764"/>
        </a:xfrm>
        <a:prstGeom prst="line">
          <a:avLst/>
        </a:prstGeom>
        <a:ln>
          <a:solidFill>
            <a:schemeClr val="bg2">
              <a:lumMod val="2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0</xdr:colOff>
      <xdr:row>31</xdr:row>
      <xdr:rowOff>94615</xdr:rowOff>
    </xdr:from>
    <xdr:to>
      <xdr:col>3</xdr:col>
      <xdr:colOff>112220</xdr:colOff>
      <xdr:row>34</xdr:row>
      <xdr:rowOff>114223</xdr:rowOff>
    </xdr:to>
    <xdr:sp macro="" textlink="">
      <xdr:nvSpPr>
        <xdr:cNvPr id="380" name="Text Box 470">
          <a:extLst>
            <a:ext uri="{FF2B5EF4-FFF2-40B4-BE49-F238E27FC236}">
              <a16:creationId xmlns="" xmlns:a16="http://schemas.microsoft.com/office/drawing/2014/main" id="{00000000-0008-0000-2500-00007C010000}"/>
            </a:ext>
          </a:extLst>
        </xdr:cNvPr>
        <xdr:cNvSpPr txBox="1">
          <a:spLocks noChangeArrowheads="1"/>
        </xdr:cNvSpPr>
      </xdr:nvSpPr>
      <xdr:spPr bwMode="auto">
        <a:xfrm>
          <a:off x="981075" y="3638550"/>
          <a:ext cx="161925" cy="3619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120</a:t>
          </a:r>
        </a:p>
      </xdr:txBody>
    </xdr:sp>
    <xdr:clientData/>
  </xdr:twoCellAnchor>
  <xdr:twoCellAnchor>
    <xdr:from>
      <xdr:col>4</xdr:col>
      <xdr:colOff>24765</xdr:colOff>
      <xdr:row>33</xdr:row>
      <xdr:rowOff>60960</xdr:rowOff>
    </xdr:from>
    <xdr:to>
      <xdr:col>5</xdr:col>
      <xdr:colOff>24765</xdr:colOff>
      <xdr:row>34</xdr:row>
      <xdr:rowOff>2466</xdr:rowOff>
    </xdr:to>
    <xdr:sp macro="" textlink="">
      <xdr:nvSpPr>
        <xdr:cNvPr id="381" name="Ellipse 380">
          <a:extLst>
            <a:ext uri="{FF2B5EF4-FFF2-40B4-BE49-F238E27FC236}">
              <a16:creationId xmlns="" xmlns:a16="http://schemas.microsoft.com/office/drawing/2014/main" id="{00000000-0008-0000-2500-00007D010000}"/>
            </a:ext>
          </a:extLst>
        </xdr:cNvPr>
        <xdr:cNvSpPr/>
      </xdr:nvSpPr>
      <xdr:spPr>
        <a:xfrm>
          <a:off x="1609725" y="3810000"/>
          <a:ext cx="114300" cy="104775"/>
        </a:xfrm>
        <a:prstGeom prst="ellipse">
          <a:avLst/>
        </a:prstGeom>
        <a:solidFill>
          <a:srgbClr val="FFFF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4</xdr:col>
      <xdr:colOff>56515</xdr:colOff>
      <xdr:row>32</xdr:row>
      <xdr:rowOff>57785</xdr:rowOff>
    </xdr:from>
    <xdr:to>
      <xdr:col>4</xdr:col>
      <xdr:colOff>86074</xdr:colOff>
      <xdr:row>33</xdr:row>
      <xdr:rowOff>61261</xdr:rowOff>
    </xdr:to>
    <xdr:cxnSp macro="">
      <xdr:nvCxnSpPr>
        <xdr:cNvPr id="382" name="Connecteur droit 381">
          <a:extLst>
            <a:ext uri="{FF2B5EF4-FFF2-40B4-BE49-F238E27FC236}">
              <a16:creationId xmlns="" xmlns:a16="http://schemas.microsoft.com/office/drawing/2014/main" id="{00000000-0008-0000-2500-00007E010000}"/>
            </a:ext>
          </a:extLst>
        </xdr:cNvPr>
        <xdr:cNvCxnSpPr>
          <a:stCxn id="381" idx="0"/>
        </xdr:cNvCxnSpPr>
      </xdr:nvCxnSpPr>
      <xdr:spPr>
        <a:xfrm rot="5400000" flipH="1" flipV="1">
          <a:off x="1638300" y="3743325"/>
          <a:ext cx="95250" cy="38100"/>
        </a:xfrm>
        <a:prstGeom prst="line">
          <a:avLst/>
        </a:prstGeom>
        <a:ln w="19050">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94385</xdr:colOff>
      <xdr:row>33</xdr:row>
      <xdr:rowOff>94616</xdr:rowOff>
    </xdr:from>
    <xdr:to>
      <xdr:col>6</xdr:col>
      <xdr:colOff>60540</xdr:colOff>
      <xdr:row>34</xdr:row>
      <xdr:rowOff>24859</xdr:rowOff>
    </xdr:to>
    <xdr:cxnSp macro="">
      <xdr:nvCxnSpPr>
        <xdr:cNvPr id="383" name="Connecteur droit 382">
          <a:extLst>
            <a:ext uri="{FF2B5EF4-FFF2-40B4-BE49-F238E27FC236}">
              <a16:creationId xmlns="" xmlns:a16="http://schemas.microsoft.com/office/drawing/2014/main" id="{00000000-0008-0000-2500-00007F010000}"/>
            </a:ext>
          </a:extLst>
        </xdr:cNvPr>
        <xdr:cNvCxnSpPr/>
      </xdr:nvCxnSpPr>
      <xdr:spPr>
        <a:xfrm rot="5400000" flipH="1" flipV="1">
          <a:off x="1765133" y="3828353"/>
          <a:ext cx="15344" cy="111989"/>
        </a:xfrm>
        <a:prstGeom prst="line">
          <a:avLst/>
        </a:prstGeom>
        <a:ln w="19050">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74931</xdr:colOff>
      <xdr:row>33</xdr:row>
      <xdr:rowOff>638</xdr:rowOff>
    </xdr:from>
    <xdr:to>
      <xdr:col>5</xdr:col>
      <xdr:colOff>74933</xdr:colOff>
      <xdr:row>33</xdr:row>
      <xdr:rowOff>79496</xdr:rowOff>
    </xdr:to>
    <xdr:cxnSp macro="">
      <xdr:nvCxnSpPr>
        <xdr:cNvPr id="384" name="Connecteur droit 383">
          <a:extLst>
            <a:ext uri="{FF2B5EF4-FFF2-40B4-BE49-F238E27FC236}">
              <a16:creationId xmlns="" xmlns:a16="http://schemas.microsoft.com/office/drawing/2014/main" id="{00000000-0008-0000-2500-000080010000}"/>
            </a:ext>
          </a:extLst>
        </xdr:cNvPr>
        <xdr:cNvCxnSpPr/>
      </xdr:nvCxnSpPr>
      <xdr:spPr>
        <a:xfrm flipV="1">
          <a:off x="1695451" y="3781428"/>
          <a:ext cx="104777" cy="66673"/>
        </a:xfrm>
        <a:prstGeom prst="line">
          <a:avLst/>
        </a:prstGeom>
        <a:ln w="19050">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372380</xdr:colOff>
      <xdr:row>40</xdr:row>
      <xdr:rowOff>86226</xdr:rowOff>
    </xdr:from>
    <xdr:to>
      <xdr:col>26</xdr:col>
      <xdr:colOff>56466</xdr:colOff>
      <xdr:row>41</xdr:row>
      <xdr:rowOff>47747</xdr:rowOff>
    </xdr:to>
    <xdr:sp macro="" textlink="">
      <xdr:nvSpPr>
        <xdr:cNvPr id="385" name="Rectangle 384">
          <a:extLst>
            <a:ext uri="{FF2B5EF4-FFF2-40B4-BE49-F238E27FC236}">
              <a16:creationId xmlns="" xmlns:a16="http://schemas.microsoft.com/office/drawing/2014/main" id="{00000000-0008-0000-2500-000081010000}"/>
            </a:ext>
          </a:extLst>
        </xdr:cNvPr>
        <xdr:cNvSpPr/>
      </xdr:nvSpPr>
      <xdr:spPr>
        <a:xfrm rot="12994732">
          <a:off x="1441720" y="4697596"/>
          <a:ext cx="2725189" cy="54522"/>
        </a:xfrm>
        <a:prstGeom prst="rect">
          <a:avLst/>
        </a:prstGeom>
        <a:noFill/>
        <a:ln>
          <a:solidFill>
            <a:srgbClr val="92D05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23</xdr:col>
      <xdr:colOff>74930</xdr:colOff>
      <xdr:row>47</xdr:row>
      <xdr:rowOff>20321</xdr:rowOff>
    </xdr:from>
    <xdr:to>
      <xdr:col>29</xdr:col>
      <xdr:colOff>74930</xdr:colOff>
      <xdr:row>49</xdr:row>
      <xdr:rowOff>85689</xdr:rowOff>
    </xdr:to>
    <xdr:sp macro="" textlink="">
      <xdr:nvSpPr>
        <xdr:cNvPr id="386" name="ZoneTexte 385">
          <a:extLst>
            <a:ext uri="{FF2B5EF4-FFF2-40B4-BE49-F238E27FC236}">
              <a16:creationId xmlns="" xmlns:a16="http://schemas.microsoft.com/office/drawing/2014/main" id="{00000000-0008-0000-2500-000082010000}"/>
            </a:ext>
          </a:extLst>
        </xdr:cNvPr>
        <xdr:cNvSpPr txBox="1"/>
      </xdr:nvSpPr>
      <xdr:spPr>
        <a:xfrm>
          <a:off x="3867150" y="5400676"/>
          <a:ext cx="676275" cy="2952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t>PUITS PERDU</a:t>
          </a:r>
        </a:p>
      </xdr:txBody>
    </xdr:sp>
    <xdr:clientData/>
  </xdr:twoCellAnchor>
  <xdr:twoCellAnchor editAs="oneCell">
    <xdr:from>
      <xdr:col>15</xdr:col>
      <xdr:colOff>74930</xdr:colOff>
      <xdr:row>49</xdr:row>
      <xdr:rowOff>57785</xdr:rowOff>
    </xdr:from>
    <xdr:to>
      <xdr:col>46</xdr:col>
      <xdr:colOff>95238</xdr:colOff>
      <xdr:row>53</xdr:row>
      <xdr:rowOff>623</xdr:rowOff>
    </xdr:to>
    <xdr:sp macro="" textlink="">
      <xdr:nvSpPr>
        <xdr:cNvPr id="387" name="Text Box 470">
          <a:extLst>
            <a:ext uri="{FF2B5EF4-FFF2-40B4-BE49-F238E27FC236}">
              <a16:creationId xmlns="" xmlns:a16="http://schemas.microsoft.com/office/drawing/2014/main" id="{00000000-0008-0000-2500-000083010000}"/>
            </a:ext>
          </a:extLst>
        </xdr:cNvPr>
        <xdr:cNvSpPr txBox="1">
          <a:spLocks noChangeArrowheads="1"/>
        </xdr:cNvSpPr>
      </xdr:nvSpPr>
      <xdr:spPr bwMode="auto">
        <a:xfrm>
          <a:off x="2943225" y="5676900"/>
          <a:ext cx="3562350" cy="3810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PVC 75mm</a:t>
          </a:r>
        </a:p>
      </xdr:txBody>
    </xdr:sp>
    <xdr:clientData/>
  </xdr:twoCellAnchor>
  <xdr:twoCellAnchor>
    <xdr:from>
      <xdr:col>20</xdr:col>
      <xdr:colOff>4446</xdr:colOff>
      <xdr:row>46</xdr:row>
      <xdr:rowOff>94618</xdr:rowOff>
    </xdr:from>
    <xdr:to>
      <xdr:col>21</xdr:col>
      <xdr:colOff>58234</xdr:colOff>
      <xdr:row>49</xdr:row>
      <xdr:rowOff>57854</xdr:rowOff>
    </xdr:to>
    <xdr:cxnSp macro="">
      <xdr:nvCxnSpPr>
        <xdr:cNvPr id="388" name="Connecteur droit avec flèche 387">
          <a:extLst>
            <a:ext uri="{FF2B5EF4-FFF2-40B4-BE49-F238E27FC236}">
              <a16:creationId xmlns="" xmlns:a16="http://schemas.microsoft.com/office/drawing/2014/main" id="{00000000-0008-0000-2500-000084010000}"/>
            </a:ext>
          </a:extLst>
        </xdr:cNvPr>
        <xdr:cNvCxnSpPr/>
      </xdr:nvCxnSpPr>
      <xdr:spPr>
        <a:xfrm rot="5400000" flipH="1" flipV="1">
          <a:off x="3367089" y="5443540"/>
          <a:ext cx="323850" cy="1428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74930</xdr:colOff>
      <xdr:row>29</xdr:row>
      <xdr:rowOff>94615</xdr:rowOff>
    </xdr:from>
    <xdr:to>
      <xdr:col>10</xdr:col>
      <xdr:colOff>56454</xdr:colOff>
      <xdr:row>31</xdr:row>
      <xdr:rowOff>94615</xdr:rowOff>
    </xdr:to>
    <xdr:sp macro="" textlink="">
      <xdr:nvSpPr>
        <xdr:cNvPr id="389" name="Ellipse 388">
          <a:extLst>
            <a:ext uri="{FF2B5EF4-FFF2-40B4-BE49-F238E27FC236}">
              <a16:creationId xmlns="" xmlns:a16="http://schemas.microsoft.com/office/drawing/2014/main" id="{00000000-0008-0000-2500-000085010000}"/>
            </a:ext>
          </a:extLst>
        </xdr:cNvPr>
        <xdr:cNvSpPr/>
      </xdr:nvSpPr>
      <xdr:spPr>
        <a:xfrm>
          <a:off x="2143125" y="3419475"/>
          <a:ext cx="219075" cy="2286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8</xdr:col>
      <xdr:colOff>20320</xdr:colOff>
      <xdr:row>30</xdr:row>
      <xdr:rowOff>94615</xdr:rowOff>
    </xdr:from>
    <xdr:to>
      <xdr:col>9</xdr:col>
      <xdr:colOff>20320</xdr:colOff>
      <xdr:row>30</xdr:row>
      <xdr:rowOff>91758</xdr:rowOff>
    </xdr:to>
    <xdr:cxnSp macro="">
      <xdr:nvCxnSpPr>
        <xdr:cNvPr id="390" name="Connecteur droit 389">
          <a:extLst>
            <a:ext uri="{FF2B5EF4-FFF2-40B4-BE49-F238E27FC236}">
              <a16:creationId xmlns="" xmlns:a16="http://schemas.microsoft.com/office/drawing/2014/main" id="{00000000-0008-0000-2500-000086010000}"/>
            </a:ext>
          </a:extLst>
        </xdr:cNvPr>
        <xdr:cNvCxnSpPr/>
      </xdr:nvCxnSpPr>
      <xdr:spPr>
        <a:xfrm rot="10800000">
          <a:off x="2076450" y="3533775"/>
          <a:ext cx="114300" cy="1588"/>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0</xdr:colOff>
      <xdr:row>38</xdr:row>
      <xdr:rowOff>47625</xdr:rowOff>
    </xdr:from>
    <xdr:to>
      <xdr:col>3</xdr:col>
      <xdr:colOff>369770</xdr:colOff>
      <xdr:row>45</xdr:row>
      <xdr:rowOff>94630</xdr:rowOff>
    </xdr:to>
    <xdr:sp macro="" textlink="">
      <xdr:nvSpPr>
        <xdr:cNvPr id="391" name="Text Box 470">
          <a:extLst>
            <a:ext uri="{FF2B5EF4-FFF2-40B4-BE49-F238E27FC236}">
              <a16:creationId xmlns="" xmlns:a16="http://schemas.microsoft.com/office/drawing/2014/main" id="{00000000-0008-0000-2500-000087010000}"/>
            </a:ext>
          </a:extLst>
        </xdr:cNvPr>
        <xdr:cNvSpPr txBox="1">
          <a:spLocks noChangeArrowheads="1"/>
        </xdr:cNvSpPr>
      </xdr:nvSpPr>
      <xdr:spPr bwMode="auto">
        <a:xfrm>
          <a:off x="981075" y="4410075"/>
          <a:ext cx="476251" cy="838200"/>
        </a:xfrm>
        <a:prstGeom prst="rect">
          <a:avLst/>
        </a:prstGeom>
        <a:noFill/>
        <a:ln w="9525">
          <a:noFill/>
          <a:miter lim="800000"/>
          <a:headEnd/>
          <a:tailEnd/>
        </a:ln>
      </xdr:spPr>
      <xdr:txBody>
        <a:bodyPr vertOverflow="clip" wrap="square" lIns="27432" tIns="22860" rIns="0" bIns="0" anchor="t" upright="1"/>
        <a:lstStyle/>
        <a:p>
          <a:pPr algn="l" rtl="0">
            <a:lnSpc>
              <a:spcPts val="900"/>
            </a:lnSpc>
            <a:defRPr sz="1000"/>
          </a:pPr>
          <a:r>
            <a:rPr lang="fr-FR" sz="1000" b="1" i="0" strike="noStrike">
              <a:solidFill>
                <a:srgbClr val="000000"/>
              </a:solidFill>
              <a:latin typeface="Arial"/>
              <a:cs typeface="Arial"/>
            </a:rPr>
            <a:t>BAC DE DOUCHE</a:t>
          </a:r>
        </a:p>
      </xdr:txBody>
    </xdr:sp>
    <xdr:clientData/>
  </xdr:twoCellAnchor>
  <xdr:twoCellAnchor>
    <xdr:from>
      <xdr:col>7</xdr:col>
      <xdr:colOff>58261</xdr:colOff>
      <xdr:row>12</xdr:row>
      <xdr:rowOff>794</xdr:rowOff>
    </xdr:from>
    <xdr:to>
      <xdr:col>7</xdr:col>
      <xdr:colOff>58261</xdr:colOff>
      <xdr:row>28</xdr:row>
      <xdr:rowOff>48149</xdr:rowOff>
    </xdr:to>
    <xdr:cxnSp macro="">
      <xdr:nvCxnSpPr>
        <xdr:cNvPr id="392" name="Connecteur droit avec flèche 391">
          <a:extLst>
            <a:ext uri="{FF2B5EF4-FFF2-40B4-BE49-F238E27FC236}">
              <a16:creationId xmlns="" xmlns:a16="http://schemas.microsoft.com/office/drawing/2014/main" id="{00000000-0008-0000-2500-000088010000}"/>
            </a:ext>
          </a:extLst>
        </xdr:cNvPr>
        <xdr:cNvCxnSpPr/>
      </xdr:nvCxnSpPr>
      <xdr:spPr>
        <a:xfrm rot="5400000">
          <a:off x="1035844" y="2316956"/>
          <a:ext cx="1890712" cy="1588"/>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25402</xdr:colOff>
      <xdr:row>12</xdr:row>
      <xdr:rowOff>3173</xdr:rowOff>
    </xdr:from>
    <xdr:to>
      <xdr:col>9</xdr:col>
      <xdr:colOff>25400</xdr:colOff>
      <xdr:row>12</xdr:row>
      <xdr:rowOff>4285</xdr:rowOff>
    </xdr:to>
    <xdr:cxnSp macro="">
      <xdr:nvCxnSpPr>
        <xdr:cNvPr id="393" name="Connecteur droit 392">
          <a:extLst>
            <a:ext uri="{FF2B5EF4-FFF2-40B4-BE49-F238E27FC236}">
              <a16:creationId xmlns="" xmlns:a16="http://schemas.microsoft.com/office/drawing/2014/main" id="{00000000-0008-0000-2500-000089010000}"/>
            </a:ext>
          </a:extLst>
        </xdr:cNvPr>
        <xdr:cNvCxnSpPr/>
      </xdr:nvCxnSpPr>
      <xdr:spPr>
        <a:xfrm rot="10800000">
          <a:off x="1866902" y="1381123"/>
          <a:ext cx="342898" cy="2"/>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74930</xdr:colOff>
      <xdr:row>18</xdr:row>
      <xdr:rowOff>81916</xdr:rowOff>
    </xdr:from>
    <xdr:to>
      <xdr:col>19</xdr:col>
      <xdr:colOff>95224</xdr:colOff>
      <xdr:row>22</xdr:row>
      <xdr:rowOff>256</xdr:rowOff>
    </xdr:to>
    <xdr:sp macro="" textlink="">
      <xdr:nvSpPr>
        <xdr:cNvPr id="394" name="Text Box 470">
          <a:extLst>
            <a:ext uri="{FF2B5EF4-FFF2-40B4-BE49-F238E27FC236}">
              <a16:creationId xmlns="" xmlns:a16="http://schemas.microsoft.com/office/drawing/2014/main" id="{00000000-0008-0000-2500-00008A010000}"/>
            </a:ext>
          </a:extLst>
        </xdr:cNvPr>
        <xdr:cNvSpPr txBox="1">
          <a:spLocks noChangeArrowheads="1"/>
        </xdr:cNvSpPr>
      </xdr:nvSpPr>
      <xdr:spPr bwMode="auto">
        <a:xfrm>
          <a:off x="1695450" y="2143126"/>
          <a:ext cx="1724025" cy="3714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165</a:t>
          </a:r>
        </a:p>
      </xdr:txBody>
    </xdr:sp>
    <xdr:clientData/>
  </xdr:twoCellAnchor>
  <xdr:twoCellAnchor>
    <xdr:from>
      <xdr:col>3</xdr:col>
      <xdr:colOff>480060</xdr:colOff>
      <xdr:row>30</xdr:row>
      <xdr:rowOff>81915</xdr:rowOff>
    </xdr:from>
    <xdr:to>
      <xdr:col>7</xdr:col>
      <xdr:colOff>27411</xdr:colOff>
      <xdr:row>32</xdr:row>
      <xdr:rowOff>94764</xdr:rowOff>
    </xdr:to>
    <xdr:sp macro="" textlink="">
      <xdr:nvSpPr>
        <xdr:cNvPr id="395" name="ZoneTexte 394">
          <a:extLst>
            <a:ext uri="{FF2B5EF4-FFF2-40B4-BE49-F238E27FC236}">
              <a16:creationId xmlns="" xmlns:a16="http://schemas.microsoft.com/office/drawing/2014/main" id="{00000000-0008-0000-2500-00008B010000}"/>
            </a:ext>
          </a:extLst>
        </xdr:cNvPr>
        <xdr:cNvSpPr txBox="1"/>
      </xdr:nvSpPr>
      <xdr:spPr>
        <a:xfrm>
          <a:off x="1571625" y="3514725"/>
          <a:ext cx="390525" cy="2381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t>60</a:t>
          </a:r>
        </a:p>
      </xdr:txBody>
    </xdr:sp>
    <xdr:clientData/>
  </xdr:twoCellAnchor>
  <xdr:twoCellAnchor editAs="oneCell">
    <xdr:from>
      <xdr:col>6</xdr:col>
      <xdr:colOff>20320</xdr:colOff>
      <xdr:row>32</xdr:row>
      <xdr:rowOff>60960</xdr:rowOff>
    </xdr:from>
    <xdr:to>
      <xdr:col>17</xdr:col>
      <xdr:colOff>113479</xdr:colOff>
      <xdr:row>35</xdr:row>
      <xdr:rowOff>82221</xdr:rowOff>
    </xdr:to>
    <xdr:sp macro="" textlink="">
      <xdr:nvSpPr>
        <xdr:cNvPr id="396" name="Text Box 470">
          <a:extLst>
            <a:ext uri="{FF2B5EF4-FFF2-40B4-BE49-F238E27FC236}">
              <a16:creationId xmlns="" xmlns:a16="http://schemas.microsoft.com/office/drawing/2014/main" id="{00000000-0008-0000-2500-00008C010000}"/>
            </a:ext>
          </a:extLst>
        </xdr:cNvPr>
        <xdr:cNvSpPr txBox="1">
          <a:spLocks noChangeArrowheads="1"/>
        </xdr:cNvSpPr>
      </xdr:nvSpPr>
      <xdr:spPr bwMode="auto">
        <a:xfrm>
          <a:off x="1847850" y="3695700"/>
          <a:ext cx="1343025" cy="3905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60</a:t>
          </a:r>
        </a:p>
      </xdr:txBody>
    </xdr:sp>
    <xdr:clientData/>
  </xdr:twoCellAnchor>
  <xdr:twoCellAnchor>
    <xdr:from>
      <xdr:col>2</xdr:col>
      <xdr:colOff>265430</xdr:colOff>
      <xdr:row>24</xdr:row>
      <xdr:rowOff>57785</xdr:rowOff>
    </xdr:from>
    <xdr:to>
      <xdr:col>8</xdr:col>
      <xdr:colOff>74469</xdr:colOff>
      <xdr:row>30</xdr:row>
      <xdr:rowOff>61888</xdr:rowOff>
    </xdr:to>
    <xdr:cxnSp macro="">
      <xdr:nvCxnSpPr>
        <xdr:cNvPr id="397" name="Connecteur droit avec flèche 396">
          <a:extLst>
            <a:ext uri="{FF2B5EF4-FFF2-40B4-BE49-F238E27FC236}">
              <a16:creationId xmlns="" xmlns:a16="http://schemas.microsoft.com/office/drawing/2014/main" id="{00000000-0008-0000-2500-00008D010000}"/>
            </a:ext>
          </a:extLst>
        </xdr:cNvPr>
        <xdr:cNvCxnSpPr/>
      </xdr:nvCxnSpPr>
      <xdr:spPr>
        <a:xfrm>
          <a:off x="933450" y="2819400"/>
          <a:ext cx="1200150" cy="628650"/>
        </a:xfrm>
        <a:prstGeom prst="straightConnector1">
          <a:avLst/>
        </a:prstGeom>
        <a:ln w="28575">
          <a:solidFill>
            <a:srgbClr val="92D05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264795</xdr:colOff>
      <xdr:row>23</xdr:row>
      <xdr:rowOff>635</xdr:rowOff>
    </xdr:from>
    <xdr:to>
      <xdr:col>3</xdr:col>
      <xdr:colOff>75148</xdr:colOff>
      <xdr:row>25</xdr:row>
      <xdr:rowOff>47858</xdr:rowOff>
    </xdr:to>
    <xdr:sp macro="" textlink="">
      <xdr:nvSpPr>
        <xdr:cNvPr id="398" name="ZoneTexte 397">
          <a:extLst>
            <a:ext uri="{FF2B5EF4-FFF2-40B4-BE49-F238E27FC236}">
              <a16:creationId xmlns="" xmlns:a16="http://schemas.microsoft.com/office/drawing/2014/main" id="{00000000-0008-0000-2500-00008E010000}"/>
            </a:ext>
          </a:extLst>
        </xdr:cNvPr>
        <xdr:cNvSpPr txBox="1"/>
      </xdr:nvSpPr>
      <xdr:spPr>
        <a:xfrm>
          <a:off x="590550" y="2638425"/>
          <a:ext cx="47625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t>Lave main</a:t>
          </a:r>
        </a:p>
      </xdr:txBody>
    </xdr:sp>
    <xdr:clientData/>
  </xdr:twoCellAnchor>
  <xdr:twoCellAnchor>
    <xdr:from>
      <xdr:col>46</xdr:col>
      <xdr:colOff>19050</xdr:colOff>
      <xdr:row>28</xdr:row>
      <xdr:rowOff>50800</xdr:rowOff>
    </xdr:from>
    <xdr:to>
      <xdr:col>56</xdr:col>
      <xdr:colOff>31750</xdr:colOff>
      <xdr:row>29</xdr:row>
      <xdr:rowOff>76200</xdr:rowOff>
    </xdr:to>
    <xdr:sp macro="" textlink="">
      <xdr:nvSpPr>
        <xdr:cNvPr id="891106" name="Rectangle 491" descr="Horizontal brick">
          <a:extLst>
            <a:ext uri="{FF2B5EF4-FFF2-40B4-BE49-F238E27FC236}">
              <a16:creationId xmlns="" xmlns:a16="http://schemas.microsoft.com/office/drawing/2014/main" id="{00000000-0008-0000-2500-0000E2980D00}"/>
            </a:ext>
          </a:extLst>
        </xdr:cNvPr>
        <xdr:cNvSpPr>
          <a:spLocks noChangeArrowheads="1"/>
        </xdr:cNvSpPr>
      </xdr:nvSpPr>
      <xdr:spPr bwMode="auto">
        <a:xfrm rot="-5400000">
          <a:off x="6902450" y="2743200"/>
          <a:ext cx="139700" cy="11557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55</xdr:col>
      <xdr:colOff>57150</xdr:colOff>
      <xdr:row>28</xdr:row>
      <xdr:rowOff>38100</xdr:rowOff>
    </xdr:from>
    <xdr:to>
      <xdr:col>57</xdr:col>
      <xdr:colOff>19050</xdr:colOff>
      <xdr:row>36</xdr:row>
      <xdr:rowOff>31750</xdr:rowOff>
    </xdr:to>
    <xdr:sp macro="" textlink="">
      <xdr:nvSpPr>
        <xdr:cNvPr id="891107" name="Rectangle 497" descr="Horizontal brick">
          <a:extLst>
            <a:ext uri="{FF2B5EF4-FFF2-40B4-BE49-F238E27FC236}">
              <a16:creationId xmlns="" xmlns:a16="http://schemas.microsoft.com/office/drawing/2014/main" id="{00000000-0008-0000-2500-0000E3980D00}"/>
            </a:ext>
          </a:extLst>
        </xdr:cNvPr>
        <xdr:cNvSpPr>
          <a:spLocks noChangeArrowheads="1"/>
        </xdr:cNvSpPr>
      </xdr:nvSpPr>
      <xdr:spPr bwMode="auto">
        <a:xfrm rot="-5400000">
          <a:off x="7102475" y="3597275"/>
          <a:ext cx="908050" cy="1905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3</xdr:col>
      <xdr:colOff>306705</xdr:colOff>
      <xdr:row>31</xdr:row>
      <xdr:rowOff>81915</xdr:rowOff>
    </xdr:from>
    <xdr:to>
      <xdr:col>3</xdr:col>
      <xdr:colOff>367990</xdr:colOff>
      <xdr:row>33</xdr:row>
      <xdr:rowOff>81915</xdr:rowOff>
    </xdr:to>
    <xdr:sp macro="" textlink="">
      <xdr:nvSpPr>
        <xdr:cNvPr id="401" name="Rectangle 400">
          <a:extLst>
            <a:ext uri="{FF2B5EF4-FFF2-40B4-BE49-F238E27FC236}">
              <a16:creationId xmlns="" xmlns:a16="http://schemas.microsoft.com/office/drawing/2014/main" id="{00000000-0008-0000-2500-000091010000}"/>
            </a:ext>
          </a:extLst>
        </xdr:cNvPr>
        <xdr:cNvSpPr/>
      </xdr:nvSpPr>
      <xdr:spPr>
        <a:xfrm>
          <a:off x="1371600" y="3629025"/>
          <a:ext cx="85725" cy="228600"/>
        </a:xfrm>
        <a:prstGeom prst="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46</xdr:col>
      <xdr:colOff>4445</xdr:colOff>
      <xdr:row>30</xdr:row>
      <xdr:rowOff>635</xdr:rowOff>
    </xdr:from>
    <xdr:to>
      <xdr:col>47</xdr:col>
      <xdr:colOff>3658</xdr:colOff>
      <xdr:row>34</xdr:row>
      <xdr:rowOff>94710</xdr:rowOff>
    </xdr:to>
    <xdr:sp macro="" textlink="">
      <xdr:nvSpPr>
        <xdr:cNvPr id="402" name="Rectangle 401">
          <a:extLst>
            <a:ext uri="{FF2B5EF4-FFF2-40B4-BE49-F238E27FC236}">
              <a16:creationId xmlns="" xmlns:a16="http://schemas.microsoft.com/office/drawing/2014/main" id="{00000000-0008-0000-2500-000092010000}"/>
            </a:ext>
          </a:extLst>
        </xdr:cNvPr>
        <xdr:cNvSpPr/>
      </xdr:nvSpPr>
      <xdr:spPr>
        <a:xfrm>
          <a:off x="6438900" y="3438525"/>
          <a:ext cx="76200" cy="552450"/>
        </a:xfrm>
        <a:prstGeom prst="rect">
          <a:avLst/>
        </a:prstGeom>
        <a:solidFill>
          <a:schemeClr val="accent6">
            <a:lumMod val="60000"/>
            <a:lumOff val="40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51</xdr:col>
      <xdr:colOff>24765</xdr:colOff>
      <xdr:row>31</xdr:row>
      <xdr:rowOff>60960</xdr:rowOff>
    </xdr:from>
    <xdr:to>
      <xdr:col>55</xdr:col>
      <xdr:colOff>57935</xdr:colOff>
      <xdr:row>34</xdr:row>
      <xdr:rowOff>114275</xdr:rowOff>
    </xdr:to>
    <xdr:sp macro="" textlink="">
      <xdr:nvSpPr>
        <xdr:cNvPr id="403" name="Rectangle 402">
          <a:extLst>
            <a:ext uri="{FF2B5EF4-FFF2-40B4-BE49-F238E27FC236}">
              <a16:creationId xmlns="" xmlns:a16="http://schemas.microsoft.com/office/drawing/2014/main" id="{00000000-0008-0000-2500-000093010000}"/>
            </a:ext>
          </a:extLst>
        </xdr:cNvPr>
        <xdr:cNvSpPr/>
      </xdr:nvSpPr>
      <xdr:spPr>
        <a:xfrm>
          <a:off x="6981825" y="3590925"/>
          <a:ext cx="495300" cy="409575"/>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53</xdr:col>
      <xdr:colOff>74930</xdr:colOff>
      <xdr:row>33</xdr:row>
      <xdr:rowOff>57785</xdr:rowOff>
    </xdr:from>
    <xdr:to>
      <xdr:col>54</xdr:col>
      <xdr:colOff>74930</xdr:colOff>
      <xdr:row>34</xdr:row>
      <xdr:rowOff>48844</xdr:rowOff>
    </xdr:to>
    <xdr:sp macro="" textlink="">
      <xdr:nvSpPr>
        <xdr:cNvPr id="404" name="Ellipse 403">
          <a:extLst>
            <a:ext uri="{FF2B5EF4-FFF2-40B4-BE49-F238E27FC236}">
              <a16:creationId xmlns="" xmlns:a16="http://schemas.microsoft.com/office/drawing/2014/main" id="{00000000-0008-0000-2500-000094010000}"/>
            </a:ext>
          </a:extLst>
        </xdr:cNvPr>
        <xdr:cNvSpPr/>
      </xdr:nvSpPr>
      <xdr:spPr>
        <a:xfrm>
          <a:off x="7296150" y="3848100"/>
          <a:ext cx="114300" cy="104775"/>
        </a:xfrm>
        <a:prstGeom prst="ellipse">
          <a:avLst/>
        </a:prstGeom>
        <a:solidFill>
          <a:srgbClr val="FFFF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51</xdr:col>
      <xdr:colOff>74930</xdr:colOff>
      <xdr:row>30</xdr:row>
      <xdr:rowOff>94615</xdr:rowOff>
    </xdr:from>
    <xdr:to>
      <xdr:col>55</xdr:col>
      <xdr:colOff>4528</xdr:colOff>
      <xdr:row>32</xdr:row>
      <xdr:rowOff>94616</xdr:rowOff>
    </xdr:to>
    <xdr:sp macro="" textlink="">
      <xdr:nvSpPr>
        <xdr:cNvPr id="405" name="ZoneTexte 404">
          <a:extLst>
            <a:ext uri="{FF2B5EF4-FFF2-40B4-BE49-F238E27FC236}">
              <a16:creationId xmlns="" xmlns:a16="http://schemas.microsoft.com/office/drawing/2014/main" id="{00000000-0008-0000-2500-000095010000}"/>
            </a:ext>
          </a:extLst>
        </xdr:cNvPr>
        <xdr:cNvSpPr txBox="1"/>
      </xdr:nvSpPr>
      <xdr:spPr>
        <a:xfrm>
          <a:off x="7067550" y="3524250"/>
          <a:ext cx="390525" cy="2381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t>60</a:t>
          </a:r>
        </a:p>
      </xdr:txBody>
    </xdr:sp>
    <xdr:clientData/>
  </xdr:twoCellAnchor>
  <xdr:twoCellAnchor editAs="oneCell">
    <xdr:from>
      <xdr:col>50</xdr:col>
      <xdr:colOff>74930</xdr:colOff>
      <xdr:row>32</xdr:row>
      <xdr:rowOff>60960</xdr:rowOff>
    </xdr:from>
    <xdr:to>
      <xdr:col>62</xdr:col>
      <xdr:colOff>56509</xdr:colOff>
      <xdr:row>35</xdr:row>
      <xdr:rowOff>94657</xdr:rowOff>
    </xdr:to>
    <xdr:sp macro="" textlink="">
      <xdr:nvSpPr>
        <xdr:cNvPr id="406" name="Text Box 470">
          <a:extLst>
            <a:ext uri="{FF2B5EF4-FFF2-40B4-BE49-F238E27FC236}">
              <a16:creationId xmlns="" xmlns:a16="http://schemas.microsoft.com/office/drawing/2014/main" id="{00000000-0008-0000-2500-000096010000}"/>
            </a:ext>
          </a:extLst>
        </xdr:cNvPr>
        <xdr:cNvSpPr txBox="1">
          <a:spLocks noChangeArrowheads="1"/>
        </xdr:cNvSpPr>
      </xdr:nvSpPr>
      <xdr:spPr bwMode="auto">
        <a:xfrm>
          <a:off x="6953250" y="3705225"/>
          <a:ext cx="1343025" cy="3905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60</a:t>
          </a:r>
        </a:p>
      </xdr:txBody>
    </xdr:sp>
    <xdr:clientData/>
  </xdr:twoCellAnchor>
  <xdr:twoCellAnchor>
    <xdr:from>
      <xdr:col>54</xdr:col>
      <xdr:colOff>94385</xdr:colOff>
      <xdr:row>33</xdr:row>
      <xdr:rowOff>1</xdr:rowOff>
    </xdr:from>
    <xdr:to>
      <xdr:col>54</xdr:col>
      <xdr:colOff>94385</xdr:colOff>
      <xdr:row>33</xdr:row>
      <xdr:rowOff>86313</xdr:rowOff>
    </xdr:to>
    <xdr:cxnSp macro="">
      <xdr:nvCxnSpPr>
        <xdr:cNvPr id="407" name="Connecteur droit 406">
          <a:extLst>
            <a:ext uri="{FF2B5EF4-FFF2-40B4-BE49-F238E27FC236}">
              <a16:creationId xmlns="" xmlns:a16="http://schemas.microsoft.com/office/drawing/2014/main" id="{00000000-0008-0000-2500-000097010000}"/>
            </a:ext>
          </a:extLst>
        </xdr:cNvPr>
        <xdr:cNvCxnSpPr>
          <a:stCxn id="404" idx="7"/>
        </xdr:cNvCxnSpPr>
      </xdr:nvCxnSpPr>
      <xdr:spPr>
        <a:xfrm rot="5400000" flipH="1" flipV="1">
          <a:off x="7356308" y="3809303"/>
          <a:ext cx="91544" cy="16739"/>
        </a:xfrm>
        <a:prstGeom prst="line">
          <a:avLst/>
        </a:prstGeom>
        <a:ln w="28575">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56516</xdr:colOff>
      <xdr:row>33</xdr:row>
      <xdr:rowOff>57468</xdr:rowOff>
    </xdr:from>
    <xdr:to>
      <xdr:col>54</xdr:col>
      <xdr:colOff>55968</xdr:colOff>
      <xdr:row>33</xdr:row>
      <xdr:rowOff>104104</xdr:rowOff>
    </xdr:to>
    <xdr:cxnSp macro="">
      <xdr:nvCxnSpPr>
        <xdr:cNvPr id="408" name="Connecteur droit 407">
          <a:extLst>
            <a:ext uri="{FF2B5EF4-FFF2-40B4-BE49-F238E27FC236}">
              <a16:creationId xmlns="" xmlns:a16="http://schemas.microsoft.com/office/drawing/2014/main" id="{00000000-0008-0000-2500-000098010000}"/>
            </a:ext>
          </a:extLst>
        </xdr:cNvPr>
        <xdr:cNvCxnSpPr>
          <a:endCxn id="406" idx="3"/>
        </xdr:cNvCxnSpPr>
      </xdr:nvCxnSpPr>
      <xdr:spPr>
        <a:xfrm rot="10800000">
          <a:off x="7267576" y="3814763"/>
          <a:ext cx="83415" cy="39156"/>
        </a:xfrm>
        <a:prstGeom prst="line">
          <a:avLst/>
        </a:prstGeom>
        <a:ln w="28575">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0</xdr:colOff>
      <xdr:row>31</xdr:row>
      <xdr:rowOff>94615</xdr:rowOff>
    </xdr:from>
    <xdr:to>
      <xdr:col>56</xdr:col>
      <xdr:colOff>72553</xdr:colOff>
      <xdr:row>33</xdr:row>
      <xdr:rowOff>94615</xdr:rowOff>
    </xdr:to>
    <xdr:sp macro="" textlink="">
      <xdr:nvSpPr>
        <xdr:cNvPr id="409" name="Rectangle 408">
          <a:extLst>
            <a:ext uri="{FF2B5EF4-FFF2-40B4-BE49-F238E27FC236}">
              <a16:creationId xmlns="" xmlns:a16="http://schemas.microsoft.com/office/drawing/2014/main" id="{00000000-0008-0000-2500-000099010000}"/>
            </a:ext>
          </a:extLst>
        </xdr:cNvPr>
        <xdr:cNvSpPr/>
      </xdr:nvSpPr>
      <xdr:spPr>
        <a:xfrm>
          <a:off x="7534275" y="3648075"/>
          <a:ext cx="85725" cy="228600"/>
        </a:xfrm>
        <a:prstGeom prst="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53</xdr:col>
      <xdr:colOff>24766</xdr:colOff>
      <xdr:row>33</xdr:row>
      <xdr:rowOff>94616</xdr:rowOff>
    </xdr:from>
    <xdr:to>
      <xdr:col>54</xdr:col>
      <xdr:colOff>2639</xdr:colOff>
      <xdr:row>34</xdr:row>
      <xdr:rowOff>24881</xdr:rowOff>
    </xdr:to>
    <xdr:cxnSp macro="">
      <xdr:nvCxnSpPr>
        <xdr:cNvPr id="410" name="Connecteur droit 409">
          <a:extLst>
            <a:ext uri="{FF2B5EF4-FFF2-40B4-BE49-F238E27FC236}">
              <a16:creationId xmlns="" xmlns:a16="http://schemas.microsoft.com/office/drawing/2014/main" id="{00000000-0008-0000-2500-00009A010000}"/>
            </a:ext>
          </a:extLst>
        </xdr:cNvPr>
        <xdr:cNvCxnSpPr/>
      </xdr:nvCxnSpPr>
      <xdr:spPr>
        <a:xfrm rot="10800000">
          <a:off x="7200901" y="3876676"/>
          <a:ext cx="102465" cy="43919"/>
        </a:xfrm>
        <a:prstGeom prst="line">
          <a:avLst/>
        </a:prstGeom>
        <a:ln w="28575">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58677</xdr:colOff>
      <xdr:row>41</xdr:row>
      <xdr:rowOff>48158</xdr:rowOff>
    </xdr:from>
    <xdr:to>
      <xdr:col>55</xdr:col>
      <xdr:colOff>84378</xdr:colOff>
      <xdr:row>42</xdr:row>
      <xdr:rowOff>56221</xdr:rowOff>
    </xdr:to>
    <xdr:sp macro="" textlink="">
      <xdr:nvSpPr>
        <xdr:cNvPr id="411" name="Rectangle 410">
          <a:extLst>
            <a:ext uri="{FF2B5EF4-FFF2-40B4-BE49-F238E27FC236}">
              <a16:creationId xmlns="" xmlns:a16="http://schemas.microsoft.com/office/drawing/2014/main" id="{00000000-0008-0000-2500-00009B010000}"/>
            </a:ext>
          </a:extLst>
        </xdr:cNvPr>
        <xdr:cNvSpPr/>
      </xdr:nvSpPr>
      <xdr:spPr>
        <a:xfrm rot="19820649">
          <a:off x="4169667" y="4749063"/>
          <a:ext cx="3352496" cy="70792"/>
        </a:xfrm>
        <a:prstGeom prst="rect">
          <a:avLst/>
        </a:prstGeom>
        <a:noFill/>
        <a:ln>
          <a:solidFill>
            <a:srgbClr val="92D05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47</xdr:col>
      <xdr:colOff>57785</xdr:colOff>
      <xdr:row>29</xdr:row>
      <xdr:rowOff>94615</xdr:rowOff>
    </xdr:from>
    <xdr:to>
      <xdr:col>49</xdr:col>
      <xdr:colOff>19927</xdr:colOff>
      <xdr:row>31</xdr:row>
      <xdr:rowOff>94615</xdr:rowOff>
    </xdr:to>
    <xdr:sp macro="" textlink="">
      <xdr:nvSpPr>
        <xdr:cNvPr id="412" name="Ellipse 411">
          <a:extLst>
            <a:ext uri="{FF2B5EF4-FFF2-40B4-BE49-F238E27FC236}">
              <a16:creationId xmlns="" xmlns:a16="http://schemas.microsoft.com/office/drawing/2014/main" id="{00000000-0008-0000-2500-00009C010000}"/>
            </a:ext>
          </a:extLst>
        </xdr:cNvPr>
        <xdr:cNvSpPr/>
      </xdr:nvSpPr>
      <xdr:spPr>
        <a:xfrm>
          <a:off x="6562725" y="3419475"/>
          <a:ext cx="219075" cy="2286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49</xdr:col>
      <xdr:colOff>4445</xdr:colOff>
      <xdr:row>30</xdr:row>
      <xdr:rowOff>94615</xdr:rowOff>
    </xdr:from>
    <xdr:to>
      <xdr:col>50</xdr:col>
      <xdr:colOff>4445</xdr:colOff>
      <xdr:row>30</xdr:row>
      <xdr:rowOff>91758</xdr:rowOff>
    </xdr:to>
    <xdr:cxnSp macro="">
      <xdr:nvCxnSpPr>
        <xdr:cNvPr id="413" name="Connecteur droit 412">
          <a:extLst>
            <a:ext uri="{FF2B5EF4-FFF2-40B4-BE49-F238E27FC236}">
              <a16:creationId xmlns="" xmlns:a16="http://schemas.microsoft.com/office/drawing/2014/main" id="{00000000-0008-0000-2500-00009D010000}"/>
            </a:ext>
          </a:extLst>
        </xdr:cNvPr>
        <xdr:cNvCxnSpPr/>
      </xdr:nvCxnSpPr>
      <xdr:spPr>
        <a:xfrm rot="10800000">
          <a:off x="6772275" y="3533775"/>
          <a:ext cx="114300" cy="1588"/>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0</xdr:colOff>
      <xdr:row>33</xdr:row>
      <xdr:rowOff>94619</xdr:rowOff>
    </xdr:from>
    <xdr:to>
      <xdr:col>56</xdr:col>
      <xdr:colOff>23118</xdr:colOff>
      <xdr:row>41</xdr:row>
      <xdr:rowOff>671</xdr:rowOff>
    </xdr:to>
    <xdr:cxnSp macro="">
      <xdr:nvCxnSpPr>
        <xdr:cNvPr id="414" name="Connecteur droit avec flèche 413">
          <a:extLst>
            <a:ext uri="{FF2B5EF4-FFF2-40B4-BE49-F238E27FC236}">
              <a16:creationId xmlns="" xmlns:a16="http://schemas.microsoft.com/office/drawing/2014/main" id="{00000000-0008-0000-2500-00009E010000}"/>
            </a:ext>
          </a:extLst>
        </xdr:cNvPr>
        <xdr:cNvCxnSpPr/>
      </xdr:nvCxnSpPr>
      <xdr:spPr>
        <a:xfrm rot="5400000" flipH="1" flipV="1">
          <a:off x="7143754" y="4257675"/>
          <a:ext cx="828672" cy="47629"/>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20320</xdr:colOff>
      <xdr:row>40</xdr:row>
      <xdr:rowOff>61595</xdr:rowOff>
    </xdr:from>
    <xdr:to>
      <xdr:col>58</xdr:col>
      <xdr:colOff>74683</xdr:colOff>
      <xdr:row>48</xdr:row>
      <xdr:rowOff>61595</xdr:rowOff>
    </xdr:to>
    <xdr:sp macro="" textlink="">
      <xdr:nvSpPr>
        <xdr:cNvPr id="415" name="ZoneTexte 414">
          <a:extLst>
            <a:ext uri="{FF2B5EF4-FFF2-40B4-BE49-F238E27FC236}">
              <a16:creationId xmlns="" xmlns:a16="http://schemas.microsoft.com/office/drawing/2014/main" id="{00000000-0008-0000-2500-00009F010000}"/>
            </a:ext>
          </a:extLst>
        </xdr:cNvPr>
        <xdr:cNvSpPr txBox="1"/>
      </xdr:nvSpPr>
      <xdr:spPr>
        <a:xfrm>
          <a:off x="6762750" y="4591050"/>
          <a:ext cx="1104901"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nSpc>
              <a:spcPts val="1200"/>
            </a:lnSpc>
          </a:pPr>
          <a:r>
            <a:rPr lang="en-GB" sz="1100"/>
            <a:t>Ouverture</a:t>
          </a:r>
          <a:r>
            <a:rPr lang="en-GB" sz="1100" baseline="0"/>
            <a:t> muni de toile moustiquaire à 1.50m de hauteur</a:t>
          </a:r>
          <a:endParaRPr lang="en-GB" sz="1100"/>
        </a:p>
      </xdr:txBody>
    </xdr:sp>
    <xdr:clientData/>
  </xdr:twoCellAnchor>
  <xdr:twoCellAnchor>
    <xdr:from>
      <xdr:col>50</xdr:col>
      <xdr:colOff>57784</xdr:colOff>
      <xdr:row>29</xdr:row>
      <xdr:rowOff>84454</xdr:rowOff>
    </xdr:from>
    <xdr:to>
      <xdr:col>50</xdr:col>
      <xdr:colOff>59372</xdr:colOff>
      <xdr:row>34</xdr:row>
      <xdr:rowOff>94821</xdr:rowOff>
    </xdr:to>
    <xdr:cxnSp macro="">
      <xdr:nvCxnSpPr>
        <xdr:cNvPr id="416" name="Connecteur droit avec flèche 415">
          <a:extLst>
            <a:ext uri="{FF2B5EF4-FFF2-40B4-BE49-F238E27FC236}">
              <a16:creationId xmlns="" xmlns:a16="http://schemas.microsoft.com/office/drawing/2014/main" id="{00000000-0008-0000-2500-0000A0010000}"/>
            </a:ext>
          </a:extLst>
        </xdr:cNvPr>
        <xdr:cNvCxnSpPr/>
      </xdr:nvCxnSpPr>
      <xdr:spPr>
        <a:xfrm rot="16200000" flipH="1">
          <a:off x="6624637" y="3690936"/>
          <a:ext cx="581025" cy="1"/>
        </a:xfrm>
        <a:prstGeom prst="straightConnector1">
          <a:avLst/>
        </a:prstGeom>
        <a:ln w="19050">
          <a:solidFill>
            <a:srgbClr val="FFFF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49</xdr:col>
      <xdr:colOff>0</xdr:colOff>
      <xdr:row>31</xdr:row>
      <xdr:rowOff>47626</xdr:rowOff>
    </xdr:from>
    <xdr:to>
      <xdr:col>57</xdr:col>
      <xdr:colOff>56492</xdr:colOff>
      <xdr:row>34</xdr:row>
      <xdr:rowOff>94656</xdr:rowOff>
    </xdr:to>
    <xdr:sp macro="" textlink="">
      <xdr:nvSpPr>
        <xdr:cNvPr id="417" name="Text Box 507">
          <a:extLst>
            <a:ext uri="{FF2B5EF4-FFF2-40B4-BE49-F238E27FC236}">
              <a16:creationId xmlns="" xmlns:a16="http://schemas.microsoft.com/office/drawing/2014/main" id="{00000000-0008-0000-2500-0000A1010000}"/>
            </a:ext>
          </a:extLst>
        </xdr:cNvPr>
        <xdr:cNvSpPr txBox="1">
          <a:spLocks noChangeArrowheads="1"/>
        </xdr:cNvSpPr>
      </xdr:nvSpPr>
      <xdr:spPr bwMode="auto">
        <a:xfrm>
          <a:off x="6734175" y="3609976"/>
          <a:ext cx="1000125" cy="3810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FFFF00"/>
              </a:solidFill>
              <a:latin typeface="Arial"/>
              <a:cs typeface="Arial"/>
            </a:rPr>
            <a:t>80</a:t>
          </a:r>
        </a:p>
      </xdr:txBody>
    </xdr:sp>
    <xdr:clientData/>
  </xdr:twoCellAnchor>
  <xdr:twoCellAnchor>
    <xdr:from>
      <xdr:col>47</xdr:col>
      <xdr:colOff>57785</xdr:colOff>
      <xdr:row>26</xdr:row>
      <xdr:rowOff>94615</xdr:rowOff>
    </xdr:from>
    <xdr:to>
      <xdr:col>57</xdr:col>
      <xdr:colOff>24833</xdr:colOff>
      <xdr:row>26</xdr:row>
      <xdr:rowOff>94616</xdr:rowOff>
    </xdr:to>
    <xdr:cxnSp macro="">
      <xdr:nvCxnSpPr>
        <xdr:cNvPr id="418" name="Connecteur droit avec flèche 417">
          <a:extLst>
            <a:ext uri="{FF2B5EF4-FFF2-40B4-BE49-F238E27FC236}">
              <a16:creationId xmlns="" xmlns:a16="http://schemas.microsoft.com/office/drawing/2014/main" id="{00000000-0008-0000-2500-0000A2010000}"/>
            </a:ext>
          </a:extLst>
        </xdr:cNvPr>
        <xdr:cNvCxnSpPr/>
      </xdr:nvCxnSpPr>
      <xdr:spPr>
        <a:xfrm rot="10800000">
          <a:off x="6562725" y="3067050"/>
          <a:ext cx="1104900" cy="1"/>
        </a:xfrm>
        <a:prstGeom prst="straightConnector1">
          <a:avLst/>
        </a:prstGeom>
        <a:ln>
          <a:solidFill>
            <a:schemeClr val="bg2">
              <a:lumMod val="25000"/>
            </a:schemeClr>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51</xdr:col>
      <xdr:colOff>24765</xdr:colOff>
      <xdr:row>25</xdr:row>
      <xdr:rowOff>20320</xdr:rowOff>
    </xdr:from>
    <xdr:to>
      <xdr:col>60</xdr:col>
      <xdr:colOff>56563</xdr:colOff>
      <xdr:row>28</xdr:row>
      <xdr:rowOff>553</xdr:rowOff>
    </xdr:to>
    <xdr:sp macro="" textlink="">
      <xdr:nvSpPr>
        <xdr:cNvPr id="419" name="Text Box 470">
          <a:extLst>
            <a:ext uri="{FF2B5EF4-FFF2-40B4-BE49-F238E27FC236}">
              <a16:creationId xmlns="" xmlns:a16="http://schemas.microsoft.com/office/drawing/2014/main" id="{00000000-0008-0000-2500-0000A3010000}"/>
            </a:ext>
          </a:extLst>
        </xdr:cNvPr>
        <xdr:cNvSpPr txBox="1">
          <a:spLocks noChangeArrowheads="1"/>
        </xdr:cNvSpPr>
      </xdr:nvSpPr>
      <xdr:spPr bwMode="auto">
        <a:xfrm>
          <a:off x="6981825" y="2886075"/>
          <a:ext cx="1076325" cy="3143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100</a:t>
          </a:r>
        </a:p>
      </xdr:txBody>
    </xdr:sp>
    <xdr:clientData/>
  </xdr:twoCellAnchor>
  <xdr:twoCellAnchor>
    <xdr:from>
      <xdr:col>57</xdr:col>
      <xdr:colOff>2382</xdr:colOff>
      <xdr:row>26</xdr:row>
      <xdr:rowOff>1428</xdr:rowOff>
    </xdr:from>
    <xdr:to>
      <xdr:col>57</xdr:col>
      <xdr:colOff>26196</xdr:colOff>
      <xdr:row>27</xdr:row>
      <xdr:rowOff>84764</xdr:rowOff>
    </xdr:to>
    <xdr:cxnSp macro="">
      <xdr:nvCxnSpPr>
        <xdr:cNvPr id="420" name="Connecteur droit 419">
          <a:extLst>
            <a:ext uri="{FF2B5EF4-FFF2-40B4-BE49-F238E27FC236}">
              <a16:creationId xmlns="" xmlns:a16="http://schemas.microsoft.com/office/drawing/2014/main" id="{00000000-0008-0000-2500-0000A4010000}"/>
            </a:ext>
          </a:extLst>
        </xdr:cNvPr>
        <xdr:cNvCxnSpPr/>
      </xdr:nvCxnSpPr>
      <xdr:spPr>
        <a:xfrm rot="5400000">
          <a:off x="7558088" y="3081337"/>
          <a:ext cx="200025"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56515</xdr:colOff>
      <xdr:row>11</xdr:row>
      <xdr:rowOff>94615</xdr:rowOff>
    </xdr:from>
    <xdr:to>
      <xdr:col>59</xdr:col>
      <xdr:colOff>75346</xdr:colOff>
      <xdr:row>11</xdr:row>
      <xdr:rowOff>91758</xdr:rowOff>
    </xdr:to>
    <xdr:cxnSp macro="">
      <xdr:nvCxnSpPr>
        <xdr:cNvPr id="421" name="Connecteur droit 420">
          <a:extLst>
            <a:ext uri="{FF2B5EF4-FFF2-40B4-BE49-F238E27FC236}">
              <a16:creationId xmlns="" xmlns:a16="http://schemas.microsoft.com/office/drawing/2014/main" id="{00000000-0008-0000-2500-0000A5010000}"/>
            </a:ext>
          </a:extLst>
        </xdr:cNvPr>
        <xdr:cNvCxnSpPr/>
      </xdr:nvCxnSpPr>
      <xdr:spPr>
        <a:xfrm>
          <a:off x="7715250" y="1352550"/>
          <a:ext cx="266700"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56515</xdr:colOff>
      <xdr:row>36</xdr:row>
      <xdr:rowOff>94615</xdr:rowOff>
    </xdr:from>
    <xdr:to>
      <xdr:col>60</xdr:col>
      <xdr:colOff>25044</xdr:colOff>
      <xdr:row>36</xdr:row>
      <xdr:rowOff>94615</xdr:rowOff>
    </xdr:to>
    <xdr:cxnSp macro="">
      <xdr:nvCxnSpPr>
        <xdr:cNvPr id="422" name="Connecteur droit 421">
          <a:extLst>
            <a:ext uri="{FF2B5EF4-FFF2-40B4-BE49-F238E27FC236}">
              <a16:creationId xmlns="" xmlns:a16="http://schemas.microsoft.com/office/drawing/2014/main" id="{00000000-0008-0000-2500-0000A6010000}"/>
            </a:ext>
          </a:extLst>
        </xdr:cNvPr>
        <xdr:cNvCxnSpPr/>
      </xdr:nvCxnSpPr>
      <xdr:spPr>
        <a:xfrm flipV="1">
          <a:off x="7724775" y="4210050"/>
          <a:ext cx="285750" cy="95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24765</xdr:colOff>
      <xdr:row>72</xdr:row>
      <xdr:rowOff>61595</xdr:rowOff>
    </xdr:from>
    <xdr:to>
      <xdr:col>18</xdr:col>
      <xdr:colOff>24877</xdr:colOff>
      <xdr:row>74</xdr:row>
      <xdr:rowOff>61595</xdr:rowOff>
    </xdr:to>
    <xdr:sp macro="" textlink="">
      <xdr:nvSpPr>
        <xdr:cNvPr id="423" name="Rectangle 422">
          <a:extLst>
            <a:ext uri="{FF2B5EF4-FFF2-40B4-BE49-F238E27FC236}">
              <a16:creationId xmlns="" xmlns:a16="http://schemas.microsoft.com/office/drawing/2014/main" id="{00000000-0008-0000-2500-0000A7010000}"/>
            </a:ext>
          </a:extLst>
        </xdr:cNvPr>
        <xdr:cNvSpPr/>
      </xdr:nvSpPr>
      <xdr:spPr>
        <a:xfrm>
          <a:off x="2295525" y="8248650"/>
          <a:ext cx="904875" cy="228600"/>
        </a:xfrm>
        <a:prstGeom prst="rect">
          <a:avLst/>
        </a:prstGeom>
        <a:blipFill>
          <a:blip xmlns:r="http://schemas.openxmlformats.org/officeDocument/2006/relationships" r:embed="rId12"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10</xdr:col>
      <xdr:colOff>24765</xdr:colOff>
      <xdr:row>81</xdr:row>
      <xdr:rowOff>94615</xdr:rowOff>
    </xdr:from>
    <xdr:to>
      <xdr:col>17</xdr:col>
      <xdr:colOff>74385</xdr:colOff>
      <xdr:row>83</xdr:row>
      <xdr:rowOff>94616</xdr:rowOff>
    </xdr:to>
    <xdr:sp macro="" textlink="">
      <xdr:nvSpPr>
        <xdr:cNvPr id="424" name="Rectangle 423">
          <a:extLst>
            <a:ext uri="{FF2B5EF4-FFF2-40B4-BE49-F238E27FC236}">
              <a16:creationId xmlns="" xmlns:a16="http://schemas.microsoft.com/office/drawing/2014/main" id="{00000000-0008-0000-2500-0000A8010000}"/>
            </a:ext>
          </a:extLst>
        </xdr:cNvPr>
        <xdr:cNvSpPr/>
      </xdr:nvSpPr>
      <xdr:spPr>
        <a:xfrm>
          <a:off x="2286000" y="9353550"/>
          <a:ext cx="876300" cy="228601"/>
        </a:xfrm>
        <a:prstGeom prst="rect">
          <a:avLst/>
        </a:prstGeom>
        <a:blipFill>
          <a:blip xmlns:r="http://schemas.openxmlformats.org/officeDocument/2006/relationships" r:embed="rId12"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10</xdr:col>
      <xdr:colOff>24764</xdr:colOff>
      <xdr:row>72</xdr:row>
      <xdr:rowOff>61595</xdr:rowOff>
    </xdr:from>
    <xdr:to>
      <xdr:col>12</xdr:col>
      <xdr:colOff>58680</xdr:colOff>
      <xdr:row>82</xdr:row>
      <xdr:rowOff>61595</xdr:rowOff>
    </xdr:to>
    <xdr:sp macro="" textlink="">
      <xdr:nvSpPr>
        <xdr:cNvPr id="425" name="Rectangle 424">
          <a:extLst>
            <a:ext uri="{FF2B5EF4-FFF2-40B4-BE49-F238E27FC236}">
              <a16:creationId xmlns="" xmlns:a16="http://schemas.microsoft.com/office/drawing/2014/main" id="{00000000-0008-0000-2500-0000A9010000}"/>
            </a:ext>
          </a:extLst>
        </xdr:cNvPr>
        <xdr:cNvSpPr/>
      </xdr:nvSpPr>
      <xdr:spPr>
        <a:xfrm>
          <a:off x="2295524" y="8248650"/>
          <a:ext cx="257175" cy="1143000"/>
        </a:xfrm>
        <a:prstGeom prst="rect">
          <a:avLst/>
        </a:prstGeom>
        <a:blipFill>
          <a:blip xmlns:r="http://schemas.openxmlformats.org/officeDocument/2006/relationships" r:embed="rId12"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51</xdr:col>
      <xdr:colOff>74930</xdr:colOff>
      <xdr:row>72</xdr:row>
      <xdr:rowOff>20320</xdr:rowOff>
    </xdr:from>
    <xdr:to>
      <xdr:col>59</xdr:col>
      <xdr:colOff>56499</xdr:colOff>
      <xdr:row>74</xdr:row>
      <xdr:rowOff>1655</xdr:rowOff>
    </xdr:to>
    <xdr:sp macro="" textlink="">
      <xdr:nvSpPr>
        <xdr:cNvPr id="426" name="Rectangle 425">
          <a:extLst>
            <a:ext uri="{FF2B5EF4-FFF2-40B4-BE49-F238E27FC236}">
              <a16:creationId xmlns="" xmlns:a16="http://schemas.microsoft.com/office/drawing/2014/main" id="{00000000-0008-0000-2500-0000AA010000}"/>
            </a:ext>
          </a:extLst>
        </xdr:cNvPr>
        <xdr:cNvSpPr/>
      </xdr:nvSpPr>
      <xdr:spPr>
        <a:xfrm>
          <a:off x="7058025" y="8258175"/>
          <a:ext cx="904875" cy="209550"/>
        </a:xfrm>
        <a:prstGeom prst="rect">
          <a:avLst/>
        </a:prstGeom>
        <a:blipFill>
          <a:blip xmlns:r="http://schemas.openxmlformats.org/officeDocument/2006/relationships" r:embed="rId12"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57</xdr:col>
      <xdr:colOff>74295</xdr:colOff>
      <xdr:row>72</xdr:row>
      <xdr:rowOff>20320</xdr:rowOff>
    </xdr:from>
    <xdr:to>
      <xdr:col>59</xdr:col>
      <xdr:colOff>74295</xdr:colOff>
      <xdr:row>82</xdr:row>
      <xdr:rowOff>20320</xdr:rowOff>
    </xdr:to>
    <xdr:sp macro="" textlink="">
      <xdr:nvSpPr>
        <xdr:cNvPr id="427" name="Rectangle 426">
          <a:extLst>
            <a:ext uri="{FF2B5EF4-FFF2-40B4-BE49-F238E27FC236}">
              <a16:creationId xmlns="" xmlns:a16="http://schemas.microsoft.com/office/drawing/2014/main" id="{00000000-0008-0000-2500-0000AB010000}"/>
            </a:ext>
          </a:extLst>
        </xdr:cNvPr>
        <xdr:cNvSpPr/>
      </xdr:nvSpPr>
      <xdr:spPr>
        <a:xfrm>
          <a:off x="7734300" y="8258175"/>
          <a:ext cx="228600" cy="1143000"/>
        </a:xfrm>
        <a:prstGeom prst="rect">
          <a:avLst/>
        </a:prstGeom>
        <a:blipFill>
          <a:blip xmlns:r="http://schemas.openxmlformats.org/officeDocument/2006/relationships" r:embed="rId12"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51</xdr:col>
      <xdr:colOff>74930</xdr:colOff>
      <xdr:row>82</xdr:row>
      <xdr:rowOff>0</xdr:rowOff>
    </xdr:from>
    <xdr:to>
      <xdr:col>59</xdr:col>
      <xdr:colOff>56499</xdr:colOff>
      <xdr:row>83</xdr:row>
      <xdr:rowOff>94325</xdr:rowOff>
    </xdr:to>
    <xdr:sp macro="" textlink="">
      <xdr:nvSpPr>
        <xdr:cNvPr id="428" name="Rectangle 427">
          <a:extLst>
            <a:ext uri="{FF2B5EF4-FFF2-40B4-BE49-F238E27FC236}">
              <a16:creationId xmlns="" xmlns:a16="http://schemas.microsoft.com/office/drawing/2014/main" id="{00000000-0008-0000-2500-0000AC010000}"/>
            </a:ext>
          </a:extLst>
        </xdr:cNvPr>
        <xdr:cNvSpPr/>
      </xdr:nvSpPr>
      <xdr:spPr>
        <a:xfrm>
          <a:off x="7058025" y="9372600"/>
          <a:ext cx="904875" cy="219076"/>
        </a:xfrm>
        <a:prstGeom prst="rect">
          <a:avLst/>
        </a:prstGeom>
        <a:blipFill>
          <a:blip xmlns:r="http://schemas.openxmlformats.org/officeDocument/2006/relationships" r:embed="rId12"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59</xdr:col>
      <xdr:colOff>74295</xdr:colOff>
      <xdr:row>77</xdr:row>
      <xdr:rowOff>61594</xdr:rowOff>
    </xdr:from>
    <xdr:to>
      <xdr:col>62</xdr:col>
      <xdr:colOff>56867</xdr:colOff>
      <xdr:row>77</xdr:row>
      <xdr:rowOff>61594</xdr:rowOff>
    </xdr:to>
    <xdr:cxnSp macro="">
      <xdr:nvCxnSpPr>
        <xdr:cNvPr id="429" name="Connecteur droit avec flèche 428">
          <a:extLst>
            <a:ext uri="{FF2B5EF4-FFF2-40B4-BE49-F238E27FC236}">
              <a16:creationId xmlns="" xmlns:a16="http://schemas.microsoft.com/office/drawing/2014/main" id="{00000000-0008-0000-2500-0000AD010000}"/>
            </a:ext>
          </a:extLst>
        </xdr:cNvPr>
        <xdr:cNvCxnSpPr>
          <a:endCxn id="427" idx="3"/>
        </xdr:cNvCxnSpPr>
      </xdr:nvCxnSpPr>
      <xdr:spPr>
        <a:xfrm rot="10800000" flipV="1">
          <a:off x="7962900" y="8820149"/>
          <a:ext cx="323850" cy="9525"/>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74295</xdr:colOff>
      <xdr:row>77</xdr:row>
      <xdr:rowOff>60961</xdr:rowOff>
    </xdr:from>
    <xdr:to>
      <xdr:col>57</xdr:col>
      <xdr:colOff>56863</xdr:colOff>
      <xdr:row>77</xdr:row>
      <xdr:rowOff>60961</xdr:rowOff>
    </xdr:to>
    <xdr:cxnSp macro="">
      <xdr:nvCxnSpPr>
        <xdr:cNvPr id="430" name="Connecteur droit avec flèche 429">
          <a:extLst>
            <a:ext uri="{FF2B5EF4-FFF2-40B4-BE49-F238E27FC236}">
              <a16:creationId xmlns="" xmlns:a16="http://schemas.microsoft.com/office/drawing/2014/main" id="{00000000-0008-0000-2500-0000AE010000}"/>
            </a:ext>
          </a:extLst>
        </xdr:cNvPr>
        <xdr:cNvCxnSpPr/>
      </xdr:nvCxnSpPr>
      <xdr:spPr>
        <a:xfrm flipV="1">
          <a:off x="7505700" y="8839201"/>
          <a:ext cx="219075" cy="9524"/>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57785</xdr:colOff>
      <xdr:row>75</xdr:row>
      <xdr:rowOff>61595</xdr:rowOff>
    </xdr:from>
    <xdr:to>
      <xdr:col>63</xdr:col>
      <xdr:colOff>74654</xdr:colOff>
      <xdr:row>77</xdr:row>
      <xdr:rowOff>61596</xdr:rowOff>
    </xdr:to>
    <xdr:sp macro="" textlink="">
      <xdr:nvSpPr>
        <xdr:cNvPr id="431" name="ZoneTexte 430">
          <a:extLst>
            <a:ext uri="{FF2B5EF4-FFF2-40B4-BE49-F238E27FC236}">
              <a16:creationId xmlns="" xmlns:a16="http://schemas.microsoft.com/office/drawing/2014/main" id="{00000000-0008-0000-2500-0000AF010000}"/>
            </a:ext>
          </a:extLst>
        </xdr:cNvPr>
        <xdr:cNvSpPr txBox="1"/>
      </xdr:nvSpPr>
      <xdr:spPr>
        <a:xfrm>
          <a:off x="7934325" y="8591550"/>
          <a:ext cx="495300" cy="228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30cm</a:t>
          </a:r>
        </a:p>
      </xdr:txBody>
    </xdr:sp>
    <xdr:clientData/>
  </xdr:twoCellAnchor>
  <xdr:twoCellAnchor>
    <xdr:from>
      <xdr:col>14</xdr:col>
      <xdr:colOff>796</xdr:colOff>
      <xdr:row>70</xdr:row>
      <xdr:rowOff>47625</xdr:rowOff>
    </xdr:from>
    <xdr:to>
      <xdr:col>14</xdr:col>
      <xdr:colOff>2980</xdr:colOff>
      <xdr:row>72</xdr:row>
      <xdr:rowOff>20528</xdr:rowOff>
    </xdr:to>
    <xdr:cxnSp macro="">
      <xdr:nvCxnSpPr>
        <xdr:cNvPr id="432" name="Connecteur droit avec flèche 431">
          <a:extLst>
            <a:ext uri="{FF2B5EF4-FFF2-40B4-BE49-F238E27FC236}">
              <a16:creationId xmlns="" xmlns:a16="http://schemas.microsoft.com/office/drawing/2014/main" id="{00000000-0008-0000-2500-0000B0010000}"/>
            </a:ext>
          </a:extLst>
        </xdr:cNvPr>
        <xdr:cNvCxnSpPr/>
      </xdr:nvCxnSpPr>
      <xdr:spPr>
        <a:xfrm rot="5400000">
          <a:off x="2643190" y="8158956"/>
          <a:ext cx="191295" cy="8733"/>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3174</xdr:colOff>
      <xdr:row>74</xdr:row>
      <xdr:rowOff>61596</xdr:rowOff>
    </xdr:from>
    <xdr:to>
      <xdr:col>14</xdr:col>
      <xdr:colOff>25797</xdr:colOff>
      <xdr:row>76</xdr:row>
      <xdr:rowOff>61596</xdr:rowOff>
    </xdr:to>
    <xdr:cxnSp macro="">
      <xdr:nvCxnSpPr>
        <xdr:cNvPr id="433" name="Connecteur droit avec flèche 432">
          <a:extLst>
            <a:ext uri="{FF2B5EF4-FFF2-40B4-BE49-F238E27FC236}">
              <a16:creationId xmlns="" xmlns:a16="http://schemas.microsoft.com/office/drawing/2014/main" id="{00000000-0008-0000-2500-0000B1010000}"/>
            </a:ext>
          </a:extLst>
        </xdr:cNvPr>
        <xdr:cNvCxnSpPr/>
      </xdr:nvCxnSpPr>
      <xdr:spPr>
        <a:xfrm rot="5400000" flipH="1" flipV="1">
          <a:off x="2631281" y="8589169"/>
          <a:ext cx="228600" cy="4763"/>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56515</xdr:colOff>
      <xdr:row>70</xdr:row>
      <xdr:rowOff>0</xdr:rowOff>
    </xdr:from>
    <xdr:to>
      <xdr:col>14</xdr:col>
      <xdr:colOff>75156</xdr:colOff>
      <xdr:row>72</xdr:row>
      <xdr:rowOff>1</xdr:rowOff>
    </xdr:to>
    <xdr:sp macro="" textlink="">
      <xdr:nvSpPr>
        <xdr:cNvPr id="434" name="ZoneTexte 433">
          <a:extLst>
            <a:ext uri="{FF2B5EF4-FFF2-40B4-BE49-F238E27FC236}">
              <a16:creationId xmlns="" xmlns:a16="http://schemas.microsoft.com/office/drawing/2014/main" id="{00000000-0008-0000-2500-0000B2010000}"/>
            </a:ext>
          </a:extLst>
        </xdr:cNvPr>
        <xdr:cNvSpPr txBox="1"/>
      </xdr:nvSpPr>
      <xdr:spPr>
        <a:xfrm>
          <a:off x="2343150" y="8001000"/>
          <a:ext cx="495300" cy="228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30cm</a:t>
          </a:r>
        </a:p>
      </xdr:txBody>
    </xdr:sp>
    <xdr:clientData/>
  </xdr:twoCellAnchor>
  <xdr:twoCellAnchor>
    <xdr:from>
      <xdr:col>12</xdr:col>
      <xdr:colOff>20320</xdr:colOff>
      <xdr:row>79</xdr:row>
      <xdr:rowOff>635</xdr:rowOff>
    </xdr:from>
    <xdr:to>
      <xdr:col>17</xdr:col>
      <xdr:colOff>112913</xdr:colOff>
      <xdr:row>79</xdr:row>
      <xdr:rowOff>29627</xdr:rowOff>
    </xdr:to>
    <xdr:cxnSp macro="">
      <xdr:nvCxnSpPr>
        <xdr:cNvPr id="435" name="Connecteur droit avec flèche 434">
          <a:extLst>
            <a:ext uri="{FF2B5EF4-FFF2-40B4-BE49-F238E27FC236}">
              <a16:creationId xmlns="" xmlns:a16="http://schemas.microsoft.com/office/drawing/2014/main" id="{00000000-0008-0000-2500-0000B3010000}"/>
            </a:ext>
          </a:extLst>
        </xdr:cNvPr>
        <xdr:cNvCxnSpPr/>
      </xdr:nvCxnSpPr>
      <xdr:spPr>
        <a:xfrm flipV="1">
          <a:off x="2533650" y="9039225"/>
          <a:ext cx="695325" cy="9525"/>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4445</xdr:colOff>
      <xdr:row>77</xdr:row>
      <xdr:rowOff>60960</xdr:rowOff>
    </xdr:from>
    <xdr:to>
      <xdr:col>17</xdr:col>
      <xdr:colOff>74583</xdr:colOff>
      <xdr:row>79</xdr:row>
      <xdr:rowOff>60961</xdr:rowOff>
    </xdr:to>
    <xdr:sp macro="" textlink="">
      <xdr:nvSpPr>
        <xdr:cNvPr id="436" name="ZoneTexte 435">
          <a:extLst>
            <a:ext uri="{FF2B5EF4-FFF2-40B4-BE49-F238E27FC236}">
              <a16:creationId xmlns="" xmlns:a16="http://schemas.microsoft.com/office/drawing/2014/main" id="{00000000-0008-0000-2500-0000B4010000}"/>
            </a:ext>
          </a:extLst>
        </xdr:cNvPr>
        <xdr:cNvSpPr txBox="1"/>
      </xdr:nvSpPr>
      <xdr:spPr>
        <a:xfrm>
          <a:off x="2667000" y="8848725"/>
          <a:ext cx="495300" cy="228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70cm</a:t>
          </a:r>
        </a:p>
      </xdr:txBody>
    </xdr:sp>
    <xdr:clientData/>
  </xdr:twoCellAnchor>
  <xdr:twoCellAnchor>
    <xdr:from>
      <xdr:col>55</xdr:col>
      <xdr:colOff>25560</xdr:colOff>
      <xdr:row>73</xdr:row>
      <xdr:rowOff>103030</xdr:rowOff>
    </xdr:from>
    <xdr:to>
      <xdr:col>55</xdr:col>
      <xdr:colOff>25957</xdr:colOff>
      <xdr:row>82</xdr:row>
      <xdr:rowOff>1377</xdr:rowOff>
    </xdr:to>
    <xdr:cxnSp macro="">
      <xdr:nvCxnSpPr>
        <xdr:cNvPr id="437" name="Connecteur droit avec flèche 436">
          <a:extLst>
            <a:ext uri="{FF2B5EF4-FFF2-40B4-BE49-F238E27FC236}">
              <a16:creationId xmlns="" xmlns:a16="http://schemas.microsoft.com/office/drawing/2014/main" id="{00000000-0008-0000-2500-0000B5010000}"/>
            </a:ext>
          </a:extLst>
        </xdr:cNvPr>
        <xdr:cNvCxnSpPr/>
      </xdr:nvCxnSpPr>
      <xdr:spPr>
        <a:xfrm rot="5400000">
          <a:off x="6953251" y="8910639"/>
          <a:ext cx="942975" cy="1588"/>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4445</xdr:colOff>
      <xdr:row>76</xdr:row>
      <xdr:rowOff>57785</xdr:rowOff>
    </xdr:from>
    <xdr:to>
      <xdr:col>55</xdr:col>
      <xdr:colOff>56956</xdr:colOff>
      <xdr:row>78</xdr:row>
      <xdr:rowOff>57786</xdr:rowOff>
    </xdr:to>
    <xdr:sp macro="" textlink="">
      <xdr:nvSpPr>
        <xdr:cNvPr id="438" name="ZoneTexte 437">
          <a:extLst>
            <a:ext uri="{FF2B5EF4-FFF2-40B4-BE49-F238E27FC236}">
              <a16:creationId xmlns="" xmlns:a16="http://schemas.microsoft.com/office/drawing/2014/main" id="{00000000-0008-0000-2500-0000B6010000}"/>
            </a:ext>
          </a:extLst>
        </xdr:cNvPr>
        <xdr:cNvSpPr txBox="1"/>
      </xdr:nvSpPr>
      <xdr:spPr>
        <a:xfrm>
          <a:off x="7000875" y="8743950"/>
          <a:ext cx="495300" cy="228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60cm</a:t>
          </a:r>
        </a:p>
      </xdr:txBody>
    </xdr:sp>
    <xdr:clientData/>
  </xdr:twoCellAnchor>
  <xdr:twoCellAnchor>
    <xdr:from>
      <xdr:col>55</xdr:col>
      <xdr:colOff>71438</xdr:colOff>
      <xdr:row>67</xdr:row>
      <xdr:rowOff>94615</xdr:rowOff>
    </xdr:from>
    <xdr:to>
      <xdr:col>57</xdr:col>
      <xdr:colOff>2278</xdr:colOff>
      <xdr:row>72</xdr:row>
      <xdr:rowOff>2090</xdr:rowOff>
    </xdr:to>
    <xdr:cxnSp macro="">
      <xdr:nvCxnSpPr>
        <xdr:cNvPr id="439" name="Connecteur droit avec flèche 438">
          <a:extLst>
            <a:ext uri="{FF2B5EF4-FFF2-40B4-BE49-F238E27FC236}">
              <a16:creationId xmlns="" xmlns:a16="http://schemas.microsoft.com/office/drawing/2014/main" id="{00000000-0008-0000-2500-0000B7010000}"/>
            </a:ext>
          </a:extLst>
        </xdr:cNvPr>
        <xdr:cNvCxnSpPr>
          <a:endCxn id="426" idx="0"/>
        </xdr:cNvCxnSpPr>
      </xdr:nvCxnSpPr>
      <xdr:spPr>
        <a:xfrm rot="5400000">
          <a:off x="7341394" y="7931944"/>
          <a:ext cx="495300" cy="15716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57785</xdr:colOff>
      <xdr:row>64</xdr:row>
      <xdr:rowOff>61595</xdr:rowOff>
    </xdr:from>
    <xdr:to>
      <xdr:col>61</xdr:col>
      <xdr:colOff>57846</xdr:colOff>
      <xdr:row>67</xdr:row>
      <xdr:rowOff>94792</xdr:rowOff>
    </xdr:to>
    <xdr:sp macro="" textlink="">
      <xdr:nvSpPr>
        <xdr:cNvPr id="440" name="ZoneTexte 439">
          <a:extLst>
            <a:ext uri="{FF2B5EF4-FFF2-40B4-BE49-F238E27FC236}">
              <a16:creationId xmlns="" xmlns:a16="http://schemas.microsoft.com/office/drawing/2014/main" id="{00000000-0008-0000-2500-0000B8010000}"/>
            </a:ext>
          </a:extLst>
        </xdr:cNvPr>
        <xdr:cNvSpPr txBox="1"/>
      </xdr:nvSpPr>
      <xdr:spPr>
        <a:xfrm>
          <a:off x="7248525" y="7334250"/>
          <a:ext cx="914399" cy="419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Fondation</a:t>
          </a:r>
          <a:r>
            <a:rPr lang="en-GB" sz="1100" baseline="0"/>
            <a:t> en moellon</a:t>
          </a:r>
          <a:endParaRPr lang="en-GB" sz="1100"/>
        </a:p>
      </xdr:txBody>
    </xdr:sp>
    <xdr:clientData/>
  </xdr:twoCellAnchor>
  <xdr:twoCellAnchor>
    <xdr:from>
      <xdr:col>102</xdr:col>
      <xdr:colOff>0</xdr:colOff>
      <xdr:row>86</xdr:row>
      <xdr:rowOff>94615</xdr:rowOff>
    </xdr:from>
    <xdr:to>
      <xdr:col>124</xdr:col>
      <xdr:colOff>207</xdr:colOff>
      <xdr:row>92</xdr:row>
      <xdr:rowOff>81965</xdr:rowOff>
    </xdr:to>
    <xdr:cxnSp macro="">
      <xdr:nvCxnSpPr>
        <xdr:cNvPr id="441" name="Connecteur droit avec flèche 440">
          <a:extLst>
            <a:ext uri="{FF2B5EF4-FFF2-40B4-BE49-F238E27FC236}">
              <a16:creationId xmlns="" xmlns:a16="http://schemas.microsoft.com/office/drawing/2014/main" id="{00000000-0008-0000-2500-0000B9010000}"/>
            </a:ext>
          </a:extLst>
        </xdr:cNvPr>
        <xdr:cNvCxnSpPr/>
      </xdr:nvCxnSpPr>
      <xdr:spPr>
        <a:xfrm rot="10800000" flipV="1">
          <a:off x="12830175" y="9934575"/>
          <a:ext cx="1600200" cy="6667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92</xdr:col>
      <xdr:colOff>57785</xdr:colOff>
      <xdr:row>95</xdr:row>
      <xdr:rowOff>60960</xdr:rowOff>
    </xdr:from>
    <xdr:to>
      <xdr:col>145</xdr:col>
      <xdr:colOff>96515</xdr:colOff>
      <xdr:row>95</xdr:row>
      <xdr:rowOff>59690</xdr:rowOff>
    </xdr:to>
    <xdr:cxnSp macro="">
      <xdr:nvCxnSpPr>
        <xdr:cNvPr id="442" name="Connecteur droit 441">
          <a:extLst>
            <a:ext uri="{FF2B5EF4-FFF2-40B4-BE49-F238E27FC236}">
              <a16:creationId xmlns="" xmlns:a16="http://schemas.microsoft.com/office/drawing/2014/main" id="{00000000-0008-0000-2500-0000BA010000}"/>
            </a:ext>
          </a:extLst>
        </xdr:cNvPr>
        <xdr:cNvCxnSpPr/>
      </xdr:nvCxnSpPr>
      <xdr:spPr>
        <a:xfrm>
          <a:off x="11706225" y="10906125"/>
          <a:ext cx="5810250" cy="95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82</xdr:col>
      <xdr:colOff>56515</xdr:colOff>
      <xdr:row>98</xdr:row>
      <xdr:rowOff>57785</xdr:rowOff>
    </xdr:from>
    <xdr:to>
      <xdr:col>92</xdr:col>
      <xdr:colOff>57845</xdr:colOff>
      <xdr:row>98</xdr:row>
      <xdr:rowOff>61278</xdr:rowOff>
    </xdr:to>
    <xdr:cxnSp macro="">
      <xdr:nvCxnSpPr>
        <xdr:cNvPr id="443" name="Connecteur droit 442">
          <a:extLst>
            <a:ext uri="{FF2B5EF4-FFF2-40B4-BE49-F238E27FC236}">
              <a16:creationId xmlns="" xmlns:a16="http://schemas.microsoft.com/office/drawing/2014/main" id="{00000000-0008-0000-2500-0000BB010000}"/>
            </a:ext>
          </a:extLst>
        </xdr:cNvPr>
        <xdr:cNvCxnSpPr/>
      </xdr:nvCxnSpPr>
      <xdr:spPr>
        <a:xfrm>
          <a:off x="10582275" y="11277600"/>
          <a:ext cx="1123950"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100</xdr:col>
      <xdr:colOff>24765</xdr:colOff>
      <xdr:row>58</xdr:row>
      <xdr:rowOff>635</xdr:rowOff>
    </xdr:from>
    <xdr:to>
      <xdr:col>111</xdr:col>
      <xdr:colOff>55405</xdr:colOff>
      <xdr:row>61</xdr:row>
      <xdr:rowOff>47272</xdr:rowOff>
    </xdr:to>
    <xdr:sp macro="" textlink="">
      <xdr:nvSpPr>
        <xdr:cNvPr id="444" name="Rectangle 443">
          <a:extLst>
            <a:ext uri="{FF2B5EF4-FFF2-40B4-BE49-F238E27FC236}">
              <a16:creationId xmlns="" xmlns:a16="http://schemas.microsoft.com/office/drawing/2014/main" id="{00000000-0008-0000-2500-0000BC010000}"/>
            </a:ext>
          </a:extLst>
        </xdr:cNvPr>
        <xdr:cNvSpPr/>
      </xdr:nvSpPr>
      <xdr:spPr>
        <a:xfrm>
          <a:off x="12582525" y="6638925"/>
          <a:ext cx="276225" cy="352425"/>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91</xdr:col>
      <xdr:colOff>19050</xdr:colOff>
      <xdr:row>32</xdr:row>
      <xdr:rowOff>57150</xdr:rowOff>
    </xdr:from>
    <xdr:to>
      <xdr:col>146</xdr:col>
      <xdr:colOff>38100</xdr:colOff>
      <xdr:row>64</xdr:row>
      <xdr:rowOff>50800</xdr:rowOff>
    </xdr:to>
    <xdr:grpSp>
      <xdr:nvGrpSpPr>
        <xdr:cNvPr id="891152" name="Groupe 444">
          <a:extLst>
            <a:ext uri="{FF2B5EF4-FFF2-40B4-BE49-F238E27FC236}">
              <a16:creationId xmlns="" xmlns:a16="http://schemas.microsoft.com/office/drawing/2014/main" id="{00000000-0008-0000-2500-000010990D00}"/>
            </a:ext>
          </a:extLst>
        </xdr:cNvPr>
        <xdr:cNvGrpSpPr>
          <a:grpSpLocks/>
        </xdr:cNvGrpSpPr>
      </xdr:nvGrpSpPr>
      <xdr:grpSpPr bwMode="auto">
        <a:xfrm>
          <a:off x="11537950" y="3714750"/>
          <a:ext cx="5829300" cy="3651250"/>
          <a:chOff x="12397367" y="5600700"/>
          <a:chExt cx="6081133" cy="3648075"/>
        </a:xfrm>
      </xdr:grpSpPr>
      <xdr:sp macro="" textlink="">
        <xdr:nvSpPr>
          <xdr:cNvPr id="891161" name="Rectangle 443" descr="Diagonal brick">
            <a:extLst>
              <a:ext uri="{FF2B5EF4-FFF2-40B4-BE49-F238E27FC236}">
                <a16:creationId xmlns="" xmlns:a16="http://schemas.microsoft.com/office/drawing/2014/main" id="{00000000-0008-0000-2500-000019990D00}"/>
              </a:ext>
            </a:extLst>
          </xdr:cNvPr>
          <xdr:cNvSpPr>
            <a:spLocks noChangeArrowheads="1"/>
          </xdr:cNvSpPr>
        </xdr:nvSpPr>
        <xdr:spPr bwMode="auto">
          <a:xfrm>
            <a:off x="12849225" y="9067800"/>
            <a:ext cx="4972049" cy="171450"/>
          </a:xfrm>
          <a:prstGeom prst="rect">
            <a:avLst/>
          </a:prstGeom>
          <a:blipFill dpi="0" rotWithShape="0">
            <a:blip xmlns:r="http://schemas.openxmlformats.org/officeDocument/2006/relationships" r:embed="rId9"/>
            <a:srcRect/>
            <a:tile tx="0" ty="0" sx="100000" sy="100000" flip="none" algn="tl"/>
          </a:blipFill>
          <a:ln w="9525">
            <a:solidFill>
              <a:srgbClr val="000000"/>
            </a:solidFill>
            <a:miter lim="800000"/>
            <a:headEnd/>
            <a:tailEnd/>
          </a:ln>
        </xdr:spPr>
      </xdr:sp>
      <xdr:sp macro="" textlink="">
        <xdr:nvSpPr>
          <xdr:cNvPr id="891162" name="Rectangle 439" descr="Newsprint">
            <a:extLst>
              <a:ext uri="{FF2B5EF4-FFF2-40B4-BE49-F238E27FC236}">
                <a16:creationId xmlns="" xmlns:a16="http://schemas.microsoft.com/office/drawing/2014/main" id="{00000000-0008-0000-2500-00001A990D00}"/>
              </a:ext>
            </a:extLst>
          </xdr:cNvPr>
          <xdr:cNvSpPr>
            <a:spLocks noChangeArrowheads="1"/>
          </xdr:cNvSpPr>
        </xdr:nvSpPr>
        <xdr:spPr bwMode="auto">
          <a:xfrm>
            <a:off x="14030325" y="6324601"/>
            <a:ext cx="3629024" cy="2743200"/>
          </a:xfrm>
          <a:prstGeom prst="rect">
            <a:avLst/>
          </a:prstGeom>
          <a:blipFill dpi="0" rotWithShape="0">
            <a:blip xmlns:r="http://schemas.openxmlformats.org/officeDocument/2006/relationships" r:embed="rId4"/>
            <a:srcRect/>
            <a:tile tx="0" ty="0" sx="100000" sy="100000" flip="none" algn="tl"/>
          </a:blipFill>
          <a:ln w="9525">
            <a:solidFill>
              <a:srgbClr val="000000"/>
            </a:solidFill>
            <a:miter lim="800000"/>
            <a:headEnd/>
            <a:tailEnd/>
          </a:ln>
        </xdr:spPr>
      </xdr:sp>
      <xdr:sp macro="" textlink="">
        <xdr:nvSpPr>
          <xdr:cNvPr id="891163" name="Rectangle 439" descr="Newsprint">
            <a:extLst>
              <a:ext uri="{FF2B5EF4-FFF2-40B4-BE49-F238E27FC236}">
                <a16:creationId xmlns="" xmlns:a16="http://schemas.microsoft.com/office/drawing/2014/main" id="{00000000-0008-0000-2500-00001B990D00}"/>
              </a:ext>
            </a:extLst>
          </xdr:cNvPr>
          <xdr:cNvSpPr>
            <a:spLocks noChangeArrowheads="1"/>
          </xdr:cNvSpPr>
        </xdr:nvSpPr>
        <xdr:spPr bwMode="auto">
          <a:xfrm>
            <a:off x="12963524" y="6324599"/>
            <a:ext cx="1552576" cy="2733677"/>
          </a:xfrm>
          <a:prstGeom prst="rect">
            <a:avLst/>
          </a:prstGeom>
          <a:blipFill dpi="0" rotWithShape="0">
            <a:blip xmlns:r="http://schemas.openxmlformats.org/officeDocument/2006/relationships" r:embed="rId4"/>
            <a:srcRect/>
            <a:tile tx="0" ty="0" sx="100000" sy="100000" flip="none" algn="tl"/>
          </a:blipFill>
          <a:ln w="9525">
            <a:solidFill>
              <a:srgbClr val="000000"/>
            </a:solidFill>
            <a:miter lim="800000"/>
            <a:headEnd/>
            <a:tailEnd/>
          </a:ln>
        </xdr:spPr>
      </xdr:sp>
      <xdr:sp macro="" textlink="">
        <xdr:nvSpPr>
          <xdr:cNvPr id="891164" name="Rectangle 443" descr="Diagonal brick">
            <a:extLst>
              <a:ext uri="{FF2B5EF4-FFF2-40B4-BE49-F238E27FC236}">
                <a16:creationId xmlns="" xmlns:a16="http://schemas.microsoft.com/office/drawing/2014/main" id="{00000000-0008-0000-2500-00001C990D00}"/>
              </a:ext>
            </a:extLst>
          </xdr:cNvPr>
          <xdr:cNvSpPr>
            <a:spLocks noChangeArrowheads="1"/>
          </xdr:cNvSpPr>
        </xdr:nvSpPr>
        <xdr:spPr bwMode="auto">
          <a:xfrm>
            <a:off x="12839700" y="9067800"/>
            <a:ext cx="1790699" cy="171450"/>
          </a:xfrm>
          <a:prstGeom prst="rect">
            <a:avLst/>
          </a:prstGeom>
          <a:blipFill dpi="0" rotWithShape="0">
            <a:blip xmlns:r="http://schemas.openxmlformats.org/officeDocument/2006/relationships" r:embed="rId9"/>
            <a:srcRect/>
            <a:tile tx="0" ty="0" sx="100000" sy="100000" flip="none" algn="tl"/>
          </a:blipFill>
          <a:ln w="9525">
            <a:solidFill>
              <a:srgbClr val="000000"/>
            </a:solidFill>
            <a:miter lim="800000"/>
            <a:headEnd/>
            <a:tailEnd/>
          </a:ln>
        </xdr:spPr>
      </xdr:sp>
      <xdr:sp macro="" textlink="">
        <xdr:nvSpPr>
          <xdr:cNvPr id="450" name="Rectangle 449">
            <a:extLst>
              <a:ext uri="{FF2B5EF4-FFF2-40B4-BE49-F238E27FC236}">
                <a16:creationId xmlns="" xmlns:a16="http://schemas.microsoft.com/office/drawing/2014/main" id="{00000000-0008-0000-2500-0000C2010000}"/>
              </a:ext>
            </a:extLst>
          </xdr:cNvPr>
          <xdr:cNvSpPr/>
        </xdr:nvSpPr>
        <xdr:spPr bwMode="auto">
          <a:xfrm>
            <a:off x="17672880" y="9064785"/>
            <a:ext cx="805620" cy="183990"/>
          </a:xfrm>
          <a:prstGeom prst="rect">
            <a:avLst/>
          </a:prstGeom>
          <a:blipFill>
            <a:blip xmlns:r="http://schemas.openxmlformats.org/officeDocument/2006/relationships" r:embed="rId11" cstate="print"/>
            <a:tile tx="0" ty="0" sx="100000" sy="100000" flip="none" algn="tl"/>
          </a:blip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451" name="Arc plein 450">
            <a:extLst>
              <a:ext uri="{FF2B5EF4-FFF2-40B4-BE49-F238E27FC236}">
                <a16:creationId xmlns="" xmlns:a16="http://schemas.microsoft.com/office/drawing/2014/main" id="{00000000-0008-0000-2500-0000C3010000}"/>
              </a:ext>
            </a:extLst>
          </xdr:cNvPr>
          <xdr:cNvSpPr/>
        </xdr:nvSpPr>
        <xdr:spPr bwMode="auto">
          <a:xfrm>
            <a:off x="17757340" y="8950585"/>
            <a:ext cx="116945" cy="190334"/>
          </a:xfrm>
          <a:prstGeom prst="blockArc">
            <a:avLst/>
          </a:prstGeom>
          <a:solidFill>
            <a:schemeClr val="tx1">
              <a:lumMod val="65000"/>
              <a:lumOff val="3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p>
        </xdr:txBody>
      </xdr:sp>
      <xdr:sp macro="" textlink="">
        <xdr:nvSpPr>
          <xdr:cNvPr id="452" name="Arc plein 451">
            <a:extLst>
              <a:ext uri="{FF2B5EF4-FFF2-40B4-BE49-F238E27FC236}">
                <a16:creationId xmlns="" xmlns:a16="http://schemas.microsoft.com/office/drawing/2014/main" id="{00000000-0008-0000-2500-0000C4010000}"/>
              </a:ext>
            </a:extLst>
          </xdr:cNvPr>
          <xdr:cNvSpPr/>
        </xdr:nvSpPr>
        <xdr:spPr bwMode="auto">
          <a:xfrm>
            <a:off x="18212126" y="8950585"/>
            <a:ext cx="123442" cy="209368"/>
          </a:xfrm>
          <a:prstGeom prst="blockArc">
            <a:avLst/>
          </a:prstGeom>
          <a:solidFill>
            <a:schemeClr val="tx1">
              <a:lumMod val="65000"/>
              <a:lumOff val="3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p>
        </xdr:txBody>
      </xdr:sp>
      <xdr:sp macro="" textlink="">
        <xdr:nvSpPr>
          <xdr:cNvPr id="453" name="Triangle rectangle 452">
            <a:extLst>
              <a:ext uri="{FF2B5EF4-FFF2-40B4-BE49-F238E27FC236}">
                <a16:creationId xmlns="" xmlns:a16="http://schemas.microsoft.com/office/drawing/2014/main" id="{00000000-0008-0000-2500-0000C5010000}"/>
              </a:ext>
            </a:extLst>
          </xdr:cNvPr>
          <xdr:cNvSpPr/>
        </xdr:nvSpPr>
        <xdr:spPr>
          <a:xfrm flipH="1">
            <a:off x="13644779" y="5600700"/>
            <a:ext cx="4028101" cy="723271"/>
          </a:xfrm>
          <a:prstGeom prst="rtTriangle">
            <a:avLst/>
          </a:prstGeom>
          <a:blipFill>
            <a:blip xmlns:r="http://schemas.openxmlformats.org/officeDocument/2006/relationships" r:embed="rId4" cstate="print"/>
            <a:tile tx="0" ty="0" sx="100000" sy="100000" flip="none" algn="tl"/>
          </a:blip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sp macro="" textlink="">
        <xdr:nvSpPr>
          <xdr:cNvPr id="454" name="Rectangle 453">
            <a:extLst>
              <a:ext uri="{FF2B5EF4-FFF2-40B4-BE49-F238E27FC236}">
                <a16:creationId xmlns="" xmlns:a16="http://schemas.microsoft.com/office/drawing/2014/main" id="{00000000-0008-0000-2500-0000C6010000}"/>
              </a:ext>
            </a:extLst>
          </xdr:cNvPr>
          <xdr:cNvSpPr/>
        </xdr:nvSpPr>
        <xdr:spPr>
          <a:xfrm rot="20996665" flipV="1">
            <a:off x="12397367" y="5905235"/>
            <a:ext cx="5873231" cy="145923"/>
          </a:xfrm>
          <a:prstGeom prst="rect">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solidFill>
                <a:srgbClr val="00B0F0"/>
              </a:solidFill>
            </a:endParaRPr>
          </a:p>
        </xdr:txBody>
      </xdr:sp>
      <xdr:sp macro="" textlink="">
        <xdr:nvSpPr>
          <xdr:cNvPr id="455" name="Rectangle 454">
            <a:extLst>
              <a:ext uri="{FF2B5EF4-FFF2-40B4-BE49-F238E27FC236}">
                <a16:creationId xmlns="" xmlns:a16="http://schemas.microsoft.com/office/drawing/2014/main" id="{00000000-0008-0000-2500-0000C7010000}"/>
              </a:ext>
            </a:extLst>
          </xdr:cNvPr>
          <xdr:cNvSpPr/>
        </xdr:nvSpPr>
        <xdr:spPr>
          <a:xfrm>
            <a:off x="13352417" y="6584094"/>
            <a:ext cx="747148" cy="45680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sp macro="" textlink="">
        <xdr:nvSpPr>
          <xdr:cNvPr id="456" name="Rectangle 455">
            <a:extLst>
              <a:ext uri="{FF2B5EF4-FFF2-40B4-BE49-F238E27FC236}">
                <a16:creationId xmlns="" xmlns:a16="http://schemas.microsoft.com/office/drawing/2014/main" id="{00000000-0008-0000-2500-0000C8010000}"/>
              </a:ext>
            </a:extLst>
          </xdr:cNvPr>
          <xdr:cNvSpPr/>
        </xdr:nvSpPr>
        <xdr:spPr>
          <a:xfrm>
            <a:off x="13755227" y="6641194"/>
            <a:ext cx="279368" cy="361635"/>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xnSp macro="">
        <xdr:nvCxnSpPr>
          <xdr:cNvPr id="457" name="Connecteur droit 456">
            <a:extLst>
              <a:ext uri="{FF2B5EF4-FFF2-40B4-BE49-F238E27FC236}">
                <a16:creationId xmlns="" xmlns:a16="http://schemas.microsoft.com/office/drawing/2014/main" id="{00000000-0008-0000-2500-0000C9010000}"/>
              </a:ext>
            </a:extLst>
          </xdr:cNvPr>
          <xdr:cNvCxnSpPr/>
        </xdr:nvCxnSpPr>
        <xdr:spPr>
          <a:xfrm rot="16200000" flipH="1">
            <a:off x="14806235" y="6054330"/>
            <a:ext cx="145923"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458" name="Rectangle 457">
            <a:extLst>
              <a:ext uri="{FF2B5EF4-FFF2-40B4-BE49-F238E27FC236}">
                <a16:creationId xmlns="" xmlns:a16="http://schemas.microsoft.com/office/drawing/2014/main" id="{00000000-0008-0000-2500-0000CA010000}"/>
              </a:ext>
            </a:extLst>
          </xdr:cNvPr>
          <xdr:cNvSpPr/>
        </xdr:nvSpPr>
        <xdr:spPr>
          <a:xfrm>
            <a:off x="13430380" y="6628505"/>
            <a:ext cx="279368" cy="355291"/>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grpSp>
    <xdr:clientData/>
  </xdr:twoCellAnchor>
  <xdr:twoCellAnchor>
    <xdr:from>
      <xdr:col>112</xdr:col>
      <xdr:colOff>0</xdr:colOff>
      <xdr:row>69</xdr:row>
      <xdr:rowOff>0</xdr:rowOff>
    </xdr:from>
    <xdr:to>
      <xdr:col>135</xdr:col>
      <xdr:colOff>95827</xdr:colOff>
      <xdr:row>72</xdr:row>
      <xdr:rowOff>0</xdr:rowOff>
    </xdr:to>
    <xdr:sp macro="" textlink="">
      <xdr:nvSpPr>
        <xdr:cNvPr id="459" name="Text Box 446">
          <a:extLst>
            <a:ext uri="{FF2B5EF4-FFF2-40B4-BE49-F238E27FC236}">
              <a16:creationId xmlns="" xmlns:a16="http://schemas.microsoft.com/office/drawing/2014/main" id="{00000000-0008-0000-2500-0000CB010000}"/>
            </a:ext>
          </a:extLst>
        </xdr:cNvPr>
        <xdr:cNvSpPr txBox="1">
          <a:spLocks noChangeArrowheads="1"/>
        </xdr:cNvSpPr>
      </xdr:nvSpPr>
      <xdr:spPr bwMode="auto">
        <a:xfrm>
          <a:off x="12915900" y="7886700"/>
          <a:ext cx="3028950" cy="3429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ctr" rtl="0">
            <a:defRPr sz="1000"/>
          </a:pPr>
          <a:r>
            <a:rPr lang="fr-FR" sz="1000" b="1" i="0" strike="noStrike">
              <a:solidFill>
                <a:srgbClr val="000000"/>
              </a:solidFill>
              <a:latin typeface="Arial"/>
              <a:cs typeface="Arial"/>
            </a:rPr>
            <a:t>PROFIL DROIT BLOC</a:t>
          </a:r>
          <a:r>
            <a:rPr lang="fr-FR" sz="1000" b="1" i="0" strike="noStrike" baseline="0">
              <a:solidFill>
                <a:srgbClr val="000000"/>
              </a:solidFill>
              <a:latin typeface="Arial"/>
              <a:cs typeface="Arial"/>
            </a:rPr>
            <a:t> LATRINE DE 2 PORTES AVEC COIN D'HYGIENE MENSTRUELLE</a:t>
          </a:r>
          <a:endParaRPr lang="fr-FR" sz="1000" b="1" i="0" strike="noStrike">
            <a:solidFill>
              <a:srgbClr val="000000"/>
            </a:solidFill>
            <a:latin typeface="Arial"/>
            <a:cs typeface="Arial"/>
          </a:endParaRPr>
        </a:p>
      </xdr:txBody>
    </xdr:sp>
    <xdr:clientData/>
  </xdr:twoCellAnchor>
  <xdr:twoCellAnchor>
    <xdr:from>
      <xdr:col>32</xdr:col>
      <xdr:colOff>74295</xdr:colOff>
      <xdr:row>25</xdr:row>
      <xdr:rowOff>60960</xdr:rowOff>
    </xdr:from>
    <xdr:to>
      <xdr:col>35</xdr:col>
      <xdr:colOff>24515</xdr:colOff>
      <xdr:row>28</xdr:row>
      <xdr:rowOff>663</xdr:rowOff>
    </xdr:to>
    <xdr:sp macro="" textlink="">
      <xdr:nvSpPr>
        <xdr:cNvPr id="460" name="Ellipse 459">
          <a:extLst>
            <a:ext uri="{FF2B5EF4-FFF2-40B4-BE49-F238E27FC236}">
              <a16:creationId xmlns="" xmlns:a16="http://schemas.microsoft.com/office/drawing/2014/main" id="{00000000-0008-0000-2500-0000CC010000}"/>
            </a:ext>
          </a:extLst>
        </xdr:cNvPr>
        <xdr:cNvSpPr/>
      </xdr:nvSpPr>
      <xdr:spPr>
        <a:xfrm>
          <a:off x="4876800" y="2905125"/>
          <a:ext cx="276225" cy="304800"/>
        </a:xfrm>
        <a:prstGeom prst="ellipse">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24</xdr:col>
      <xdr:colOff>56515</xdr:colOff>
      <xdr:row>25</xdr:row>
      <xdr:rowOff>60960</xdr:rowOff>
    </xdr:from>
    <xdr:to>
      <xdr:col>27</xdr:col>
      <xdr:colOff>2043</xdr:colOff>
      <xdr:row>28</xdr:row>
      <xdr:rowOff>663</xdr:rowOff>
    </xdr:to>
    <xdr:sp macro="" textlink="">
      <xdr:nvSpPr>
        <xdr:cNvPr id="461" name="Ellipse 460">
          <a:extLst>
            <a:ext uri="{FF2B5EF4-FFF2-40B4-BE49-F238E27FC236}">
              <a16:creationId xmlns="" xmlns:a16="http://schemas.microsoft.com/office/drawing/2014/main" id="{00000000-0008-0000-2500-0000CD010000}"/>
            </a:ext>
          </a:extLst>
        </xdr:cNvPr>
        <xdr:cNvSpPr/>
      </xdr:nvSpPr>
      <xdr:spPr>
        <a:xfrm>
          <a:off x="3952875" y="2905125"/>
          <a:ext cx="276225" cy="304800"/>
        </a:xfrm>
        <a:prstGeom prst="ellipse">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37</xdr:col>
      <xdr:colOff>74929</xdr:colOff>
      <xdr:row>26</xdr:row>
      <xdr:rowOff>57785</xdr:rowOff>
    </xdr:from>
    <xdr:to>
      <xdr:col>44</xdr:col>
      <xdr:colOff>94713</xdr:colOff>
      <xdr:row>28</xdr:row>
      <xdr:rowOff>94785</xdr:rowOff>
    </xdr:to>
    <xdr:sp macro="" textlink="">
      <xdr:nvSpPr>
        <xdr:cNvPr id="462" name="ZoneTexte 461">
          <a:extLst>
            <a:ext uri="{FF2B5EF4-FFF2-40B4-BE49-F238E27FC236}">
              <a16:creationId xmlns="" xmlns:a16="http://schemas.microsoft.com/office/drawing/2014/main" id="{00000000-0008-0000-2500-0000CE010000}"/>
            </a:ext>
          </a:extLst>
        </xdr:cNvPr>
        <xdr:cNvSpPr txBox="1"/>
      </xdr:nvSpPr>
      <xdr:spPr>
        <a:xfrm>
          <a:off x="5457824" y="3048000"/>
          <a:ext cx="8096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solidFill>
                <a:srgbClr val="FFFF00"/>
              </a:solidFill>
            </a:rPr>
            <a:t>Poubelle</a:t>
          </a:r>
        </a:p>
      </xdr:txBody>
    </xdr:sp>
    <xdr:clientData/>
  </xdr:twoCellAnchor>
  <xdr:twoCellAnchor>
    <xdr:from>
      <xdr:col>34</xdr:col>
      <xdr:colOff>56515</xdr:colOff>
      <xdr:row>26</xdr:row>
      <xdr:rowOff>81915</xdr:rowOff>
    </xdr:from>
    <xdr:to>
      <xdr:col>38</xdr:col>
      <xdr:colOff>56745</xdr:colOff>
      <xdr:row>27</xdr:row>
      <xdr:rowOff>81915</xdr:rowOff>
    </xdr:to>
    <xdr:cxnSp macro="">
      <xdr:nvCxnSpPr>
        <xdr:cNvPr id="463" name="Connecteur droit avec flèche 462">
          <a:extLst>
            <a:ext uri="{FF2B5EF4-FFF2-40B4-BE49-F238E27FC236}">
              <a16:creationId xmlns="" xmlns:a16="http://schemas.microsoft.com/office/drawing/2014/main" id="{00000000-0008-0000-2500-0000CF010000}"/>
            </a:ext>
          </a:extLst>
        </xdr:cNvPr>
        <xdr:cNvCxnSpPr/>
      </xdr:nvCxnSpPr>
      <xdr:spPr>
        <a:xfrm>
          <a:off x="5095875" y="3057525"/>
          <a:ext cx="447675" cy="11430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24765</xdr:colOff>
      <xdr:row>26</xdr:row>
      <xdr:rowOff>81915</xdr:rowOff>
    </xdr:from>
    <xdr:to>
      <xdr:col>32</xdr:col>
      <xdr:colOff>74414</xdr:colOff>
      <xdr:row>26</xdr:row>
      <xdr:rowOff>82709</xdr:rowOff>
    </xdr:to>
    <xdr:cxnSp macro="">
      <xdr:nvCxnSpPr>
        <xdr:cNvPr id="464" name="Connecteur droit avec flèche 463">
          <a:extLst>
            <a:ext uri="{FF2B5EF4-FFF2-40B4-BE49-F238E27FC236}">
              <a16:creationId xmlns="" xmlns:a16="http://schemas.microsoft.com/office/drawing/2014/main" id="{00000000-0008-0000-2500-0000D0010000}"/>
            </a:ext>
          </a:extLst>
        </xdr:cNvPr>
        <xdr:cNvCxnSpPr>
          <a:stCxn id="460" idx="2"/>
          <a:endCxn id="461" idx="6"/>
        </xdr:cNvCxnSpPr>
      </xdr:nvCxnSpPr>
      <xdr:spPr>
        <a:xfrm rot="10800000">
          <a:off x="4229100" y="3057525"/>
          <a:ext cx="647700" cy="1588"/>
        </a:xfrm>
        <a:prstGeom prst="straightConnector1">
          <a:avLst/>
        </a:prstGeom>
        <a:ln>
          <a:solidFill>
            <a:srgbClr val="FFFF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86201</xdr:colOff>
      <xdr:row>56</xdr:row>
      <xdr:rowOff>47149</xdr:rowOff>
    </xdr:from>
    <xdr:to>
      <xdr:col>17</xdr:col>
      <xdr:colOff>80962</xdr:colOff>
      <xdr:row>57</xdr:row>
      <xdr:rowOff>102863</xdr:rowOff>
    </xdr:to>
    <xdr:cxnSp macro="">
      <xdr:nvCxnSpPr>
        <xdr:cNvPr id="465" name="Connecteur droit 464">
          <a:extLst>
            <a:ext uri="{FF2B5EF4-FFF2-40B4-BE49-F238E27FC236}">
              <a16:creationId xmlns="" xmlns:a16="http://schemas.microsoft.com/office/drawing/2014/main" id="{00000000-0008-0000-2500-0000D1010000}"/>
            </a:ext>
          </a:extLst>
        </xdr:cNvPr>
        <xdr:cNvCxnSpPr/>
      </xdr:nvCxnSpPr>
      <xdr:spPr>
        <a:xfrm rot="5400000">
          <a:off x="3086100" y="6515100"/>
          <a:ext cx="190500"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74930</xdr:colOff>
      <xdr:row>56</xdr:row>
      <xdr:rowOff>60960</xdr:rowOff>
    </xdr:from>
    <xdr:to>
      <xdr:col>51</xdr:col>
      <xdr:colOff>114023</xdr:colOff>
      <xdr:row>57</xdr:row>
      <xdr:rowOff>114216</xdr:rowOff>
    </xdr:to>
    <xdr:cxnSp macro="">
      <xdr:nvCxnSpPr>
        <xdr:cNvPr id="466" name="Connecteur droit 465">
          <a:extLst>
            <a:ext uri="{FF2B5EF4-FFF2-40B4-BE49-F238E27FC236}">
              <a16:creationId xmlns="" xmlns:a16="http://schemas.microsoft.com/office/drawing/2014/main" id="{00000000-0008-0000-2500-0000D2010000}"/>
            </a:ext>
          </a:extLst>
        </xdr:cNvPr>
        <xdr:cNvCxnSpPr/>
      </xdr:nvCxnSpPr>
      <xdr:spPr>
        <a:xfrm rot="16200000" flipH="1">
          <a:off x="6977062" y="6529388"/>
          <a:ext cx="190500" cy="952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22</xdr:col>
      <xdr:colOff>57785</xdr:colOff>
      <xdr:row>100</xdr:row>
      <xdr:rowOff>0</xdr:rowOff>
    </xdr:from>
    <xdr:to>
      <xdr:col>29</xdr:col>
      <xdr:colOff>61845</xdr:colOff>
      <xdr:row>104</xdr:row>
      <xdr:rowOff>1459</xdr:rowOff>
    </xdr:to>
    <xdr:sp macro="" textlink="">
      <xdr:nvSpPr>
        <xdr:cNvPr id="2" name="Rectangle 1">
          <a:extLst>
            <a:ext uri="{FF2B5EF4-FFF2-40B4-BE49-F238E27FC236}">
              <a16:creationId xmlns="" xmlns:a16="http://schemas.microsoft.com/office/drawing/2014/main" id="{00000000-0008-0000-2600-000002000000}"/>
            </a:ext>
          </a:extLst>
        </xdr:cNvPr>
        <xdr:cNvSpPr/>
      </xdr:nvSpPr>
      <xdr:spPr>
        <a:xfrm>
          <a:off x="2628900" y="10734675"/>
          <a:ext cx="742950" cy="42683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26</xdr:col>
      <xdr:colOff>61595</xdr:colOff>
      <xdr:row>100</xdr:row>
      <xdr:rowOff>40929</xdr:rowOff>
    </xdr:from>
    <xdr:to>
      <xdr:col>28</xdr:col>
      <xdr:colOff>57622</xdr:colOff>
      <xdr:row>103</xdr:row>
      <xdr:rowOff>63197</xdr:rowOff>
    </xdr:to>
    <xdr:sp macro="" textlink="">
      <xdr:nvSpPr>
        <xdr:cNvPr id="3" name="Rectangle 2">
          <a:extLst>
            <a:ext uri="{FF2B5EF4-FFF2-40B4-BE49-F238E27FC236}">
              <a16:creationId xmlns="" xmlns:a16="http://schemas.microsoft.com/office/drawing/2014/main" id="{00000000-0008-0000-2600-000003000000}"/>
            </a:ext>
          </a:extLst>
        </xdr:cNvPr>
        <xdr:cNvSpPr/>
      </xdr:nvSpPr>
      <xdr:spPr>
        <a:xfrm>
          <a:off x="3028950" y="10790209"/>
          <a:ext cx="276225" cy="322109"/>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23</xdr:col>
      <xdr:colOff>635</xdr:colOff>
      <xdr:row>100</xdr:row>
      <xdr:rowOff>64110</xdr:rowOff>
    </xdr:from>
    <xdr:to>
      <xdr:col>25</xdr:col>
      <xdr:colOff>58393</xdr:colOff>
      <xdr:row>103</xdr:row>
      <xdr:rowOff>61627</xdr:rowOff>
    </xdr:to>
    <xdr:sp macro="" textlink="">
      <xdr:nvSpPr>
        <xdr:cNvPr id="4" name="Rectangle 3">
          <a:extLst>
            <a:ext uri="{FF2B5EF4-FFF2-40B4-BE49-F238E27FC236}">
              <a16:creationId xmlns="" xmlns:a16="http://schemas.microsoft.com/office/drawing/2014/main" id="{00000000-0008-0000-2600-000004000000}"/>
            </a:ext>
          </a:extLst>
        </xdr:cNvPr>
        <xdr:cNvSpPr/>
      </xdr:nvSpPr>
      <xdr:spPr>
        <a:xfrm>
          <a:off x="2676525" y="10791800"/>
          <a:ext cx="276225" cy="322109"/>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138</xdr:col>
      <xdr:colOff>139700</xdr:colOff>
      <xdr:row>97</xdr:row>
      <xdr:rowOff>19050</xdr:rowOff>
    </xdr:from>
    <xdr:to>
      <xdr:col>153</xdr:col>
      <xdr:colOff>6350</xdr:colOff>
      <xdr:row>104</xdr:row>
      <xdr:rowOff>31750</xdr:rowOff>
    </xdr:to>
    <xdr:sp macro="" textlink="">
      <xdr:nvSpPr>
        <xdr:cNvPr id="888132" name="Rectangle 26" descr="Light vertical">
          <a:extLst>
            <a:ext uri="{FF2B5EF4-FFF2-40B4-BE49-F238E27FC236}">
              <a16:creationId xmlns="" xmlns:a16="http://schemas.microsoft.com/office/drawing/2014/main" id="{00000000-0008-0000-2600-0000448D0D00}"/>
            </a:ext>
          </a:extLst>
        </xdr:cNvPr>
        <xdr:cNvSpPr>
          <a:spLocks noChangeArrowheads="1"/>
        </xdr:cNvSpPr>
      </xdr:nvSpPr>
      <xdr:spPr bwMode="auto">
        <a:xfrm>
          <a:off x="15233650" y="10026650"/>
          <a:ext cx="2000250" cy="7239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47</xdr:col>
      <xdr:colOff>19050</xdr:colOff>
      <xdr:row>28</xdr:row>
      <xdr:rowOff>69850</xdr:rowOff>
    </xdr:from>
    <xdr:to>
      <xdr:col>56</xdr:col>
      <xdr:colOff>0</xdr:colOff>
      <xdr:row>34</xdr:row>
      <xdr:rowOff>31750</xdr:rowOff>
    </xdr:to>
    <xdr:sp macro="" textlink="">
      <xdr:nvSpPr>
        <xdr:cNvPr id="888133" name="Rectangle 447" descr="Cork">
          <a:extLst>
            <a:ext uri="{FF2B5EF4-FFF2-40B4-BE49-F238E27FC236}">
              <a16:creationId xmlns="" xmlns:a16="http://schemas.microsoft.com/office/drawing/2014/main" id="{00000000-0008-0000-2600-0000458D0D00}"/>
            </a:ext>
          </a:extLst>
        </xdr:cNvPr>
        <xdr:cNvSpPr>
          <a:spLocks noChangeArrowheads="1"/>
        </xdr:cNvSpPr>
      </xdr:nvSpPr>
      <xdr:spPr bwMode="auto">
        <a:xfrm>
          <a:off x="5397500" y="3067050"/>
          <a:ext cx="1009650" cy="571500"/>
        </a:xfrm>
        <a:prstGeom prst="rect">
          <a:avLst/>
        </a:prstGeom>
        <a:blipFill dpi="0" rotWithShape="0">
          <a:blip xmlns:r="http://schemas.openxmlformats.org/officeDocument/2006/relationships" r:embed="rId2"/>
          <a:srcRect/>
          <a:tile tx="0" ty="0" sx="100000" sy="100000" flip="none" algn="tl"/>
        </a:blipFill>
        <a:ln w="9525">
          <a:solidFill>
            <a:srgbClr val="000000"/>
          </a:solidFill>
          <a:miter lim="800000"/>
          <a:headEnd/>
          <a:tailEnd/>
        </a:ln>
      </xdr:spPr>
    </xdr:sp>
    <xdr:clientData/>
  </xdr:twoCellAnchor>
  <xdr:twoCellAnchor>
    <xdr:from>
      <xdr:col>125</xdr:col>
      <xdr:colOff>6350</xdr:colOff>
      <xdr:row>90</xdr:row>
      <xdr:rowOff>31750</xdr:rowOff>
    </xdr:from>
    <xdr:to>
      <xdr:col>126</xdr:col>
      <xdr:colOff>19050</xdr:colOff>
      <xdr:row>121</xdr:row>
      <xdr:rowOff>6350</xdr:rowOff>
    </xdr:to>
    <xdr:sp macro="" textlink="">
      <xdr:nvSpPr>
        <xdr:cNvPr id="888134" name="Rectangle 343">
          <a:extLst>
            <a:ext uri="{FF2B5EF4-FFF2-40B4-BE49-F238E27FC236}">
              <a16:creationId xmlns="" xmlns:a16="http://schemas.microsoft.com/office/drawing/2014/main" id="{00000000-0008-0000-2600-0000468D0D00}"/>
            </a:ext>
          </a:extLst>
        </xdr:cNvPr>
        <xdr:cNvSpPr>
          <a:spLocks noChangeArrowheads="1"/>
        </xdr:cNvSpPr>
      </xdr:nvSpPr>
      <xdr:spPr bwMode="auto">
        <a:xfrm>
          <a:off x="13360400" y="9328150"/>
          <a:ext cx="133350" cy="312420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124</xdr:col>
      <xdr:colOff>76200</xdr:colOff>
      <xdr:row>87</xdr:row>
      <xdr:rowOff>82550</xdr:rowOff>
    </xdr:from>
    <xdr:to>
      <xdr:col>126</xdr:col>
      <xdr:colOff>44450</xdr:colOff>
      <xdr:row>90</xdr:row>
      <xdr:rowOff>31750</xdr:rowOff>
    </xdr:to>
    <xdr:sp macro="" textlink="">
      <xdr:nvSpPr>
        <xdr:cNvPr id="888135" name="Rectangle 354" descr="Outlined diamond">
          <a:extLst>
            <a:ext uri="{FF2B5EF4-FFF2-40B4-BE49-F238E27FC236}">
              <a16:creationId xmlns="" xmlns:a16="http://schemas.microsoft.com/office/drawing/2014/main" id="{00000000-0008-0000-2600-0000478D0D00}"/>
            </a:ext>
          </a:extLst>
        </xdr:cNvPr>
        <xdr:cNvSpPr>
          <a:spLocks noChangeArrowheads="1"/>
        </xdr:cNvSpPr>
      </xdr:nvSpPr>
      <xdr:spPr bwMode="auto">
        <a:xfrm flipV="1">
          <a:off x="13309600" y="9074150"/>
          <a:ext cx="209550" cy="25400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137</xdr:col>
      <xdr:colOff>82550</xdr:colOff>
      <xdr:row>90</xdr:row>
      <xdr:rowOff>6350</xdr:rowOff>
    </xdr:from>
    <xdr:to>
      <xdr:col>138</xdr:col>
      <xdr:colOff>63500</xdr:colOff>
      <xdr:row>122</xdr:row>
      <xdr:rowOff>6350</xdr:rowOff>
    </xdr:to>
    <xdr:sp macro="" textlink="">
      <xdr:nvSpPr>
        <xdr:cNvPr id="888136" name="Rectangle 343">
          <a:extLst>
            <a:ext uri="{FF2B5EF4-FFF2-40B4-BE49-F238E27FC236}">
              <a16:creationId xmlns="" xmlns:a16="http://schemas.microsoft.com/office/drawing/2014/main" id="{00000000-0008-0000-2600-0000488D0D00}"/>
            </a:ext>
          </a:extLst>
        </xdr:cNvPr>
        <xdr:cNvSpPr>
          <a:spLocks noChangeArrowheads="1"/>
        </xdr:cNvSpPr>
      </xdr:nvSpPr>
      <xdr:spPr bwMode="auto">
        <a:xfrm>
          <a:off x="14998700" y="9302750"/>
          <a:ext cx="158750" cy="325120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137</xdr:col>
      <xdr:colOff>57150</xdr:colOff>
      <xdr:row>87</xdr:row>
      <xdr:rowOff>82550</xdr:rowOff>
    </xdr:from>
    <xdr:to>
      <xdr:col>138</xdr:col>
      <xdr:colOff>82550</xdr:colOff>
      <xdr:row>90</xdr:row>
      <xdr:rowOff>31750</xdr:rowOff>
    </xdr:to>
    <xdr:sp macro="" textlink="">
      <xdr:nvSpPr>
        <xdr:cNvPr id="888137" name="Rectangle 354" descr="Outlined diamond">
          <a:extLst>
            <a:ext uri="{FF2B5EF4-FFF2-40B4-BE49-F238E27FC236}">
              <a16:creationId xmlns="" xmlns:a16="http://schemas.microsoft.com/office/drawing/2014/main" id="{00000000-0008-0000-2600-0000498D0D00}"/>
            </a:ext>
          </a:extLst>
        </xdr:cNvPr>
        <xdr:cNvSpPr>
          <a:spLocks noChangeArrowheads="1"/>
        </xdr:cNvSpPr>
      </xdr:nvSpPr>
      <xdr:spPr bwMode="auto">
        <a:xfrm flipV="1">
          <a:off x="14973300" y="9074150"/>
          <a:ext cx="203200" cy="25400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121</xdr:col>
      <xdr:colOff>0</xdr:colOff>
      <xdr:row>104</xdr:row>
      <xdr:rowOff>31750</xdr:rowOff>
    </xdr:from>
    <xdr:to>
      <xdr:col>151</xdr:col>
      <xdr:colOff>114300</xdr:colOff>
      <xdr:row>126</xdr:row>
      <xdr:rowOff>69850</xdr:rowOff>
    </xdr:to>
    <xdr:sp macro="" textlink="">
      <xdr:nvSpPr>
        <xdr:cNvPr id="888138" name="Rectangle 439" descr="Newsprint">
          <a:extLst>
            <a:ext uri="{FF2B5EF4-FFF2-40B4-BE49-F238E27FC236}">
              <a16:creationId xmlns="" xmlns:a16="http://schemas.microsoft.com/office/drawing/2014/main" id="{00000000-0008-0000-2600-00004A8D0D00}"/>
            </a:ext>
          </a:extLst>
        </xdr:cNvPr>
        <xdr:cNvSpPr>
          <a:spLocks noChangeArrowheads="1"/>
        </xdr:cNvSpPr>
      </xdr:nvSpPr>
      <xdr:spPr bwMode="auto">
        <a:xfrm>
          <a:off x="12871450" y="10750550"/>
          <a:ext cx="4191000" cy="2273300"/>
        </a:xfrm>
        <a:prstGeom prst="rect">
          <a:avLst/>
        </a:prstGeom>
        <a:blipFill dpi="0" rotWithShape="0">
          <a:blip xmlns:r="http://schemas.openxmlformats.org/officeDocument/2006/relationships" r:embed="rId4"/>
          <a:srcRect/>
          <a:tile tx="0" ty="0" sx="100000" sy="100000" flip="none" algn="tl"/>
        </a:blipFill>
        <a:ln w="9525">
          <a:solidFill>
            <a:srgbClr val="000000"/>
          </a:solidFill>
          <a:miter lim="800000"/>
          <a:headEnd/>
          <a:tailEnd/>
        </a:ln>
      </xdr:spPr>
    </xdr:sp>
    <xdr:clientData/>
  </xdr:twoCellAnchor>
  <xdr:twoCellAnchor>
    <xdr:from>
      <xdr:col>118</xdr:col>
      <xdr:colOff>19050</xdr:colOff>
      <xdr:row>104</xdr:row>
      <xdr:rowOff>31750</xdr:rowOff>
    </xdr:from>
    <xdr:to>
      <xdr:col>152</xdr:col>
      <xdr:colOff>63500</xdr:colOff>
      <xdr:row>105</xdr:row>
      <xdr:rowOff>57150</xdr:rowOff>
    </xdr:to>
    <xdr:sp macro="" textlink="">
      <xdr:nvSpPr>
        <xdr:cNvPr id="888139" name="Rectangle 441">
          <a:extLst>
            <a:ext uri="{FF2B5EF4-FFF2-40B4-BE49-F238E27FC236}">
              <a16:creationId xmlns="" xmlns:a16="http://schemas.microsoft.com/office/drawing/2014/main" id="{00000000-0008-0000-2600-00004B8D0D00}"/>
            </a:ext>
          </a:extLst>
        </xdr:cNvPr>
        <xdr:cNvSpPr>
          <a:spLocks noChangeArrowheads="1"/>
        </xdr:cNvSpPr>
      </xdr:nvSpPr>
      <xdr:spPr bwMode="auto">
        <a:xfrm rot="5400000">
          <a:off x="14776450" y="8502650"/>
          <a:ext cx="127000" cy="4622800"/>
        </a:xfrm>
        <a:prstGeom prst="rect">
          <a:avLst/>
        </a:prstGeom>
        <a:solidFill>
          <a:srgbClr val="00B0F0">
            <a:alpha val="58038"/>
          </a:srgbClr>
        </a:solidFill>
        <a:ln w="9525">
          <a:solidFill>
            <a:srgbClr val="000000"/>
          </a:solidFill>
          <a:miter lim="800000"/>
          <a:headEnd/>
          <a:tailEnd/>
        </a:ln>
      </xdr:spPr>
    </xdr:sp>
    <xdr:clientData/>
  </xdr:twoCellAnchor>
  <xdr:twoCellAnchor>
    <xdr:from>
      <xdr:col>117</xdr:col>
      <xdr:colOff>82550</xdr:colOff>
      <xdr:row>94</xdr:row>
      <xdr:rowOff>6350</xdr:rowOff>
    </xdr:from>
    <xdr:to>
      <xdr:col>145</xdr:col>
      <xdr:colOff>95250</xdr:colOff>
      <xdr:row>104</xdr:row>
      <xdr:rowOff>31750</xdr:rowOff>
    </xdr:to>
    <xdr:sp macro="" textlink="">
      <xdr:nvSpPr>
        <xdr:cNvPr id="888140" name="Rectangle 26" descr="Light vertical">
          <a:extLst>
            <a:ext uri="{FF2B5EF4-FFF2-40B4-BE49-F238E27FC236}">
              <a16:creationId xmlns="" xmlns:a16="http://schemas.microsoft.com/office/drawing/2014/main" id="{00000000-0008-0000-2600-00004C8D0D00}"/>
            </a:ext>
          </a:extLst>
        </xdr:cNvPr>
        <xdr:cNvSpPr>
          <a:spLocks noChangeArrowheads="1"/>
        </xdr:cNvSpPr>
      </xdr:nvSpPr>
      <xdr:spPr bwMode="auto">
        <a:xfrm>
          <a:off x="12471400" y="9709150"/>
          <a:ext cx="3778250" cy="10414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45</xdr:col>
      <xdr:colOff>63500</xdr:colOff>
      <xdr:row>11</xdr:row>
      <xdr:rowOff>19050</xdr:rowOff>
    </xdr:from>
    <xdr:to>
      <xdr:col>47</xdr:col>
      <xdr:colOff>19050</xdr:colOff>
      <xdr:row>35</xdr:row>
      <xdr:rowOff>44450</xdr:rowOff>
    </xdr:to>
    <xdr:sp macro="" textlink="">
      <xdr:nvSpPr>
        <xdr:cNvPr id="888141" name="Rectangle 452">
          <a:extLst>
            <a:ext uri="{FF2B5EF4-FFF2-40B4-BE49-F238E27FC236}">
              <a16:creationId xmlns="" xmlns:a16="http://schemas.microsoft.com/office/drawing/2014/main" id="{00000000-0008-0000-2600-00004D8D0D00}"/>
            </a:ext>
          </a:extLst>
        </xdr:cNvPr>
        <xdr:cNvSpPr>
          <a:spLocks noChangeArrowheads="1"/>
        </xdr:cNvSpPr>
      </xdr:nvSpPr>
      <xdr:spPr bwMode="auto">
        <a:xfrm>
          <a:off x="5213350" y="1289050"/>
          <a:ext cx="184150" cy="2463800"/>
        </a:xfrm>
        <a:prstGeom prst="rect">
          <a:avLst/>
        </a:prstGeom>
        <a:solidFill>
          <a:srgbClr val="FFFFFF"/>
        </a:solidFill>
        <a:ln w="9525">
          <a:solidFill>
            <a:srgbClr val="000000"/>
          </a:solidFill>
          <a:miter lim="800000"/>
          <a:headEnd/>
          <a:tailEnd/>
        </a:ln>
      </xdr:spPr>
    </xdr:sp>
    <xdr:clientData/>
  </xdr:twoCellAnchor>
  <xdr:twoCellAnchor>
    <xdr:from>
      <xdr:col>27</xdr:col>
      <xdr:colOff>19050</xdr:colOff>
      <xdr:row>11</xdr:row>
      <xdr:rowOff>19050</xdr:rowOff>
    </xdr:from>
    <xdr:to>
      <xdr:col>45</xdr:col>
      <xdr:colOff>88900</xdr:colOff>
      <xdr:row>13</xdr:row>
      <xdr:rowOff>31750</xdr:rowOff>
    </xdr:to>
    <xdr:sp macro="" textlink="">
      <xdr:nvSpPr>
        <xdr:cNvPr id="888142" name="Rectangle 448">
          <a:extLst>
            <a:ext uri="{FF2B5EF4-FFF2-40B4-BE49-F238E27FC236}">
              <a16:creationId xmlns="" xmlns:a16="http://schemas.microsoft.com/office/drawing/2014/main" id="{00000000-0008-0000-2600-00004E8D0D00}"/>
            </a:ext>
          </a:extLst>
        </xdr:cNvPr>
        <xdr:cNvSpPr>
          <a:spLocks noChangeArrowheads="1"/>
        </xdr:cNvSpPr>
      </xdr:nvSpPr>
      <xdr:spPr bwMode="auto">
        <a:xfrm>
          <a:off x="3111500" y="1289050"/>
          <a:ext cx="2127250" cy="215900"/>
        </a:xfrm>
        <a:prstGeom prst="rect">
          <a:avLst/>
        </a:prstGeom>
        <a:solidFill>
          <a:srgbClr val="FFFFFF"/>
        </a:solidFill>
        <a:ln w="9525">
          <a:solidFill>
            <a:srgbClr val="000000"/>
          </a:solidFill>
          <a:miter lim="800000"/>
          <a:headEnd/>
          <a:tailEnd/>
        </a:ln>
      </xdr:spPr>
    </xdr:sp>
    <xdr:clientData/>
  </xdr:twoCellAnchor>
  <xdr:twoCellAnchor>
    <xdr:from>
      <xdr:col>69</xdr:col>
      <xdr:colOff>57785</xdr:colOff>
      <xdr:row>3</xdr:row>
      <xdr:rowOff>0</xdr:rowOff>
    </xdr:from>
    <xdr:to>
      <xdr:col>80</xdr:col>
      <xdr:colOff>61668</xdr:colOff>
      <xdr:row>3</xdr:row>
      <xdr:rowOff>0</xdr:rowOff>
    </xdr:to>
    <xdr:sp macro="" textlink="">
      <xdr:nvSpPr>
        <xdr:cNvPr id="16" name="Text Box 143">
          <a:extLst>
            <a:ext uri="{FF2B5EF4-FFF2-40B4-BE49-F238E27FC236}">
              <a16:creationId xmlns="" xmlns:a16="http://schemas.microsoft.com/office/drawing/2014/main" id="{00000000-0008-0000-2600-000010000000}"/>
            </a:ext>
          </a:extLst>
        </xdr:cNvPr>
        <xdr:cNvSpPr txBox="1">
          <a:spLocks noChangeArrowheads="1"/>
        </xdr:cNvSpPr>
      </xdr:nvSpPr>
      <xdr:spPr bwMode="auto">
        <a:xfrm>
          <a:off x="7981950" y="571500"/>
          <a:ext cx="1219200" cy="0"/>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fr-FR" sz="800" b="1" i="0" strike="noStrike">
              <a:solidFill>
                <a:srgbClr val="000000"/>
              </a:solidFill>
              <a:latin typeface="Arial"/>
              <a:cs typeface="Arial"/>
            </a:rPr>
            <a:t>Plastic Sheeting/paille</a:t>
          </a:r>
        </a:p>
      </xdr:txBody>
    </xdr:sp>
    <xdr:clientData/>
  </xdr:twoCellAnchor>
  <xdr:twoCellAnchor>
    <xdr:from>
      <xdr:col>73</xdr:col>
      <xdr:colOff>60960</xdr:colOff>
      <xdr:row>3</xdr:row>
      <xdr:rowOff>0</xdr:rowOff>
    </xdr:from>
    <xdr:to>
      <xdr:col>84</xdr:col>
      <xdr:colOff>650</xdr:colOff>
      <xdr:row>3</xdr:row>
      <xdr:rowOff>0</xdr:rowOff>
    </xdr:to>
    <xdr:sp macro="" textlink="">
      <xdr:nvSpPr>
        <xdr:cNvPr id="17" name="Text Box 167">
          <a:extLst>
            <a:ext uri="{FF2B5EF4-FFF2-40B4-BE49-F238E27FC236}">
              <a16:creationId xmlns="" xmlns:a16="http://schemas.microsoft.com/office/drawing/2014/main" id="{00000000-0008-0000-2600-000011000000}"/>
            </a:ext>
          </a:extLst>
        </xdr:cNvPr>
        <xdr:cNvSpPr txBox="1">
          <a:spLocks noChangeArrowheads="1"/>
        </xdr:cNvSpPr>
      </xdr:nvSpPr>
      <xdr:spPr bwMode="auto">
        <a:xfrm>
          <a:off x="8429625" y="571500"/>
          <a:ext cx="1219200" cy="0"/>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fr-FR" sz="800" b="1" i="0" strike="noStrike">
              <a:solidFill>
                <a:srgbClr val="000000"/>
              </a:solidFill>
              <a:latin typeface="Arial"/>
              <a:cs typeface="Arial"/>
            </a:rPr>
            <a:t>Plastic Sheeting/paille</a:t>
          </a:r>
        </a:p>
      </xdr:txBody>
    </xdr:sp>
    <xdr:clientData/>
  </xdr:twoCellAnchor>
  <xdr:twoCellAnchor>
    <xdr:from>
      <xdr:col>34</xdr:col>
      <xdr:colOff>57785</xdr:colOff>
      <xdr:row>56</xdr:row>
      <xdr:rowOff>64135</xdr:rowOff>
    </xdr:from>
    <xdr:to>
      <xdr:col>39</xdr:col>
      <xdr:colOff>3857</xdr:colOff>
      <xdr:row>58</xdr:row>
      <xdr:rowOff>64135</xdr:rowOff>
    </xdr:to>
    <xdr:sp macro="" textlink="">
      <xdr:nvSpPr>
        <xdr:cNvPr id="18" name="Text Box 171">
          <a:extLst>
            <a:ext uri="{FF2B5EF4-FFF2-40B4-BE49-F238E27FC236}">
              <a16:creationId xmlns="" xmlns:a16="http://schemas.microsoft.com/office/drawing/2014/main" id="{00000000-0008-0000-2600-000012000000}"/>
            </a:ext>
          </a:extLst>
        </xdr:cNvPr>
        <xdr:cNvSpPr txBox="1">
          <a:spLocks noChangeArrowheads="1"/>
        </xdr:cNvSpPr>
      </xdr:nvSpPr>
      <xdr:spPr bwMode="auto">
        <a:xfrm>
          <a:off x="4000500" y="6191250"/>
          <a:ext cx="523875" cy="219075"/>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2.00 m</a:t>
          </a:r>
        </a:p>
      </xdr:txBody>
    </xdr:sp>
    <xdr:clientData/>
  </xdr:twoCellAnchor>
  <xdr:twoCellAnchor>
    <xdr:from>
      <xdr:col>109</xdr:col>
      <xdr:colOff>95250</xdr:colOff>
      <xdr:row>3</xdr:row>
      <xdr:rowOff>0</xdr:rowOff>
    </xdr:from>
    <xdr:to>
      <xdr:col>109</xdr:col>
      <xdr:colOff>95250</xdr:colOff>
      <xdr:row>3</xdr:row>
      <xdr:rowOff>0</xdr:rowOff>
    </xdr:to>
    <xdr:sp macro="" textlink="">
      <xdr:nvSpPr>
        <xdr:cNvPr id="888146" name="Line 238">
          <a:extLst>
            <a:ext uri="{FF2B5EF4-FFF2-40B4-BE49-F238E27FC236}">
              <a16:creationId xmlns="" xmlns:a16="http://schemas.microsoft.com/office/drawing/2014/main" id="{00000000-0008-0000-2600-0000528D0D00}"/>
            </a:ext>
          </a:extLst>
        </xdr:cNvPr>
        <xdr:cNvSpPr>
          <a:spLocks noChangeShapeType="1"/>
        </xdr:cNvSpPr>
      </xdr:nvSpPr>
      <xdr:spPr bwMode="auto">
        <a:xfrm>
          <a:off x="11664950" y="457200"/>
          <a:ext cx="0"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109</xdr:col>
      <xdr:colOff>184150</xdr:colOff>
      <xdr:row>3</xdr:row>
      <xdr:rowOff>0</xdr:rowOff>
    </xdr:from>
    <xdr:to>
      <xdr:col>109</xdr:col>
      <xdr:colOff>184150</xdr:colOff>
      <xdr:row>3</xdr:row>
      <xdr:rowOff>69850</xdr:rowOff>
    </xdr:to>
    <xdr:sp macro="" textlink="">
      <xdr:nvSpPr>
        <xdr:cNvPr id="888147" name="Line 239">
          <a:extLst>
            <a:ext uri="{FF2B5EF4-FFF2-40B4-BE49-F238E27FC236}">
              <a16:creationId xmlns="" xmlns:a16="http://schemas.microsoft.com/office/drawing/2014/main" id="{00000000-0008-0000-2600-0000538D0D00}"/>
            </a:ext>
          </a:extLst>
        </xdr:cNvPr>
        <xdr:cNvSpPr>
          <a:spLocks noChangeShapeType="1"/>
        </xdr:cNvSpPr>
      </xdr:nvSpPr>
      <xdr:spPr bwMode="auto">
        <a:xfrm>
          <a:off x="11664950" y="457200"/>
          <a:ext cx="0" cy="6985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6350</xdr:colOff>
      <xdr:row>62</xdr:row>
      <xdr:rowOff>6350</xdr:rowOff>
    </xdr:from>
    <xdr:to>
      <xdr:col>51</xdr:col>
      <xdr:colOff>76200</xdr:colOff>
      <xdr:row>80</xdr:row>
      <xdr:rowOff>57150</xdr:rowOff>
    </xdr:to>
    <xdr:sp macro="" textlink="">
      <xdr:nvSpPr>
        <xdr:cNvPr id="888148" name="Rectangle 259" descr="Cork">
          <a:extLst>
            <a:ext uri="{FF2B5EF4-FFF2-40B4-BE49-F238E27FC236}">
              <a16:creationId xmlns="" xmlns:a16="http://schemas.microsoft.com/office/drawing/2014/main" id="{00000000-0008-0000-2600-0000548D0D00}"/>
            </a:ext>
          </a:extLst>
        </xdr:cNvPr>
        <xdr:cNvSpPr>
          <a:spLocks noChangeArrowheads="1"/>
        </xdr:cNvSpPr>
      </xdr:nvSpPr>
      <xdr:spPr bwMode="auto">
        <a:xfrm>
          <a:off x="2984500" y="6457950"/>
          <a:ext cx="2927350" cy="1879600"/>
        </a:xfrm>
        <a:prstGeom prst="rect">
          <a:avLst/>
        </a:prstGeom>
        <a:blipFill dpi="0" rotWithShape="0">
          <a:blip xmlns:r="http://schemas.openxmlformats.org/officeDocument/2006/relationships" r:embed="rId5"/>
          <a:srcRect/>
          <a:tile tx="0" ty="0" sx="100000" sy="100000" flip="none" algn="tl"/>
        </a:blipFill>
        <a:ln w="9525">
          <a:solidFill>
            <a:srgbClr val="000000"/>
          </a:solidFill>
          <a:miter lim="800000"/>
          <a:headEnd/>
          <a:tailEnd/>
        </a:ln>
      </xdr:spPr>
    </xdr:sp>
    <xdr:clientData/>
  </xdr:twoCellAnchor>
  <xdr:twoCellAnchor>
    <xdr:from>
      <xdr:col>22</xdr:col>
      <xdr:colOff>76200</xdr:colOff>
      <xdr:row>60</xdr:row>
      <xdr:rowOff>0</xdr:rowOff>
    </xdr:from>
    <xdr:to>
      <xdr:col>22</xdr:col>
      <xdr:colOff>76200</xdr:colOff>
      <xdr:row>83</xdr:row>
      <xdr:rowOff>31750</xdr:rowOff>
    </xdr:to>
    <xdr:sp macro="" textlink="">
      <xdr:nvSpPr>
        <xdr:cNvPr id="888149" name="Line 260">
          <a:extLst>
            <a:ext uri="{FF2B5EF4-FFF2-40B4-BE49-F238E27FC236}">
              <a16:creationId xmlns="" xmlns:a16="http://schemas.microsoft.com/office/drawing/2014/main" id="{00000000-0008-0000-2600-0000558D0D00}"/>
            </a:ext>
          </a:extLst>
        </xdr:cNvPr>
        <xdr:cNvSpPr>
          <a:spLocks noChangeShapeType="1"/>
        </xdr:cNvSpPr>
      </xdr:nvSpPr>
      <xdr:spPr bwMode="auto">
        <a:xfrm flipH="1">
          <a:off x="2597150" y="6248400"/>
          <a:ext cx="0" cy="23685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74295</xdr:colOff>
      <xdr:row>70</xdr:row>
      <xdr:rowOff>635</xdr:rowOff>
    </xdr:from>
    <xdr:to>
      <xdr:col>22</xdr:col>
      <xdr:colOff>56835</xdr:colOff>
      <xdr:row>72</xdr:row>
      <xdr:rowOff>67228</xdr:rowOff>
    </xdr:to>
    <xdr:sp macro="" textlink="">
      <xdr:nvSpPr>
        <xdr:cNvPr id="23" name="Text Box 261">
          <a:extLst>
            <a:ext uri="{FF2B5EF4-FFF2-40B4-BE49-F238E27FC236}">
              <a16:creationId xmlns="" xmlns:a16="http://schemas.microsoft.com/office/drawing/2014/main" id="{00000000-0008-0000-2600-000017000000}"/>
            </a:ext>
          </a:extLst>
        </xdr:cNvPr>
        <xdr:cNvSpPr txBox="1">
          <a:spLocks noChangeArrowheads="1"/>
        </xdr:cNvSpPr>
      </xdr:nvSpPr>
      <xdr:spPr bwMode="auto">
        <a:xfrm>
          <a:off x="2181225" y="7600950"/>
          <a:ext cx="438150" cy="2381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2.85m</a:t>
          </a:r>
        </a:p>
      </xdr:txBody>
    </xdr:sp>
    <xdr:clientData/>
  </xdr:twoCellAnchor>
  <xdr:twoCellAnchor>
    <xdr:from>
      <xdr:col>37</xdr:col>
      <xdr:colOff>76200</xdr:colOff>
      <xdr:row>61</xdr:row>
      <xdr:rowOff>57150</xdr:rowOff>
    </xdr:from>
    <xdr:to>
      <xdr:col>39</xdr:col>
      <xdr:colOff>57150</xdr:colOff>
      <xdr:row>81</xdr:row>
      <xdr:rowOff>19050</xdr:rowOff>
    </xdr:to>
    <xdr:sp macro="" textlink="">
      <xdr:nvSpPr>
        <xdr:cNvPr id="888151" name="Rectangle 263" descr="Horizontal brick">
          <a:extLst>
            <a:ext uri="{FF2B5EF4-FFF2-40B4-BE49-F238E27FC236}">
              <a16:creationId xmlns="" xmlns:a16="http://schemas.microsoft.com/office/drawing/2014/main" id="{00000000-0008-0000-2600-0000578D0D00}"/>
            </a:ext>
          </a:extLst>
        </xdr:cNvPr>
        <xdr:cNvSpPr>
          <a:spLocks noChangeArrowheads="1"/>
        </xdr:cNvSpPr>
      </xdr:nvSpPr>
      <xdr:spPr bwMode="auto">
        <a:xfrm>
          <a:off x="4311650" y="6407150"/>
          <a:ext cx="209550" cy="19939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26</xdr:col>
      <xdr:colOff>6350</xdr:colOff>
      <xdr:row>62</xdr:row>
      <xdr:rowOff>0</xdr:rowOff>
    </xdr:from>
    <xdr:to>
      <xdr:col>27</xdr:col>
      <xdr:colOff>88900</xdr:colOff>
      <xdr:row>81</xdr:row>
      <xdr:rowOff>6350</xdr:rowOff>
    </xdr:to>
    <xdr:sp macro="" textlink="">
      <xdr:nvSpPr>
        <xdr:cNvPr id="888152" name="Rectangle 264" descr="Horizontal brick">
          <a:extLst>
            <a:ext uri="{FF2B5EF4-FFF2-40B4-BE49-F238E27FC236}">
              <a16:creationId xmlns="" xmlns:a16="http://schemas.microsoft.com/office/drawing/2014/main" id="{00000000-0008-0000-2600-0000588D0D00}"/>
            </a:ext>
          </a:extLst>
        </xdr:cNvPr>
        <xdr:cNvSpPr>
          <a:spLocks noChangeArrowheads="1"/>
        </xdr:cNvSpPr>
      </xdr:nvSpPr>
      <xdr:spPr bwMode="auto">
        <a:xfrm>
          <a:off x="2984500" y="6451600"/>
          <a:ext cx="196850" cy="19367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50</xdr:col>
      <xdr:colOff>0</xdr:colOff>
      <xdr:row>62</xdr:row>
      <xdr:rowOff>0</xdr:rowOff>
    </xdr:from>
    <xdr:to>
      <xdr:col>51</xdr:col>
      <xdr:colOff>76200</xdr:colOff>
      <xdr:row>81</xdr:row>
      <xdr:rowOff>6350</xdr:rowOff>
    </xdr:to>
    <xdr:sp macro="" textlink="">
      <xdr:nvSpPr>
        <xdr:cNvPr id="888153" name="Rectangle 265" descr="Horizontal brick">
          <a:extLst>
            <a:ext uri="{FF2B5EF4-FFF2-40B4-BE49-F238E27FC236}">
              <a16:creationId xmlns="" xmlns:a16="http://schemas.microsoft.com/office/drawing/2014/main" id="{00000000-0008-0000-2600-0000598D0D00}"/>
            </a:ext>
          </a:extLst>
        </xdr:cNvPr>
        <xdr:cNvSpPr>
          <a:spLocks noChangeArrowheads="1"/>
        </xdr:cNvSpPr>
      </xdr:nvSpPr>
      <xdr:spPr bwMode="auto">
        <a:xfrm>
          <a:off x="5721350" y="6451600"/>
          <a:ext cx="190500" cy="19367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25</xdr:col>
      <xdr:colOff>88900</xdr:colOff>
      <xdr:row>60</xdr:row>
      <xdr:rowOff>19050</xdr:rowOff>
    </xdr:from>
    <xdr:to>
      <xdr:col>51</xdr:col>
      <xdr:colOff>76200</xdr:colOff>
      <xdr:row>62</xdr:row>
      <xdr:rowOff>19050</xdr:rowOff>
    </xdr:to>
    <xdr:sp macro="" textlink="">
      <xdr:nvSpPr>
        <xdr:cNvPr id="888154" name="Rectangle 266" descr="Horizontal brick">
          <a:extLst>
            <a:ext uri="{FF2B5EF4-FFF2-40B4-BE49-F238E27FC236}">
              <a16:creationId xmlns="" xmlns:a16="http://schemas.microsoft.com/office/drawing/2014/main" id="{00000000-0008-0000-2600-00005A8D0D00}"/>
            </a:ext>
          </a:extLst>
        </xdr:cNvPr>
        <xdr:cNvSpPr>
          <a:spLocks noChangeArrowheads="1"/>
        </xdr:cNvSpPr>
      </xdr:nvSpPr>
      <xdr:spPr bwMode="auto">
        <a:xfrm rot="-5400000">
          <a:off x="4330700" y="4889500"/>
          <a:ext cx="203200" cy="29591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26</xdr:col>
      <xdr:colOff>6350</xdr:colOff>
      <xdr:row>80</xdr:row>
      <xdr:rowOff>57150</xdr:rowOff>
    </xdr:from>
    <xdr:to>
      <xdr:col>51</xdr:col>
      <xdr:colOff>76200</xdr:colOff>
      <xdr:row>83</xdr:row>
      <xdr:rowOff>6350</xdr:rowOff>
    </xdr:to>
    <xdr:sp macro="" textlink="">
      <xdr:nvSpPr>
        <xdr:cNvPr id="888155" name="Rectangle 267" descr="Horizontal brick">
          <a:extLst>
            <a:ext uri="{FF2B5EF4-FFF2-40B4-BE49-F238E27FC236}">
              <a16:creationId xmlns="" xmlns:a16="http://schemas.microsoft.com/office/drawing/2014/main" id="{00000000-0008-0000-2600-00005B8D0D00}"/>
            </a:ext>
          </a:extLst>
        </xdr:cNvPr>
        <xdr:cNvSpPr>
          <a:spLocks noChangeArrowheads="1"/>
        </xdr:cNvSpPr>
      </xdr:nvSpPr>
      <xdr:spPr bwMode="auto">
        <a:xfrm rot="-5400000">
          <a:off x="4321175" y="7000875"/>
          <a:ext cx="254000" cy="29273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27</xdr:col>
      <xdr:colOff>57150</xdr:colOff>
      <xdr:row>76</xdr:row>
      <xdr:rowOff>31750</xdr:rowOff>
    </xdr:from>
    <xdr:to>
      <xdr:col>38</xdr:col>
      <xdr:colOff>0</xdr:colOff>
      <xdr:row>76</xdr:row>
      <xdr:rowOff>69850</xdr:rowOff>
    </xdr:to>
    <xdr:sp macro="" textlink="">
      <xdr:nvSpPr>
        <xdr:cNvPr id="888156" name="Line 268">
          <a:extLst>
            <a:ext uri="{FF2B5EF4-FFF2-40B4-BE49-F238E27FC236}">
              <a16:creationId xmlns="" xmlns:a16="http://schemas.microsoft.com/office/drawing/2014/main" id="{00000000-0008-0000-2600-00005C8D0D00}"/>
            </a:ext>
          </a:extLst>
        </xdr:cNvPr>
        <xdr:cNvSpPr>
          <a:spLocks noChangeShapeType="1"/>
        </xdr:cNvSpPr>
      </xdr:nvSpPr>
      <xdr:spPr bwMode="auto">
        <a:xfrm>
          <a:off x="3149600" y="7905750"/>
          <a:ext cx="1200150" cy="381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31</xdr:col>
      <xdr:colOff>94615</xdr:colOff>
      <xdr:row>75</xdr:row>
      <xdr:rowOff>0</xdr:rowOff>
    </xdr:from>
    <xdr:to>
      <xdr:col>34</xdr:col>
      <xdr:colOff>94615</xdr:colOff>
      <xdr:row>76</xdr:row>
      <xdr:rowOff>64219</xdr:rowOff>
    </xdr:to>
    <xdr:sp macro="" textlink="">
      <xdr:nvSpPr>
        <xdr:cNvPr id="30" name="Text Box 269">
          <a:extLst>
            <a:ext uri="{FF2B5EF4-FFF2-40B4-BE49-F238E27FC236}">
              <a16:creationId xmlns="" xmlns:a16="http://schemas.microsoft.com/office/drawing/2014/main" id="{00000000-0008-0000-2600-00001E000000}"/>
            </a:ext>
          </a:extLst>
        </xdr:cNvPr>
        <xdr:cNvSpPr txBox="1">
          <a:spLocks noChangeArrowheads="1"/>
        </xdr:cNvSpPr>
      </xdr:nvSpPr>
      <xdr:spPr bwMode="auto">
        <a:xfrm>
          <a:off x="3686175" y="8115300"/>
          <a:ext cx="342900" cy="1714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0.7m</a:t>
          </a:r>
        </a:p>
      </xdr:txBody>
    </xdr:sp>
    <xdr:clientData/>
  </xdr:twoCellAnchor>
  <xdr:twoCellAnchor>
    <xdr:from>
      <xdr:col>39</xdr:col>
      <xdr:colOff>57150</xdr:colOff>
      <xdr:row>76</xdr:row>
      <xdr:rowOff>57150</xdr:rowOff>
    </xdr:from>
    <xdr:to>
      <xdr:col>49</xdr:col>
      <xdr:colOff>88900</xdr:colOff>
      <xdr:row>77</xdr:row>
      <xdr:rowOff>19050</xdr:rowOff>
    </xdr:to>
    <xdr:sp macro="" textlink="">
      <xdr:nvSpPr>
        <xdr:cNvPr id="888158" name="Line 270">
          <a:extLst>
            <a:ext uri="{FF2B5EF4-FFF2-40B4-BE49-F238E27FC236}">
              <a16:creationId xmlns="" xmlns:a16="http://schemas.microsoft.com/office/drawing/2014/main" id="{00000000-0008-0000-2600-00005E8D0D00}"/>
            </a:ext>
          </a:extLst>
        </xdr:cNvPr>
        <xdr:cNvSpPr>
          <a:spLocks noChangeShapeType="1"/>
        </xdr:cNvSpPr>
      </xdr:nvSpPr>
      <xdr:spPr bwMode="auto">
        <a:xfrm>
          <a:off x="4521200" y="7931150"/>
          <a:ext cx="1174750" cy="635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40</xdr:col>
      <xdr:colOff>635</xdr:colOff>
      <xdr:row>67</xdr:row>
      <xdr:rowOff>27940</xdr:rowOff>
    </xdr:from>
    <xdr:to>
      <xdr:col>44</xdr:col>
      <xdr:colOff>635</xdr:colOff>
      <xdr:row>70</xdr:row>
      <xdr:rowOff>41217</xdr:rowOff>
    </xdr:to>
    <xdr:sp macro="" textlink="">
      <xdr:nvSpPr>
        <xdr:cNvPr id="32" name="Text Box 272">
          <a:extLst>
            <a:ext uri="{FF2B5EF4-FFF2-40B4-BE49-F238E27FC236}">
              <a16:creationId xmlns="" xmlns:a16="http://schemas.microsoft.com/office/drawing/2014/main" id="{00000000-0008-0000-2600-000020000000}"/>
            </a:ext>
          </a:extLst>
        </xdr:cNvPr>
        <xdr:cNvSpPr txBox="1">
          <a:spLocks noChangeArrowheads="1"/>
        </xdr:cNvSpPr>
      </xdr:nvSpPr>
      <xdr:spPr bwMode="auto">
        <a:xfrm>
          <a:off x="4619625" y="7343775"/>
          <a:ext cx="457200" cy="2667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2.45m</a:t>
          </a:r>
        </a:p>
      </xdr:txBody>
    </xdr:sp>
    <xdr:clientData/>
  </xdr:twoCellAnchor>
  <xdr:twoCellAnchor>
    <xdr:from>
      <xdr:col>44</xdr:col>
      <xdr:colOff>60960</xdr:colOff>
      <xdr:row>74</xdr:row>
      <xdr:rowOff>64135</xdr:rowOff>
    </xdr:from>
    <xdr:to>
      <xdr:col>47</xdr:col>
      <xdr:colOff>114275</xdr:colOff>
      <xdr:row>76</xdr:row>
      <xdr:rowOff>64378</xdr:rowOff>
    </xdr:to>
    <xdr:sp macro="" textlink="">
      <xdr:nvSpPr>
        <xdr:cNvPr id="33" name="Text Box 273">
          <a:extLst>
            <a:ext uri="{FF2B5EF4-FFF2-40B4-BE49-F238E27FC236}">
              <a16:creationId xmlns="" xmlns:a16="http://schemas.microsoft.com/office/drawing/2014/main" id="{00000000-0008-0000-2600-000021000000}"/>
            </a:ext>
          </a:extLst>
        </xdr:cNvPr>
        <xdr:cNvSpPr txBox="1">
          <a:spLocks noChangeArrowheads="1"/>
        </xdr:cNvSpPr>
      </xdr:nvSpPr>
      <xdr:spPr bwMode="auto">
        <a:xfrm>
          <a:off x="5105400" y="8067675"/>
          <a:ext cx="419100" cy="2190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0.70m</a:t>
          </a:r>
        </a:p>
      </xdr:txBody>
    </xdr:sp>
    <xdr:clientData/>
  </xdr:twoCellAnchor>
  <xdr:twoCellAnchor>
    <xdr:from>
      <xdr:col>43</xdr:col>
      <xdr:colOff>50800</xdr:colOff>
      <xdr:row>62</xdr:row>
      <xdr:rowOff>0</xdr:rowOff>
    </xdr:from>
    <xdr:to>
      <xdr:col>43</xdr:col>
      <xdr:colOff>50800</xdr:colOff>
      <xdr:row>80</xdr:row>
      <xdr:rowOff>57150</xdr:rowOff>
    </xdr:to>
    <xdr:sp macro="" textlink="">
      <xdr:nvSpPr>
        <xdr:cNvPr id="888161" name="Line 274">
          <a:extLst>
            <a:ext uri="{FF2B5EF4-FFF2-40B4-BE49-F238E27FC236}">
              <a16:creationId xmlns="" xmlns:a16="http://schemas.microsoft.com/office/drawing/2014/main" id="{00000000-0008-0000-2600-0000618D0D00}"/>
            </a:ext>
          </a:extLst>
        </xdr:cNvPr>
        <xdr:cNvSpPr>
          <a:spLocks noChangeShapeType="1"/>
        </xdr:cNvSpPr>
      </xdr:nvSpPr>
      <xdr:spPr bwMode="auto">
        <a:xfrm flipH="1">
          <a:off x="4972050" y="6451600"/>
          <a:ext cx="0" cy="18859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31750</xdr:colOff>
      <xdr:row>60</xdr:row>
      <xdr:rowOff>76200</xdr:rowOff>
    </xdr:from>
    <xdr:to>
      <xdr:col>25</xdr:col>
      <xdr:colOff>88900</xdr:colOff>
      <xdr:row>66</xdr:row>
      <xdr:rowOff>19050</xdr:rowOff>
    </xdr:to>
    <xdr:sp macro="" textlink="">
      <xdr:nvSpPr>
        <xdr:cNvPr id="888162" name="Line 275">
          <a:extLst>
            <a:ext uri="{FF2B5EF4-FFF2-40B4-BE49-F238E27FC236}">
              <a16:creationId xmlns="" xmlns:a16="http://schemas.microsoft.com/office/drawing/2014/main" id="{00000000-0008-0000-2600-0000628D0D00}"/>
            </a:ext>
          </a:extLst>
        </xdr:cNvPr>
        <xdr:cNvSpPr>
          <a:spLocks noChangeShapeType="1"/>
        </xdr:cNvSpPr>
      </xdr:nvSpPr>
      <xdr:spPr bwMode="auto">
        <a:xfrm flipH="1" flipV="1">
          <a:off x="1981200" y="6324600"/>
          <a:ext cx="971550" cy="552450"/>
        </a:xfrm>
        <a:prstGeom prst="line">
          <a:avLst/>
        </a:prstGeom>
        <a:noFill/>
        <a:ln w="9525">
          <a:solidFill>
            <a:srgbClr val="00000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29</xdr:col>
      <xdr:colOff>38100</xdr:colOff>
      <xdr:row>80</xdr:row>
      <xdr:rowOff>57150</xdr:rowOff>
    </xdr:from>
    <xdr:to>
      <xdr:col>30</xdr:col>
      <xdr:colOff>38100</xdr:colOff>
      <xdr:row>82</xdr:row>
      <xdr:rowOff>69850</xdr:rowOff>
    </xdr:to>
    <xdr:sp macro="" textlink="">
      <xdr:nvSpPr>
        <xdr:cNvPr id="888163" name="Rectangle 314">
          <a:extLst>
            <a:ext uri="{FF2B5EF4-FFF2-40B4-BE49-F238E27FC236}">
              <a16:creationId xmlns="" xmlns:a16="http://schemas.microsoft.com/office/drawing/2014/main" id="{00000000-0008-0000-2600-0000638D0D00}"/>
            </a:ext>
          </a:extLst>
        </xdr:cNvPr>
        <xdr:cNvSpPr>
          <a:spLocks noChangeArrowheads="1"/>
        </xdr:cNvSpPr>
      </xdr:nvSpPr>
      <xdr:spPr bwMode="auto">
        <a:xfrm>
          <a:off x="3359150" y="8337550"/>
          <a:ext cx="114300" cy="215900"/>
        </a:xfrm>
        <a:prstGeom prst="rect">
          <a:avLst/>
        </a:prstGeom>
        <a:solidFill>
          <a:srgbClr val="969696"/>
        </a:solidFill>
        <a:ln w="9525">
          <a:solidFill>
            <a:srgbClr val="000000"/>
          </a:solidFill>
          <a:miter lim="800000"/>
          <a:headEnd/>
          <a:tailEnd/>
        </a:ln>
      </xdr:spPr>
    </xdr:sp>
    <xdr:clientData/>
  </xdr:twoCellAnchor>
  <xdr:twoCellAnchor>
    <xdr:from>
      <xdr:col>35</xdr:col>
      <xdr:colOff>63500</xdr:colOff>
      <xdr:row>80</xdr:row>
      <xdr:rowOff>69850</xdr:rowOff>
    </xdr:from>
    <xdr:to>
      <xdr:col>36</xdr:col>
      <xdr:colOff>63500</xdr:colOff>
      <xdr:row>83</xdr:row>
      <xdr:rowOff>0</xdr:rowOff>
    </xdr:to>
    <xdr:sp macro="" textlink="">
      <xdr:nvSpPr>
        <xdr:cNvPr id="888164" name="Rectangle 315">
          <a:extLst>
            <a:ext uri="{FF2B5EF4-FFF2-40B4-BE49-F238E27FC236}">
              <a16:creationId xmlns="" xmlns:a16="http://schemas.microsoft.com/office/drawing/2014/main" id="{00000000-0008-0000-2600-0000648D0D00}"/>
            </a:ext>
          </a:extLst>
        </xdr:cNvPr>
        <xdr:cNvSpPr>
          <a:spLocks noChangeArrowheads="1"/>
        </xdr:cNvSpPr>
      </xdr:nvSpPr>
      <xdr:spPr bwMode="auto">
        <a:xfrm>
          <a:off x="4070350" y="8350250"/>
          <a:ext cx="114300" cy="234950"/>
        </a:xfrm>
        <a:prstGeom prst="rect">
          <a:avLst/>
        </a:prstGeom>
        <a:solidFill>
          <a:srgbClr val="969696"/>
        </a:solidFill>
        <a:ln w="9525">
          <a:solidFill>
            <a:srgbClr val="000000"/>
          </a:solidFill>
          <a:miter lim="800000"/>
          <a:headEnd/>
          <a:tailEnd/>
        </a:ln>
      </xdr:spPr>
    </xdr:sp>
    <xdr:clientData/>
  </xdr:twoCellAnchor>
  <xdr:twoCellAnchor>
    <xdr:from>
      <xdr:col>47</xdr:col>
      <xdr:colOff>6350</xdr:colOff>
      <xdr:row>60</xdr:row>
      <xdr:rowOff>19050</xdr:rowOff>
    </xdr:from>
    <xdr:to>
      <xdr:col>48</xdr:col>
      <xdr:colOff>6350</xdr:colOff>
      <xdr:row>62</xdr:row>
      <xdr:rowOff>19050</xdr:rowOff>
    </xdr:to>
    <xdr:sp macro="" textlink="">
      <xdr:nvSpPr>
        <xdr:cNvPr id="888165" name="Rectangle 316">
          <a:extLst>
            <a:ext uri="{FF2B5EF4-FFF2-40B4-BE49-F238E27FC236}">
              <a16:creationId xmlns="" xmlns:a16="http://schemas.microsoft.com/office/drawing/2014/main" id="{00000000-0008-0000-2600-0000658D0D00}"/>
            </a:ext>
          </a:extLst>
        </xdr:cNvPr>
        <xdr:cNvSpPr>
          <a:spLocks noChangeArrowheads="1"/>
        </xdr:cNvSpPr>
      </xdr:nvSpPr>
      <xdr:spPr bwMode="auto">
        <a:xfrm>
          <a:off x="5384800" y="6267450"/>
          <a:ext cx="114300" cy="203200"/>
        </a:xfrm>
        <a:prstGeom prst="rect">
          <a:avLst/>
        </a:prstGeom>
        <a:solidFill>
          <a:srgbClr val="969696"/>
        </a:solidFill>
        <a:ln w="9525">
          <a:solidFill>
            <a:srgbClr val="000000"/>
          </a:solidFill>
          <a:miter lim="800000"/>
          <a:headEnd/>
          <a:tailEnd/>
        </a:ln>
      </xdr:spPr>
    </xdr:sp>
    <xdr:clientData/>
  </xdr:twoCellAnchor>
  <xdr:twoCellAnchor>
    <xdr:from>
      <xdr:col>29</xdr:col>
      <xdr:colOff>6350</xdr:colOff>
      <xdr:row>60</xdr:row>
      <xdr:rowOff>6350</xdr:rowOff>
    </xdr:from>
    <xdr:to>
      <xdr:col>30</xdr:col>
      <xdr:colOff>6350</xdr:colOff>
      <xdr:row>62</xdr:row>
      <xdr:rowOff>19050</xdr:rowOff>
    </xdr:to>
    <xdr:sp macro="" textlink="">
      <xdr:nvSpPr>
        <xdr:cNvPr id="888166" name="Rectangle 317">
          <a:extLst>
            <a:ext uri="{FF2B5EF4-FFF2-40B4-BE49-F238E27FC236}">
              <a16:creationId xmlns="" xmlns:a16="http://schemas.microsoft.com/office/drawing/2014/main" id="{00000000-0008-0000-2600-0000668D0D00}"/>
            </a:ext>
          </a:extLst>
        </xdr:cNvPr>
        <xdr:cNvSpPr>
          <a:spLocks noChangeArrowheads="1"/>
        </xdr:cNvSpPr>
      </xdr:nvSpPr>
      <xdr:spPr bwMode="auto">
        <a:xfrm>
          <a:off x="3327400" y="6254750"/>
          <a:ext cx="114300" cy="215900"/>
        </a:xfrm>
        <a:prstGeom prst="rect">
          <a:avLst/>
        </a:prstGeom>
        <a:solidFill>
          <a:srgbClr val="969696"/>
        </a:solidFill>
        <a:ln w="9525">
          <a:solidFill>
            <a:srgbClr val="000000"/>
          </a:solidFill>
          <a:miter lim="800000"/>
          <a:headEnd/>
          <a:tailEnd/>
        </a:ln>
      </xdr:spPr>
    </xdr:sp>
    <xdr:clientData/>
  </xdr:twoCellAnchor>
  <xdr:twoCellAnchor>
    <xdr:from>
      <xdr:col>34</xdr:col>
      <xdr:colOff>57150</xdr:colOff>
      <xdr:row>60</xdr:row>
      <xdr:rowOff>19050</xdr:rowOff>
    </xdr:from>
    <xdr:to>
      <xdr:col>35</xdr:col>
      <xdr:colOff>57150</xdr:colOff>
      <xdr:row>62</xdr:row>
      <xdr:rowOff>19050</xdr:rowOff>
    </xdr:to>
    <xdr:sp macro="" textlink="">
      <xdr:nvSpPr>
        <xdr:cNvPr id="888167" name="Rectangle 318">
          <a:extLst>
            <a:ext uri="{FF2B5EF4-FFF2-40B4-BE49-F238E27FC236}">
              <a16:creationId xmlns="" xmlns:a16="http://schemas.microsoft.com/office/drawing/2014/main" id="{00000000-0008-0000-2600-0000678D0D00}"/>
            </a:ext>
          </a:extLst>
        </xdr:cNvPr>
        <xdr:cNvSpPr>
          <a:spLocks noChangeArrowheads="1"/>
        </xdr:cNvSpPr>
      </xdr:nvSpPr>
      <xdr:spPr bwMode="auto">
        <a:xfrm>
          <a:off x="3949700" y="6267450"/>
          <a:ext cx="114300" cy="203200"/>
        </a:xfrm>
        <a:prstGeom prst="rect">
          <a:avLst/>
        </a:prstGeom>
        <a:solidFill>
          <a:srgbClr val="969696"/>
        </a:solidFill>
        <a:ln w="9525">
          <a:solidFill>
            <a:srgbClr val="000000"/>
          </a:solidFill>
          <a:miter lim="800000"/>
          <a:headEnd/>
          <a:tailEnd/>
        </a:ln>
      </xdr:spPr>
    </xdr:sp>
    <xdr:clientData/>
  </xdr:twoCellAnchor>
  <xdr:twoCellAnchor>
    <xdr:from>
      <xdr:col>41</xdr:col>
      <xdr:colOff>57150</xdr:colOff>
      <xdr:row>60</xdr:row>
      <xdr:rowOff>19050</xdr:rowOff>
    </xdr:from>
    <xdr:to>
      <xdr:col>42</xdr:col>
      <xdr:colOff>57150</xdr:colOff>
      <xdr:row>62</xdr:row>
      <xdr:rowOff>44450</xdr:rowOff>
    </xdr:to>
    <xdr:sp macro="" textlink="">
      <xdr:nvSpPr>
        <xdr:cNvPr id="888168" name="Rectangle 319">
          <a:extLst>
            <a:ext uri="{FF2B5EF4-FFF2-40B4-BE49-F238E27FC236}">
              <a16:creationId xmlns="" xmlns:a16="http://schemas.microsoft.com/office/drawing/2014/main" id="{00000000-0008-0000-2600-0000688D0D00}"/>
            </a:ext>
          </a:extLst>
        </xdr:cNvPr>
        <xdr:cNvSpPr>
          <a:spLocks noChangeArrowheads="1"/>
        </xdr:cNvSpPr>
      </xdr:nvSpPr>
      <xdr:spPr bwMode="auto">
        <a:xfrm>
          <a:off x="4749800" y="6267450"/>
          <a:ext cx="114300" cy="228600"/>
        </a:xfrm>
        <a:prstGeom prst="rect">
          <a:avLst/>
        </a:prstGeom>
        <a:solidFill>
          <a:srgbClr val="969696"/>
        </a:solidFill>
        <a:ln w="9525">
          <a:solidFill>
            <a:srgbClr val="000000"/>
          </a:solidFill>
          <a:miter lim="800000"/>
          <a:headEnd/>
          <a:tailEnd/>
        </a:ln>
      </xdr:spPr>
    </xdr:sp>
    <xdr:clientData/>
  </xdr:twoCellAnchor>
  <xdr:twoCellAnchor>
    <xdr:from>
      <xdr:col>29</xdr:col>
      <xdr:colOff>57150</xdr:colOff>
      <xdr:row>61</xdr:row>
      <xdr:rowOff>57150</xdr:rowOff>
    </xdr:from>
    <xdr:to>
      <xdr:col>33</xdr:col>
      <xdr:colOff>57150</xdr:colOff>
      <xdr:row>66</xdr:row>
      <xdr:rowOff>38100</xdr:rowOff>
    </xdr:to>
    <xdr:sp macro="" textlink="">
      <xdr:nvSpPr>
        <xdr:cNvPr id="888169" name="Line 322">
          <a:extLst>
            <a:ext uri="{FF2B5EF4-FFF2-40B4-BE49-F238E27FC236}">
              <a16:creationId xmlns="" xmlns:a16="http://schemas.microsoft.com/office/drawing/2014/main" id="{00000000-0008-0000-2600-0000698D0D00}"/>
            </a:ext>
          </a:extLst>
        </xdr:cNvPr>
        <xdr:cNvSpPr>
          <a:spLocks noChangeShapeType="1"/>
        </xdr:cNvSpPr>
      </xdr:nvSpPr>
      <xdr:spPr bwMode="auto">
        <a:xfrm>
          <a:off x="3378200" y="6407150"/>
          <a:ext cx="457200" cy="4889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30</xdr:col>
      <xdr:colOff>57784</xdr:colOff>
      <xdr:row>65</xdr:row>
      <xdr:rowOff>29210</xdr:rowOff>
    </xdr:from>
    <xdr:to>
      <xdr:col>37</xdr:col>
      <xdr:colOff>61110</xdr:colOff>
      <xdr:row>72</xdr:row>
      <xdr:rowOff>68576</xdr:rowOff>
    </xdr:to>
    <xdr:sp macro="" textlink="">
      <xdr:nvSpPr>
        <xdr:cNvPr id="43" name="Text Box 323">
          <a:extLst>
            <a:ext uri="{FF2B5EF4-FFF2-40B4-BE49-F238E27FC236}">
              <a16:creationId xmlns="" xmlns:a16="http://schemas.microsoft.com/office/drawing/2014/main" id="{00000000-0008-0000-2600-00002B000000}"/>
            </a:ext>
          </a:extLst>
        </xdr:cNvPr>
        <xdr:cNvSpPr txBox="1">
          <a:spLocks noChangeArrowheads="1"/>
        </xdr:cNvSpPr>
      </xdr:nvSpPr>
      <xdr:spPr bwMode="auto">
        <a:xfrm>
          <a:off x="3514724" y="7124700"/>
          <a:ext cx="790576" cy="695325"/>
        </a:xfrm>
        <a:prstGeom prst="rect">
          <a:avLst/>
        </a:prstGeom>
        <a:noFill/>
        <a:ln w="9525">
          <a:noFill/>
          <a:miter lim="800000"/>
          <a:headEnd/>
          <a:tailEnd/>
        </a:ln>
      </xdr:spPr>
      <xdr:txBody>
        <a:bodyPr vertOverflow="clip" wrap="square" lIns="27432" tIns="22860" rIns="0" bIns="0" anchor="t" upright="1"/>
        <a:lstStyle/>
        <a:p>
          <a:pPr algn="l" rtl="0">
            <a:lnSpc>
              <a:spcPts val="1000"/>
            </a:lnSpc>
            <a:defRPr sz="1000"/>
          </a:pPr>
          <a:r>
            <a:rPr lang="fr-FR" sz="1000" b="1" i="0" strike="noStrike">
              <a:solidFill>
                <a:srgbClr val="000000"/>
              </a:solidFill>
              <a:latin typeface="Arial"/>
              <a:cs typeface="Arial"/>
            </a:rPr>
            <a:t>Ouvertures/barbacane de 10cm chaque 0.5 m</a:t>
          </a:r>
        </a:p>
      </xdr:txBody>
    </xdr:sp>
    <xdr:clientData/>
  </xdr:twoCellAnchor>
  <xdr:twoCellAnchor>
    <xdr:from>
      <xdr:col>5</xdr:col>
      <xdr:colOff>0</xdr:colOff>
      <xdr:row>60</xdr:row>
      <xdr:rowOff>0</xdr:rowOff>
    </xdr:from>
    <xdr:to>
      <xdr:col>17</xdr:col>
      <xdr:colOff>56580</xdr:colOff>
      <xdr:row>62</xdr:row>
      <xdr:rowOff>67223</xdr:rowOff>
    </xdr:to>
    <xdr:sp macro="" textlink="">
      <xdr:nvSpPr>
        <xdr:cNvPr id="44" name="Text Box 324">
          <a:extLst>
            <a:ext uri="{FF2B5EF4-FFF2-40B4-BE49-F238E27FC236}">
              <a16:creationId xmlns="" xmlns:a16="http://schemas.microsoft.com/office/drawing/2014/main" id="{00000000-0008-0000-2600-00002C000000}"/>
            </a:ext>
          </a:extLst>
        </xdr:cNvPr>
        <xdr:cNvSpPr txBox="1">
          <a:spLocks noChangeArrowheads="1"/>
        </xdr:cNvSpPr>
      </xdr:nvSpPr>
      <xdr:spPr bwMode="auto">
        <a:xfrm>
          <a:off x="609600" y="6543675"/>
          <a:ext cx="1438275" cy="2476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1" i="0" u="sng" strike="noStrike">
              <a:solidFill>
                <a:srgbClr val="000000"/>
              </a:solidFill>
              <a:latin typeface="Arial"/>
              <a:cs typeface="Arial"/>
            </a:rPr>
            <a:t>Mur en brique de 20cm</a:t>
          </a:r>
        </a:p>
      </xdr:txBody>
    </xdr:sp>
    <xdr:clientData/>
  </xdr:twoCellAnchor>
  <xdr:twoCellAnchor>
    <xdr:from>
      <xdr:col>19</xdr:col>
      <xdr:colOff>88900</xdr:colOff>
      <xdr:row>119</xdr:row>
      <xdr:rowOff>6350</xdr:rowOff>
    </xdr:from>
    <xdr:to>
      <xdr:col>21</xdr:col>
      <xdr:colOff>63500</xdr:colOff>
      <xdr:row>142</xdr:row>
      <xdr:rowOff>31750</xdr:rowOff>
    </xdr:to>
    <xdr:sp macro="" textlink="">
      <xdr:nvSpPr>
        <xdr:cNvPr id="888172" name="Rectangle 326" descr="Horizontal brick">
          <a:extLst>
            <a:ext uri="{FF2B5EF4-FFF2-40B4-BE49-F238E27FC236}">
              <a16:creationId xmlns="" xmlns:a16="http://schemas.microsoft.com/office/drawing/2014/main" id="{00000000-0008-0000-2600-00006C8D0D00}"/>
            </a:ext>
          </a:extLst>
        </xdr:cNvPr>
        <xdr:cNvSpPr>
          <a:spLocks noChangeArrowheads="1"/>
        </xdr:cNvSpPr>
      </xdr:nvSpPr>
      <xdr:spPr bwMode="auto">
        <a:xfrm>
          <a:off x="2266950" y="12249150"/>
          <a:ext cx="203200" cy="23622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41</xdr:col>
      <xdr:colOff>6350</xdr:colOff>
      <xdr:row>118</xdr:row>
      <xdr:rowOff>57150</xdr:rowOff>
    </xdr:from>
    <xdr:to>
      <xdr:col>43</xdr:col>
      <xdr:colOff>19050</xdr:colOff>
      <xdr:row>141</xdr:row>
      <xdr:rowOff>69850</xdr:rowOff>
    </xdr:to>
    <xdr:sp macro="" textlink="">
      <xdr:nvSpPr>
        <xdr:cNvPr id="888173" name="Rectangle 327" descr="Horizontal brick">
          <a:extLst>
            <a:ext uri="{FF2B5EF4-FFF2-40B4-BE49-F238E27FC236}">
              <a16:creationId xmlns="" xmlns:a16="http://schemas.microsoft.com/office/drawing/2014/main" id="{00000000-0008-0000-2600-00006D8D0D00}"/>
            </a:ext>
          </a:extLst>
        </xdr:cNvPr>
        <xdr:cNvSpPr>
          <a:spLocks noChangeArrowheads="1"/>
        </xdr:cNvSpPr>
      </xdr:nvSpPr>
      <xdr:spPr bwMode="auto">
        <a:xfrm>
          <a:off x="4699000" y="12198350"/>
          <a:ext cx="241300" cy="23495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19</xdr:col>
      <xdr:colOff>0</xdr:colOff>
      <xdr:row>141</xdr:row>
      <xdr:rowOff>57150</xdr:rowOff>
    </xdr:from>
    <xdr:to>
      <xdr:col>22</xdr:col>
      <xdr:colOff>57150</xdr:colOff>
      <xdr:row>144</xdr:row>
      <xdr:rowOff>0</xdr:rowOff>
    </xdr:to>
    <xdr:sp macro="" textlink="">
      <xdr:nvSpPr>
        <xdr:cNvPr id="888174" name="Rectangle 329">
          <a:extLst>
            <a:ext uri="{FF2B5EF4-FFF2-40B4-BE49-F238E27FC236}">
              <a16:creationId xmlns="" xmlns:a16="http://schemas.microsoft.com/office/drawing/2014/main" id="{00000000-0008-0000-2600-00006E8D0D00}"/>
            </a:ext>
          </a:extLst>
        </xdr:cNvPr>
        <xdr:cNvSpPr>
          <a:spLocks noChangeArrowheads="1"/>
        </xdr:cNvSpPr>
      </xdr:nvSpPr>
      <xdr:spPr bwMode="auto">
        <a:xfrm>
          <a:off x="2178050" y="14535150"/>
          <a:ext cx="400050" cy="247650"/>
        </a:xfrm>
        <a:prstGeom prst="rect">
          <a:avLst/>
        </a:prstGeom>
        <a:solidFill>
          <a:srgbClr val="FFFFFF"/>
        </a:solidFill>
        <a:ln w="9525">
          <a:solidFill>
            <a:srgbClr val="000000"/>
          </a:solidFill>
          <a:miter lim="800000"/>
          <a:headEnd/>
          <a:tailEnd/>
        </a:ln>
      </xdr:spPr>
    </xdr:sp>
    <xdr:clientData/>
  </xdr:twoCellAnchor>
  <xdr:twoCellAnchor>
    <xdr:from>
      <xdr:col>39</xdr:col>
      <xdr:colOff>76200</xdr:colOff>
      <xdr:row>141</xdr:row>
      <xdr:rowOff>69850</xdr:rowOff>
    </xdr:from>
    <xdr:to>
      <xdr:col>43</xdr:col>
      <xdr:colOff>57150</xdr:colOff>
      <xdr:row>144</xdr:row>
      <xdr:rowOff>0</xdr:rowOff>
    </xdr:to>
    <xdr:sp macro="" textlink="">
      <xdr:nvSpPr>
        <xdr:cNvPr id="888175" name="Rectangle 330">
          <a:extLst>
            <a:ext uri="{FF2B5EF4-FFF2-40B4-BE49-F238E27FC236}">
              <a16:creationId xmlns="" xmlns:a16="http://schemas.microsoft.com/office/drawing/2014/main" id="{00000000-0008-0000-2600-00006F8D0D00}"/>
            </a:ext>
          </a:extLst>
        </xdr:cNvPr>
        <xdr:cNvSpPr>
          <a:spLocks noChangeArrowheads="1"/>
        </xdr:cNvSpPr>
      </xdr:nvSpPr>
      <xdr:spPr bwMode="auto">
        <a:xfrm>
          <a:off x="4540250" y="14547850"/>
          <a:ext cx="438150" cy="234950"/>
        </a:xfrm>
        <a:prstGeom prst="rect">
          <a:avLst/>
        </a:prstGeom>
        <a:solidFill>
          <a:srgbClr val="FFFFFF"/>
        </a:solidFill>
        <a:ln w="9525">
          <a:solidFill>
            <a:srgbClr val="000000"/>
          </a:solidFill>
          <a:miter lim="800000"/>
          <a:headEnd/>
          <a:tailEnd/>
        </a:ln>
      </xdr:spPr>
    </xdr:sp>
    <xdr:clientData/>
  </xdr:twoCellAnchor>
  <xdr:twoCellAnchor>
    <xdr:from>
      <xdr:col>21</xdr:col>
      <xdr:colOff>57150</xdr:colOff>
      <xdr:row>141</xdr:row>
      <xdr:rowOff>57150</xdr:rowOff>
    </xdr:from>
    <xdr:to>
      <xdr:col>41</xdr:col>
      <xdr:colOff>19050</xdr:colOff>
      <xdr:row>141</xdr:row>
      <xdr:rowOff>57150</xdr:rowOff>
    </xdr:to>
    <xdr:sp macro="" textlink="">
      <xdr:nvSpPr>
        <xdr:cNvPr id="888176" name="Line 331">
          <a:extLst>
            <a:ext uri="{FF2B5EF4-FFF2-40B4-BE49-F238E27FC236}">
              <a16:creationId xmlns="" xmlns:a16="http://schemas.microsoft.com/office/drawing/2014/main" id="{00000000-0008-0000-2600-0000708D0D00}"/>
            </a:ext>
          </a:extLst>
        </xdr:cNvPr>
        <xdr:cNvSpPr>
          <a:spLocks noChangeShapeType="1"/>
        </xdr:cNvSpPr>
      </xdr:nvSpPr>
      <xdr:spPr bwMode="auto">
        <a:xfrm flipV="1">
          <a:off x="2463800" y="14535150"/>
          <a:ext cx="2247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88900</xdr:colOff>
      <xdr:row>117</xdr:row>
      <xdr:rowOff>31750</xdr:rowOff>
    </xdr:from>
    <xdr:to>
      <xdr:col>43</xdr:col>
      <xdr:colOff>19050</xdr:colOff>
      <xdr:row>118</xdr:row>
      <xdr:rowOff>57150</xdr:rowOff>
    </xdr:to>
    <xdr:sp macro="" textlink="">
      <xdr:nvSpPr>
        <xdr:cNvPr id="888177" name="Rectangle 332">
          <a:extLst>
            <a:ext uri="{FF2B5EF4-FFF2-40B4-BE49-F238E27FC236}">
              <a16:creationId xmlns="" xmlns:a16="http://schemas.microsoft.com/office/drawing/2014/main" id="{00000000-0008-0000-2600-0000718D0D00}"/>
            </a:ext>
          </a:extLst>
        </xdr:cNvPr>
        <xdr:cNvSpPr>
          <a:spLocks noChangeArrowheads="1"/>
        </xdr:cNvSpPr>
      </xdr:nvSpPr>
      <xdr:spPr bwMode="auto">
        <a:xfrm>
          <a:off x="2266950" y="12071350"/>
          <a:ext cx="2673350" cy="127000"/>
        </a:xfrm>
        <a:prstGeom prst="rect">
          <a:avLst/>
        </a:prstGeom>
        <a:solidFill>
          <a:srgbClr val="FFFFFF"/>
        </a:solidFill>
        <a:ln w="9525">
          <a:solidFill>
            <a:srgbClr val="000000"/>
          </a:solidFill>
          <a:miter lim="800000"/>
          <a:headEnd/>
          <a:tailEnd/>
        </a:ln>
      </xdr:spPr>
    </xdr:sp>
    <xdr:clientData/>
  </xdr:twoCellAnchor>
  <xdr:twoCellAnchor>
    <xdr:from>
      <xdr:col>20</xdr:col>
      <xdr:colOff>0</xdr:colOff>
      <xdr:row>98</xdr:row>
      <xdr:rowOff>19050</xdr:rowOff>
    </xdr:from>
    <xdr:to>
      <xdr:col>21</xdr:col>
      <xdr:colOff>50800</xdr:colOff>
      <xdr:row>117</xdr:row>
      <xdr:rowOff>44450</xdr:rowOff>
    </xdr:to>
    <xdr:sp macro="" textlink="">
      <xdr:nvSpPr>
        <xdr:cNvPr id="888178" name="Rectangle 334" descr="Horizontal brick">
          <a:extLst>
            <a:ext uri="{FF2B5EF4-FFF2-40B4-BE49-F238E27FC236}">
              <a16:creationId xmlns="" xmlns:a16="http://schemas.microsoft.com/office/drawing/2014/main" id="{00000000-0008-0000-2600-0000728D0D00}"/>
            </a:ext>
          </a:extLst>
        </xdr:cNvPr>
        <xdr:cNvSpPr>
          <a:spLocks noChangeArrowheads="1"/>
        </xdr:cNvSpPr>
      </xdr:nvSpPr>
      <xdr:spPr bwMode="auto">
        <a:xfrm>
          <a:off x="2292350" y="10128250"/>
          <a:ext cx="165100" cy="1955800"/>
        </a:xfrm>
        <a:prstGeom prst="rect">
          <a:avLst/>
        </a:prstGeom>
        <a:noFill/>
        <a:ln w="9525">
          <a:solidFill>
            <a:srgbClr val="0000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76200</xdr:colOff>
      <xdr:row>97</xdr:row>
      <xdr:rowOff>57150</xdr:rowOff>
    </xdr:from>
    <xdr:to>
      <xdr:col>33</xdr:col>
      <xdr:colOff>38100</xdr:colOff>
      <xdr:row>117</xdr:row>
      <xdr:rowOff>19050</xdr:rowOff>
    </xdr:to>
    <xdr:sp macro="" textlink="">
      <xdr:nvSpPr>
        <xdr:cNvPr id="888179" name="Rectangle 335" descr="Horizontal brick">
          <a:extLst>
            <a:ext uri="{FF2B5EF4-FFF2-40B4-BE49-F238E27FC236}">
              <a16:creationId xmlns="" xmlns:a16="http://schemas.microsoft.com/office/drawing/2014/main" id="{00000000-0008-0000-2600-0000738D0D00}"/>
            </a:ext>
          </a:extLst>
        </xdr:cNvPr>
        <xdr:cNvSpPr>
          <a:spLocks noChangeArrowheads="1"/>
        </xdr:cNvSpPr>
      </xdr:nvSpPr>
      <xdr:spPr bwMode="auto">
        <a:xfrm>
          <a:off x="3625850" y="10064750"/>
          <a:ext cx="190500" cy="19939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50800</xdr:colOff>
      <xdr:row>97</xdr:row>
      <xdr:rowOff>19050</xdr:rowOff>
    </xdr:from>
    <xdr:to>
      <xdr:col>33</xdr:col>
      <xdr:colOff>38100</xdr:colOff>
      <xdr:row>98</xdr:row>
      <xdr:rowOff>19050</xdr:rowOff>
    </xdr:to>
    <xdr:sp macro="" textlink="">
      <xdr:nvSpPr>
        <xdr:cNvPr id="888180" name="Rectangle 336">
          <a:extLst>
            <a:ext uri="{FF2B5EF4-FFF2-40B4-BE49-F238E27FC236}">
              <a16:creationId xmlns="" xmlns:a16="http://schemas.microsoft.com/office/drawing/2014/main" id="{00000000-0008-0000-2600-0000748D0D00}"/>
            </a:ext>
          </a:extLst>
        </xdr:cNvPr>
        <xdr:cNvSpPr>
          <a:spLocks noChangeArrowheads="1"/>
        </xdr:cNvSpPr>
      </xdr:nvSpPr>
      <xdr:spPr bwMode="auto">
        <a:xfrm flipV="1">
          <a:off x="2000250" y="10026650"/>
          <a:ext cx="1816100" cy="101600"/>
        </a:xfrm>
        <a:prstGeom prst="rect">
          <a:avLst/>
        </a:prstGeom>
        <a:solidFill>
          <a:srgbClr val="FFFFFF"/>
        </a:solidFill>
        <a:ln w="9525">
          <a:solidFill>
            <a:srgbClr val="000000"/>
          </a:solidFill>
          <a:miter lim="800000"/>
          <a:headEnd/>
          <a:tailEnd/>
        </a:ln>
      </xdr:spPr>
    </xdr:sp>
    <xdr:clientData/>
  </xdr:twoCellAnchor>
  <xdr:twoCellAnchor>
    <xdr:from>
      <xdr:col>34</xdr:col>
      <xdr:colOff>6350</xdr:colOff>
      <xdr:row>87</xdr:row>
      <xdr:rowOff>342900</xdr:rowOff>
    </xdr:from>
    <xdr:to>
      <xdr:col>35</xdr:col>
      <xdr:colOff>0</xdr:colOff>
      <xdr:row>118</xdr:row>
      <xdr:rowOff>69850</xdr:rowOff>
    </xdr:to>
    <xdr:sp macro="" textlink="">
      <xdr:nvSpPr>
        <xdr:cNvPr id="888181" name="Rectangle 343">
          <a:extLst>
            <a:ext uri="{FF2B5EF4-FFF2-40B4-BE49-F238E27FC236}">
              <a16:creationId xmlns="" xmlns:a16="http://schemas.microsoft.com/office/drawing/2014/main" id="{00000000-0008-0000-2600-0000758D0D00}"/>
            </a:ext>
          </a:extLst>
        </xdr:cNvPr>
        <xdr:cNvSpPr>
          <a:spLocks noChangeArrowheads="1"/>
        </xdr:cNvSpPr>
      </xdr:nvSpPr>
      <xdr:spPr bwMode="auto">
        <a:xfrm>
          <a:off x="3898900" y="9093200"/>
          <a:ext cx="107950" cy="311785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21</xdr:col>
      <xdr:colOff>57150</xdr:colOff>
      <xdr:row>133</xdr:row>
      <xdr:rowOff>31750</xdr:rowOff>
    </xdr:from>
    <xdr:to>
      <xdr:col>41</xdr:col>
      <xdr:colOff>38100</xdr:colOff>
      <xdr:row>133</xdr:row>
      <xdr:rowOff>38100</xdr:rowOff>
    </xdr:to>
    <xdr:sp macro="" textlink="">
      <xdr:nvSpPr>
        <xdr:cNvPr id="888182" name="Line 347">
          <a:extLst>
            <a:ext uri="{FF2B5EF4-FFF2-40B4-BE49-F238E27FC236}">
              <a16:creationId xmlns="" xmlns:a16="http://schemas.microsoft.com/office/drawing/2014/main" id="{00000000-0008-0000-2600-0000768D0D00}"/>
            </a:ext>
          </a:extLst>
        </xdr:cNvPr>
        <xdr:cNvSpPr>
          <a:spLocks noChangeShapeType="1"/>
        </xdr:cNvSpPr>
      </xdr:nvSpPr>
      <xdr:spPr bwMode="auto">
        <a:xfrm flipV="1">
          <a:off x="2463800" y="13696950"/>
          <a:ext cx="2266950" cy="63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33</xdr:col>
      <xdr:colOff>57150</xdr:colOff>
      <xdr:row>85</xdr:row>
      <xdr:rowOff>57150</xdr:rowOff>
    </xdr:from>
    <xdr:to>
      <xdr:col>35</xdr:col>
      <xdr:colOff>38100</xdr:colOff>
      <xdr:row>88</xdr:row>
      <xdr:rowOff>0</xdr:rowOff>
    </xdr:to>
    <xdr:sp macro="" textlink="">
      <xdr:nvSpPr>
        <xdr:cNvPr id="888183" name="Rectangle 354" descr="Outlined diamond">
          <a:extLst>
            <a:ext uri="{FF2B5EF4-FFF2-40B4-BE49-F238E27FC236}">
              <a16:creationId xmlns="" xmlns:a16="http://schemas.microsoft.com/office/drawing/2014/main" id="{00000000-0008-0000-2600-0000778D0D00}"/>
            </a:ext>
          </a:extLst>
        </xdr:cNvPr>
        <xdr:cNvSpPr>
          <a:spLocks noChangeArrowheads="1"/>
        </xdr:cNvSpPr>
      </xdr:nvSpPr>
      <xdr:spPr bwMode="auto">
        <a:xfrm flipV="1">
          <a:off x="3835400" y="8845550"/>
          <a:ext cx="209550" cy="24765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28</xdr:col>
      <xdr:colOff>6350</xdr:colOff>
      <xdr:row>118</xdr:row>
      <xdr:rowOff>44450</xdr:rowOff>
    </xdr:from>
    <xdr:to>
      <xdr:col>28</xdr:col>
      <xdr:colOff>6350</xdr:colOff>
      <xdr:row>141</xdr:row>
      <xdr:rowOff>44450</xdr:rowOff>
    </xdr:to>
    <xdr:sp macro="" textlink="">
      <xdr:nvSpPr>
        <xdr:cNvPr id="888184" name="Line 356">
          <a:extLst>
            <a:ext uri="{FF2B5EF4-FFF2-40B4-BE49-F238E27FC236}">
              <a16:creationId xmlns="" xmlns:a16="http://schemas.microsoft.com/office/drawing/2014/main" id="{00000000-0008-0000-2600-0000788D0D00}"/>
            </a:ext>
          </a:extLst>
        </xdr:cNvPr>
        <xdr:cNvSpPr>
          <a:spLocks noChangeShapeType="1"/>
        </xdr:cNvSpPr>
      </xdr:nvSpPr>
      <xdr:spPr bwMode="auto">
        <a:xfrm>
          <a:off x="3213100" y="12185650"/>
          <a:ext cx="0" cy="23368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20</xdr:col>
      <xdr:colOff>6350</xdr:colOff>
      <xdr:row>100</xdr:row>
      <xdr:rowOff>0</xdr:rowOff>
    </xdr:from>
    <xdr:to>
      <xdr:col>21</xdr:col>
      <xdr:colOff>57150</xdr:colOff>
      <xdr:row>117</xdr:row>
      <xdr:rowOff>38100</xdr:rowOff>
    </xdr:to>
    <xdr:sp macro="" textlink="">
      <xdr:nvSpPr>
        <xdr:cNvPr id="888185" name="Rectangle 360">
          <a:extLst>
            <a:ext uri="{FF2B5EF4-FFF2-40B4-BE49-F238E27FC236}">
              <a16:creationId xmlns="" xmlns:a16="http://schemas.microsoft.com/office/drawing/2014/main" id="{00000000-0008-0000-2600-0000798D0D00}"/>
            </a:ext>
          </a:extLst>
        </xdr:cNvPr>
        <xdr:cNvSpPr>
          <a:spLocks noChangeArrowheads="1"/>
        </xdr:cNvSpPr>
      </xdr:nvSpPr>
      <xdr:spPr bwMode="auto">
        <a:xfrm>
          <a:off x="2298700" y="10312400"/>
          <a:ext cx="165100" cy="1765300"/>
        </a:xfrm>
        <a:prstGeom prst="rect">
          <a:avLst/>
        </a:prstGeom>
        <a:solidFill>
          <a:srgbClr val="FFFFFF"/>
        </a:solidFill>
        <a:ln w="9525">
          <a:solidFill>
            <a:srgbClr val="000000"/>
          </a:solidFill>
          <a:miter lim="800000"/>
          <a:headEnd/>
          <a:tailEnd/>
        </a:ln>
      </xdr:spPr>
    </xdr:sp>
    <xdr:clientData/>
  </xdr:twoCellAnchor>
  <xdr:twoCellAnchor>
    <xdr:from>
      <xdr:col>20</xdr:col>
      <xdr:colOff>88900</xdr:colOff>
      <xdr:row>99</xdr:row>
      <xdr:rowOff>69850</xdr:rowOff>
    </xdr:from>
    <xdr:to>
      <xdr:col>20</xdr:col>
      <xdr:colOff>88900</xdr:colOff>
      <xdr:row>117</xdr:row>
      <xdr:rowOff>38100</xdr:rowOff>
    </xdr:to>
    <xdr:sp macro="" textlink="">
      <xdr:nvSpPr>
        <xdr:cNvPr id="888186" name="Line 361">
          <a:extLst>
            <a:ext uri="{FF2B5EF4-FFF2-40B4-BE49-F238E27FC236}">
              <a16:creationId xmlns="" xmlns:a16="http://schemas.microsoft.com/office/drawing/2014/main" id="{00000000-0008-0000-2600-00007A8D0D00}"/>
            </a:ext>
          </a:extLst>
        </xdr:cNvPr>
        <xdr:cNvSpPr>
          <a:spLocks noChangeShapeType="1"/>
        </xdr:cNvSpPr>
      </xdr:nvSpPr>
      <xdr:spPr bwMode="auto">
        <a:xfrm>
          <a:off x="2381250" y="10280650"/>
          <a:ext cx="0" cy="17970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98</xdr:row>
      <xdr:rowOff>38100</xdr:rowOff>
    </xdr:from>
    <xdr:to>
      <xdr:col>21</xdr:col>
      <xdr:colOff>57150</xdr:colOff>
      <xdr:row>100</xdr:row>
      <xdr:rowOff>0</xdr:rowOff>
    </xdr:to>
    <xdr:sp macro="" textlink="">
      <xdr:nvSpPr>
        <xdr:cNvPr id="888187" name="Rectangle 362">
          <a:extLst>
            <a:ext uri="{FF2B5EF4-FFF2-40B4-BE49-F238E27FC236}">
              <a16:creationId xmlns="" xmlns:a16="http://schemas.microsoft.com/office/drawing/2014/main" id="{00000000-0008-0000-2600-00007B8D0D00}"/>
            </a:ext>
          </a:extLst>
        </xdr:cNvPr>
        <xdr:cNvSpPr>
          <a:spLocks noChangeArrowheads="1"/>
        </xdr:cNvSpPr>
      </xdr:nvSpPr>
      <xdr:spPr bwMode="auto">
        <a:xfrm>
          <a:off x="2292350" y="10147300"/>
          <a:ext cx="171450" cy="165100"/>
        </a:xfrm>
        <a:prstGeom prst="rect">
          <a:avLst/>
        </a:prstGeom>
        <a:solidFill>
          <a:srgbClr val="FFFFFF"/>
        </a:solidFill>
        <a:ln w="9525">
          <a:solidFill>
            <a:srgbClr val="000000"/>
          </a:solidFill>
          <a:miter lim="800000"/>
          <a:headEnd/>
          <a:tailEnd/>
        </a:ln>
      </xdr:spPr>
    </xdr:sp>
    <xdr:clientData/>
  </xdr:twoCellAnchor>
  <xdr:twoCellAnchor>
    <xdr:from>
      <xdr:col>16</xdr:col>
      <xdr:colOff>19050</xdr:colOff>
      <xdr:row>93</xdr:row>
      <xdr:rowOff>38100</xdr:rowOff>
    </xdr:from>
    <xdr:to>
      <xdr:col>37</xdr:col>
      <xdr:colOff>88900</xdr:colOff>
      <xdr:row>94</xdr:row>
      <xdr:rowOff>6350</xdr:rowOff>
    </xdr:to>
    <xdr:sp macro="" textlink="">
      <xdr:nvSpPr>
        <xdr:cNvPr id="888188" name="Rectangle 337">
          <a:extLst>
            <a:ext uri="{FF2B5EF4-FFF2-40B4-BE49-F238E27FC236}">
              <a16:creationId xmlns="" xmlns:a16="http://schemas.microsoft.com/office/drawing/2014/main" id="{00000000-0008-0000-2600-00007C8D0D00}"/>
            </a:ext>
          </a:extLst>
        </xdr:cNvPr>
        <xdr:cNvSpPr>
          <a:spLocks noChangeArrowheads="1"/>
        </xdr:cNvSpPr>
      </xdr:nvSpPr>
      <xdr:spPr bwMode="auto">
        <a:xfrm rot="20461670" flipH="1">
          <a:off x="1854200" y="9639300"/>
          <a:ext cx="2470150" cy="69850"/>
        </a:xfrm>
        <a:prstGeom prst="rect">
          <a:avLst/>
        </a:prstGeom>
        <a:solidFill>
          <a:srgbClr val="FFFFFF"/>
        </a:solidFill>
        <a:ln w="9525">
          <a:solidFill>
            <a:srgbClr val="000000"/>
          </a:solidFill>
          <a:miter lim="800000"/>
          <a:headEnd/>
          <a:tailEnd/>
        </a:ln>
      </xdr:spPr>
    </xdr:sp>
    <xdr:clientData/>
  </xdr:twoCellAnchor>
  <xdr:twoCellAnchor>
    <xdr:from>
      <xdr:col>31</xdr:col>
      <xdr:colOff>0</xdr:colOff>
      <xdr:row>91</xdr:row>
      <xdr:rowOff>69850</xdr:rowOff>
    </xdr:from>
    <xdr:to>
      <xdr:col>31</xdr:col>
      <xdr:colOff>57150</xdr:colOff>
      <xdr:row>98</xdr:row>
      <xdr:rowOff>31750</xdr:rowOff>
    </xdr:to>
    <xdr:sp macro="" textlink="">
      <xdr:nvSpPr>
        <xdr:cNvPr id="888189" name="Rectangle 338">
          <a:extLst>
            <a:ext uri="{FF2B5EF4-FFF2-40B4-BE49-F238E27FC236}">
              <a16:creationId xmlns="" xmlns:a16="http://schemas.microsoft.com/office/drawing/2014/main" id="{00000000-0008-0000-2600-00007D8D0D00}"/>
            </a:ext>
          </a:extLst>
        </xdr:cNvPr>
        <xdr:cNvSpPr>
          <a:spLocks noChangeArrowheads="1"/>
        </xdr:cNvSpPr>
      </xdr:nvSpPr>
      <xdr:spPr bwMode="auto">
        <a:xfrm>
          <a:off x="3549650" y="9467850"/>
          <a:ext cx="57150" cy="673100"/>
        </a:xfrm>
        <a:prstGeom prst="rect">
          <a:avLst/>
        </a:prstGeom>
        <a:solidFill>
          <a:srgbClr val="FFFFFF"/>
        </a:solidFill>
        <a:ln w="9525">
          <a:solidFill>
            <a:srgbClr val="000000"/>
          </a:solidFill>
          <a:miter lim="800000"/>
          <a:headEnd/>
          <a:tailEnd/>
        </a:ln>
      </xdr:spPr>
    </xdr:sp>
    <xdr:clientData/>
  </xdr:twoCellAnchor>
  <xdr:twoCellAnchor>
    <xdr:from>
      <xdr:col>28</xdr:col>
      <xdr:colOff>38100</xdr:colOff>
      <xdr:row>93</xdr:row>
      <xdr:rowOff>6350</xdr:rowOff>
    </xdr:from>
    <xdr:to>
      <xdr:col>29</xdr:col>
      <xdr:colOff>0</xdr:colOff>
      <xdr:row>98</xdr:row>
      <xdr:rowOff>19050</xdr:rowOff>
    </xdr:to>
    <xdr:sp macro="" textlink="">
      <xdr:nvSpPr>
        <xdr:cNvPr id="888190" name="Rectangle 339">
          <a:extLst>
            <a:ext uri="{FF2B5EF4-FFF2-40B4-BE49-F238E27FC236}">
              <a16:creationId xmlns="" xmlns:a16="http://schemas.microsoft.com/office/drawing/2014/main" id="{00000000-0008-0000-2600-00007E8D0D00}"/>
            </a:ext>
          </a:extLst>
        </xdr:cNvPr>
        <xdr:cNvSpPr>
          <a:spLocks noChangeArrowheads="1"/>
        </xdr:cNvSpPr>
      </xdr:nvSpPr>
      <xdr:spPr bwMode="auto">
        <a:xfrm flipH="1">
          <a:off x="3244850" y="9607550"/>
          <a:ext cx="76200" cy="520700"/>
        </a:xfrm>
        <a:prstGeom prst="rect">
          <a:avLst/>
        </a:prstGeom>
        <a:solidFill>
          <a:srgbClr val="FFFFFF"/>
        </a:solidFill>
        <a:ln w="9525">
          <a:solidFill>
            <a:srgbClr val="000000"/>
          </a:solidFill>
          <a:miter lim="800000"/>
          <a:headEnd/>
          <a:tailEnd/>
        </a:ln>
      </xdr:spPr>
    </xdr:sp>
    <xdr:clientData/>
  </xdr:twoCellAnchor>
  <xdr:twoCellAnchor>
    <xdr:from>
      <xdr:col>25</xdr:col>
      <xdr:colOff>38100</xdr:colOff>
      <xdr:row>94</xdr:row>
      <xdr:rowOff>19050</xdr:rowOff>
    </xdr:from>
    <xdr:to>
      <xdr:col>25</xdr:col>
      <xdr:colOff>76200</xdr:colOff>
      <xdr:row>98</xdr:row>
      <xdr:rowOff>31750</xdr:rowOff>
    </xdr:to>
    <xdr:sp macro="" textlink="">
      <xdr:nvSpPr>
        <xdr:cNvPr id="888191" name="Rectangle 340">
          <a:extLst>
            <a:ext uri="{FF2B5EF4-FFF2-40B4-BE49-F238E27FC236}">
              <a16:creationId xmlns="" xmlns:a16="http://schemas.microsoft.com/office/drawing/2014/main" id="{00000000-0008-0000-2600-00007F8D0D00}"/>
            </a:ext>
          </a:extLst>
        </xdr:cNvPr>
        <xdr:cNvSpPr>
          <a:spLocks noChangeArrowheads="1"/>
        </xdr:cNvSpPr>
      </xdr:nvSpPr>
      <xdr:spPr bwMode="auto">
        <a:xfrm flipH="1">
          <a:off x="2901950" y="9721850"/>
          <a:ext cx="38100" cy="419100"/>
        </a:xfrm>
        <a:prstGeom prst="rect">
          <a:avLst/>
        </a:prstGeom>
        <a:solidFill>
          <a:srgbClr val="FFFFFF"/>
        </a:solidFill>
        <a:ln w="9525">
          <a:solidFill>
            <a:srgbClr val="000000"/>
          </a:solidFill>
          <a:miter lim="800000"/>
          <a:headEnd/>
          <a:tailEnd/>
        </a:ln>
      </xdr:spPr>
    </xdr:sp>
    <xdr:clientData/>
  </xdr:twoCellAnchor>
  <xdr:twoCellAnchor>
    <xdr:from>
      <xdr:col>22</xdr:col>
      <xdr:colOff>76200</xdr:colOff>
      <xdr:row>95</xdr:row>
      <xdr:rowOff>19050</xdr:rowOff>
    </xdr:from>
    <xdr:to>
      <xdr:col>23</xdr:col>
      <xdr:colOff>38100</xdr:colOff>
      <xdr:row>98</xdr:row>
      <xdr:rowOff>31750</xdr:rowOff>
    </xdr:to>
    <xdr:sp macro="" textlink="">
      <xdr:nvSpPr>
        <xdr:cNvPr id="888192" name="Rectangle 341">
          <a:extLst>
            <a:ext uri="{FF2B5EF4-FFF2-40B4-BE49-F238E27FC236}">
              <a16:creationId xmlns="" xmlns:a16="http://schemas.microsoft.com/office/drawing/2014/main" id="{00000000-0008-0000-2600-0000808D0D00}"/>
            </a:ext>
          </a:extLst>
        </xdr:cNvPr>
        <xdr:cNvSpPr>
          <a:spLocks noChangeArrowheads="1"/>
        </xdr:cNvSpPr>
      </xdr:nvSpPr>
      <xdr:spPr bwMode="auto">
        <a:xfrm flipH="1">
          <a:off x="2597150" y="9823450"/>
          <a:ext cx="76200" cy="317500"/>
        </a:xfrm>
        <a:prstGeom prst="rect">
          <a:avLst/>
        </a:prstGeom>
        <a:solidFill>
          <a:srgbClr val="FFFFFF"/>
        </a:solidFill>
        <a:ln w="9525">
          <a:solidFill>
            <a:srgbClr val="000000"/>
          </a:solidFill>
          <a:miter lim="800000"/>
          <a:headEnd/>
          <a:tailEnd/>
        </a:ln>
      </xdr:spPr>
    </xdr:sp>
    <xdr:clientData/>
  </xdr:twoCellAnchor>
  <xdr:twoCellAnchor>
    <xdr:from>
      <xdr:col>14</xdr:col>
      <xdr:colOff>63500</xdr:colOff>
      <xdr:row>89</xdr:row>
      <xdr:rowOff>38100</xdr:rowOff>
    </xdr:from>
    <xdr:to>
      <xdr:col>38</xdr:col>
      <xdr:colOff>31750</xdr:colOff>
      <xdr:row>97</xdr:row>
      <xdr:rowOff>69850</xdr:rowOff>
    </xdr:to>
    <xdr:sp macro="" textlink="">
      <xdr:nvSpPr>
        <xdr:cNvPr id="888193" name="Line 352">
          <a:extLst>
            <a:ext uri="{FF2B5EF4-FFF2-40B4-BE49-F238E27FC236}">
              <a16:creationId xmlns="" xmlns:a16="http://schemas.microsoft.com/office/drawing/2014/main" id="{00000000-0008-0000-2600-0000818D0D00}"/>
            </a:ext>
          </a:extLst>
        </xdr:cNvPr>
        <xdr:cNvSpPr>
          <a:spLocks noChangeShapeType="1"/>
        </xdr:cNvSpPr>
      </xdr:nvSpPr>
      <xdr:spPr bwMode="auto">
        <a:xfrm flipH="1">
          <a:off x="1670050" y="9232900"/>
          <a:ext cx="2711450" cy="844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76200</xdr:colOff>
      <xdr:row>91</xdr:row>
      <xdr:rowOff>38100</xdr:rowOff>
    </xdr:from>
    <xdr:to>
      <xdr:col>33</xdr:col>
      <xdr:colOff>50800</xdr:colOff>
      <xdr:row>98</xdr:row>
      <xdr:rowOff>19050</xdr:rowOff>
    </xdr:to>
    <xdr:sp macro="" textlink="">
      <xdr:nvSpPr>
        <xdr:cNvPr id="888194" name="Rectangle 364" descr="Horizontal brick">
          <a:extLst>
            <a:ext uri="{FF2B5EF4-FFF2-40B4-BE49-F238E27FC236}">
              <a16:creationId xmlns="" xmlns:a16="http://schemas.microsoft.com/office/drawing/2014/main" id="{00000000-0008-0000-2600-0000828D0D00}"/>
            </a:ext>
          </a:extLst>
        </xdr:cNvPr>
        <xdr:cNvSpPr>
          <a:spLocks noChangeArrowheads="1"/>
        </xdr:cNvSpPr>
      </xdr:nvSpPr>
      <xdr:spPr bwMode="auto">
        <a:xfrm>
          <a:off x="3625850" y="9436100"/>
          <a:ext cx="203200" cy="6921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26</xdr:col>
      <xdr:colOff>76200</xdr:colOff>
      <xdr:row>98</xdr:row>
      <xdr:rowOff>31750</xdr:rowOff>
    </xdr:from>
    <xdr:to>
      <xdr:col>26</xdr:col>
      <xdr:colOff>88900</xdr:colOff>
      <xdr:row>117</xdr:row>
      <xdr:rowOff>31750</xdr:rowOff>
    </xdr:to>
    <xdr:sp macro="" textlink="">
      <xdr:nvSpPr>
        <xdr:cNvPr id="888195" name="Line 365">
          <a:extLst>
            <a:ext uri="{FF2B5EF4-FFF2-40B4-BE49-F238E27FC236}">
              <a16:creationId xmlns="" xmlns:a16="http://schemas.microsoft.com/office/drawing/2014/main" id="{00000000-0008-0000-2600-0000838D0D00}"/>
            </a:ext>
          </a:extLst>
        </xdr:cNvPr>
        <xdr:cNvSpPr>
          <a:spLocks noChangeShapeType="1"/>
        </xdr:cNvSpPr>
      </xdr:nvSpPr>
      <xdr:spPr bwMode="auto">
        <a:xfrm flipH="1">
          <a:off x="3054350" y="10140950"/>
          <a:ext cx="12700" cy="19304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6350</xdr:colOff>
      <xdr:row>89</xdr:row>
      <xdr:rowOff>0</xdr:rowOff>
    </xdr:from>
    <xdr:to>
      <xdr:col>14</xdr:col>
      <xdr:colOff>6350</xdr:colOff>
      <xdr:row>97</xdr:row>
      <xdr:rowOff>57150</xdr:rowOff>
    </xdr:to>
    <xdr:sp macro="" textlink="">
      <xdr:nvSpPr>
        <xdr:cNvPr id="888196" name="Line 367">
          <a:extLst>
            <a:ext uri="{FF2B5EF4-FFF2-40B4-BE49-F238E27FC236}">
              <a16:creationId xmlns="" xmlns:a16="http://schemas.microsoft.com/office/drawing/2014/main" id="{00000000-0008-0000-2600-0000848D0D00}"/>
            </a:ext>
          </a:extLst>
        </xdr:cNvPr>
        <xdr:cNvSpPr>
          <a:spLocks noChangeShapeType="1"/>
        </xdr:cNvSpPr>
      </xdr:nvSpPr>
      <xdr:spPr bwMode="auto">
        <a:xfrm>
          <a:off x="1612900" y="9194800"/>
          <a:ext cx="0" cy="8699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15</xdr:col>
      <xdr:colOff>6350</xdr:colOff>
      <xdr:row>94</xdr:row>
      <xdr:rowOff>19050</xdr:rowOff>
    </xdr:from>
    <xdr:to>
      <xdr:col>15</xdr:col>
      <xdr:colOff>63500</xdr:colOff>
      <xdr:row>122</xdr:row>
      <xdr:rowOff>69850</xdr:rowOff>
    </xdr:to>
    <xdr:sp macro="" textlink="">
      <xdr:nvSpPr>
        <xdr:cNvPr id="888197" name="Text Box 368">
          <a:extLst>
            <a:ext uri="{FF2B5EF4-FFF2-40B4-BE49-F238E27FC236}">
              <a16:creationId xmlns="" xmlns:a16="http://schemas.microsoft.com/office/drawing/2014/main" id="{00000000-0008-0000-2600-0000858D0D00}"/>
            </a:ext>
          </a:extLst>
        </xdr:cNvPr>
        <xdr:cNvSpPr txBox="1">
          <a:spLocks noChangeArrowheads="1"/>
        </xdr:cNvSpPr>
      </xdr:nvSpPr>
      <xdr:spPr bwMode="auto">
        <a:xfrm>
          <a:off x="1727200" y="9721850"/>
          <a:ext cx="57150" cy="289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6350</xdr:colOff>
      <xdr:row>94</xdr:row>
      <xdr:rowOff>6350</xdr:rowOff>
    </xdr:from>
    <xdr:to>
      <xdr:col>15</xdr:col>
      <xdr:colOff>63500</xdr:colOff>
      <xdr:row>122</xdr:row>
      <xdr:rowOff>57150</xdr:rowOff>
    </xdr:to>
    <xdr:sp macro="" textlink="">
      <xdr:nvSpPr>
        <xdr:cNvPr id="888198" name="Text Box 369">
          <a:extLst>
            <a:ext uri="{FF2B5EF4-FFF2-40B4-BE49-F238E27FC236}">
              <a16:creationId xmlns="" xmlns:a16="http://schemas.microsoft.com/office/drawing/2014/main" id="{00000000-0008-0000-2600-0000868D0D00}"/>
            </a:ext>
          </a:extLst>
        </xdr:cNvPr>
        <xdr:cNvSpPr txBox="1">
          <a:spLocks noChangeArrowheads="1"/>
        </xdr:cNvSpPr>
      </xdr:nvSpPr>
      <xdr:spPr bwMode="auto">
        <a:xfrm>
          <a:off x="1727200" y="9709150"/>
          <a:ext cx="57150" cy="289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15</xdr:col>
      <xdr:colOff>47625</xdr:colOff>
      <xdr:row>93</xdr:row>
      <xdr:rowOff>0</xdr:rowOff>
    </xdr:from>
    <xdr:ext cx="161070" cy="189511"/>
    <xdr:sp macro="" textlink="">
      <xdr:nvSpPr>
        <xdr:cNvPr id="72" name="Text Box 370">
          <a:extLst>
            <a:ext uri="{FF2B5EF4-FFF2-40B4-BE49-F238E27FC236}">
              <a16:creationId xmlns="" xmlns:a16="http://schemas.microsoft.com/office/drawing/2014/main" id="{00000000-0008-0000-2600-000048000000}"/>
            </a:ext>
          </a:extLst>
        </xdr:cNvPr>
        <xdr:cNvSpPr txBox="1">
          <a:spLocks noChangeArrowheads="1"/>
        </xdr:cNvSpPr>
      </xdr:nvSpPr>
      <xdr:spPr bwMode="auto">
        <a:xfrm>
          <a:off x="1781175" y="9896475"/>
          <a:ext cx="161070"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fr-FR" sz="1000" b="1" i="0" strike="noStrike">
              <a:solidFill>
                <a:srgbClr val="000000"/>
              </a:solidFill>
              <a:latin typeface="Arial"/>
              <a:cs typeface="Arial"/>
            </a:rPr>
            <a:t>40</a:t>
          </a:r>
        </a:p>
      </xdr:txBody>
    </xdr:sp>
    <xdr:clientData/>
  </xdr:oneCellAnchor>
  <xdr:twoCellAnchor>
    <xdr:from>
      <xdr:col>13</xdr:col>
      <xdr:colOff>63500</xdr:colOff>
      <xdr:row>121</xdr:row>
      <xdr:rowOff>57150</xdr:rowOff>
    </xdr:from>
    <xdr:to>
      <xdr:col>19</xdr:col>
      <xdr:colOff>57150</xdr:colOff>
      <xdr:row>121</xdr:row>
      <xdr:rowOff>57150</xdr:rowOff>
    </xdr:to>
    <xdr:sp macro="" textlink="">
      <xdr:nvSpPr>
        <xdr:cNvPr id="888200" name="Line 377">
          <a:extLst>
            <a:ext uri="{FF2B5EF4-FFF2-40B4-BE49-F238E27FC236}">
              <a16:creationId xmlns="" xmlns:a16="http://schemas.microsoft.com/office/drawing/2014/main" id="{00000000-0008-0000-2600-0000888D0D00}"/>
            </a:ext>
          </a:extLst>
        </xdr:cNvPr>
        <xdr:cNvSpPr>
          <a:spLocks noChangeShapeType="1"/>
        </xdr:cNvSpPr>
      </xdr:nvSpPr>
      <xdr:spPr bwMode="auto">
        <a:xfrm>
          <a:off x="1555750" y="12503150"/>
          <a:ext cx="6794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63500</xdr:colOff>
      <xdr:row>117</xdr:row>
      <xdr:rowOff>31750</xdr:rowOff>
    </xdr:from>
    <xdr:to>
      <xdr:col>39</xdr:col>
      <xdr:colOff>0</xdr:colOff>
      <xdr:row>118</xdr:row>
      <xdr:rowOff>57150</xdr:rowOff>
    </xdr:to>
    <xdr:sp macro="" textlink="">
      <xdr:nvSpPr>
        <xdr:cNvPr id="888201" name="Rectangle 379">
          <a:extLst>
            <a:ext uri="{FF2B5EF4-FFF2-40B4-BE49-F238E27FC236}">
              <a16:creationId xmlns="" xmlns:a16="http://schemas.microsoft.com/office/drawing/2014/main" id="{00000000-0008-0000-2600-0000898D0D00}"/>
            </a:ext>
          </a:extLst>
        </xdr:cNvPr>
        <xdr:cNvSpPr>
          <a:spLocks noChangeArrowheads="1"/>
        </xdr:cNvSpPr>
      </xdr:nvSpPr>
      <xdr:spPr bwMode="auto">
        <a:xfrm>
          <a:off x="4070350" y="12071350"/>
          <a:ext cx="393700" cy="127000"/>
        </a:xfrm>
        <a:prstGeom prst="rect">
          <a:avLst/>
        </a:prstGeom>
        <a:solidFill>
          <a:srgbClr val="FFFFFF"/>
        </a:solidFill>
        <a:ln w="9525">
          <a:solidFill>
            <a:srgbClr val="000000"/>
          </a:solidFill>
          <a:miter lim="800000"/>
          <a:headEnd/>
          <a:tailEnd/>
        </a:ln>
      </xdr:spPr>
    </xdr:sp>
    <xdr:clientData/>
  </xdr:twoCellAnchor>
  <xdr:twoCellAnchor>
    <xdr:from>
      <xdr:col>25</xdr:col>
      <xdr:colOff>0</xdr:colOff>
      <xdr:row>117</xdr:row>
      <xdr:rowOff>38100</xdr:rowOff>
    </xdr:from>
    <xdr:to>
      <xdr:col>28</xdr:col>
      <xdr:colOff>0</xdr:colOff>
      <xdr:row>118</xdr:row>
      <xdr:rowOff>69850</xdr:rowOff>
    </xdr:to>
    <xdr:sp macro="" textlink="">
      <xdr:nvSpPr>
        <xdr:cNvPr id="888202" name="Rectangle 380">
          <a:extLst>
            <a:ext uri="{FF2B5EF4-FFF2-40B4-BE49-F238E27FC236}">
              <a16:creationId xmlns="" xmlns:a16="http://schemas.microsoft.com/office/drawing/2014/main" id="{00000000-0008-0000-2600-00008A8D0D00}"/>
            </a:ext>
          </a:extLst>
        </xdr:cNvPr>
        <xdr:cNvSpPr>
          <a:spLocks noChangeArrowheads="1"/>
        </xdr:cNvSpPr>
      </xdr:nvSpPr>
      <xdr:spPr bwMode="auto">
        <a:xfrm>
          <a:off x="2863850" y="12077700"/>
          <a:ext cx="342900" cy="133350"/>
        </a:xfrm>
        <a:prstGeom prst="rect">
          <a:avLst/>
        </a:prstGeom>
        <a:solidFill>
          <a:srgbClr val="FFFFFF"/>
        </a:solidFill>
        <a:ln w="9525">
          <a:solidFill>
            <a:srgbClr val="000000"/>
          </a:solidFill>
          <a:miter lim="800000"/>
          <a:headEnd/>
          <a:tailEnd/>
        </a:ln>
      </xdr:spPr>
    </xdr:sp>
    <xdr:clientData/>
  </xdr:twoCellAnchor>
  <xdr:twoCellAnchor>
    <xdr:from>
      <xdr:col>23</xdr:col>
      <xdr:colOff>0</xdr:colOff>
      <xdr:row>100</xdr:row>
      <xdr:rowOff>0</xdr:rowOff>
    </xdr:from>
    <xdr:to>
      <xdr:col>23</xdr:col>
      <xdr:colOff>0</xdr:colOff>
      <xdr:row>117</xdr:row>
      <xdr:rowOff>38100</xdr:rowOff>
    </xdr:to>
    <xdr:sp macro="" textlink="">
      <xdr:nvSpPr>
        <xdr:cNvPr id="888203" name="Line 381">
          <a:extLst>
            <a:ext uri="{FF2B5EF4-FFF2-40B4-BE49-F238E27FC236}">
              <a16:creationId xmlns="" xmlns:a16="http://schemas.microsoft.com/office/drawing/2014/main" id="{00000000-0008-0000-2600-00008B8D0D00}"/>
            </a:ext>
          </a:extLst>
        </xdr:cNvPr>
        <xdr:cNvSpPr>
          <a:spLocks noChangeShapeType="1"/>
        </xdr:cNvSpPr>
      </xdr:nvSpPr>
      <xdr:spPr bwMode="auto">
        <a:xfrm>
          <a:off x="2635250" y="10312400"/>
          <a:ext cx="0" cy="17653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23</xdr:col>
      <xdr:colOff>0</xdr:colOff>
      <xdr:row>109</xdr:row>
      <xdr:rowOff>0</xdr:rowOff>
    </xdr:from>
    <xdr:to>
      <xdr:col>23</xdr:col>
      <xdr:colOff>57150</xdr:colOff>
      <xdr:row>137</xdr:row>
      <xdr:rowOff>57150</xdr:rowOff>
    </xdr:to>
    <xdr:sp macro="" textlink="">
      <xdr:nvSpPr>
        <xdr:cNvPr id="888204" name="Text Box 382">
          <a:extLst>
            <a:ext uri="{FF2B5EF4-FFF2-40B4-BE49-F238E27FC236}">
              <a16:creationId xmlns="" xmlns:a16="http://schemas.microsoft.com/office/drawing/2014/main" id="{00000000-0008-0000-2600-00008C8D0D00}"/>
            </a:ext>
          </a:extLst>
        </xdr:cNvPr>
        <xdr:cNvSpPr txBox="1">
          <a:spLocks noChangeArrowheads="1"/>
        </xdr:cNvSpPr>
      </xdr:nvSpPr>
      <xdr:spPr bwMode="auto">
        <a:xfrm>
          <a:off x="2635250" y="11226800"/>
          <a:ext cx="57150" cy="290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14</xdr:col>
      <xdr:colOff>6350</xdr:colOff>
      <xdr:row>107</xdr:row>
      <xdr:rowOff>0</xdr:rowOff>
    </xdr:from>
    <xdr:to>
      <xdr:col>19</xdr:col>
      <xdr:colOff>88900</xdr:colOff>
      <xdr:row>107</xdr:row>
      <xdr:rowOff>0</xdr:rowOff>
    </xdr:to>
    <xdr:sp macro="" textlink="">
      <xdr:nvSpPr>
        <xdr:cNvPr id="888205" name="Line 384">
          <a:extLst>
            <a:ext uri="{FF2B5EF4-FFF2-40B4-BE49-F238E27FC236}">
              <a16:creationId xmlns="" xmlns:a16="http://schemas.microsoft.com/office/drawing/2014/main" id="{00000000-0008-0000-2600-00008D8D0D00}"/>
            </a:ext>
          </a:extLst>
        </xdr:cNvPr>
        <xdr:cNvSpPr>
          <a:spLocks noChangeShapeType="1"/>
        </xdr:cNvSpPr>
      </xdr:nvSpPr>
      <xdr:spPr bwMode="auto">
        <a:xfrm flipV="1">
          <a:off x="1612900" y="11023600"/>
          <a:ext cx="6540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104</xdr:row>
      <xdr:rowOff>0</xdr:rowOff>
    </xdr:from>
    <xdr:to>
      <xdr:col>14</xdr:col>
      <xdr:colOff>3200</xdr:colOff>
      <xdr:row>108</xdr:row>
      <xdr:rowOff>0</xdr:rowOff>
    </xdr:to>
    <xdr:sp macro="" textlink="">
      <xdr:nvSpPr>
        <xdr:cNvPr id="79" name="Text Box 385">
          <a:extLst>
            <a:ext uri="{FF2B5EF4-FFF2-40B4-BE49-F238E27FC236}">
              <a16:creationId xmlns="" xmlns:a16="http://schemas.microsoft.com/office/drawing/2014/main" id="{00000000-0008-0000-2600-00004F000000}"/>
            </a:ext>
          </a:extLst>
        </xdr:cNvPr>
        <xdr:cNvSpPr txBox="1">
          <a:spLocks noChangeArrowheads="1"/>
        </xdr:cNvSpPr>
      </xdr:nvSpPr>
      <xdr:spPr bwMode="auto">
        <a:xfrm>
          <a:off x="838200" y="11153775"/>
          <a:ext cx="809625" cy="4191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porte en bois mulingati</a:t>
          </a:r>
        </a:p>
      </xdr:txBody>
    </xdr:sp>
    <xdr:clientData/>
  </xdr:twoCellAnchor>
  <xdr:twoCellAnchor>
    <xdr:from>
      <xdr:col>36</xdr:col>
      <xdr:colOff>50800</xdr:colOff>
      <xdr:row>110</xdr:row>
      <xdr:rowOff>38100</xdr:rowOff>
    </xdr:from>
    <xdr:to>
      <xdr:col>46</xdr:col>
      <xdr:colOff>0</xdr:colOff>
      <xdr:row>117</xdr:row>
      <xdr:rowOff>19050</xdr:rowOff>
    </xdr:to>
    <xdr:sp macro="" textlink="">
      <xdr:nvSpPr>
        <xdr:cNvPr id="888207" name="Line 386">
          <a:extLst>
            <a:ext uri="{FF2B5EF4-FFF2-40B4-BE49-F238E27FC236}">
              <a16:creationId xmlns="" xmlns:a16="http://schemas.microsoft.com/office/drawing/2014/main" id="{00000000-0008-0000-2600-00008F8D0D00}"/>
            </a:ext>
          </a:extLst>
        </xdr:cNvPr>
        <xdr:cNvSpPr>
          <a:spLocks noChangeShapeType="1"/>
        </xdr:cNvSpPr>
      </xdr:nvSpPr>
      <xdr:spPr bwMode="auto">
        <a:xfrm rot="10800000" flipV="1">
          <a:off x="4171950" y="11366500"/>
          <a:ext cx="1092200" cy="6921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42</xdr:col>
      <xdr:colOff>57150</xdr:colOff>
      <xdr:row>110</xdr:row>
      <xdr:rowOff>57150</xdr:rowOff>
    </xdr:from>
    <xdr:to>
      <xdr:col>45</xdr:col>
      <xdr:colOff>88900</xdr:colOff>
      <xdr:row>117</xdr:row>
      <xdr:rowOff>19050</xdr:rowOff>
    </xdr:to>
    <xdr:sp macro="" textlink="">
      <xdr:nvSpPr>
        <xdr:cNvPr id="888208" name="Line 387">
          <a:extLst>
            <a:ext uri="{FF2B5EF4-FFF2-40B4-BE49-F238E27FC236}">
              <a16:creationId xmlns="" xmlns:a16="http://schemas.microsoft.com/office/drawing/2014/main" id="{00000000-0008-0000-2600-0000908D0D00}"/>
            </a:ext>
          </a:extLst>
        </xdr:cNvPr>
        <xdr:cNvSpPr>
          <a:spLocks noChangeShapeType="1"/>
        </xdr:cNvSpPr>
      </xdr:nvSpPr>
      <xdr:spPr bwMode="auto">
        <a:xfrm flipH="1">
          <a:off x="4864100" y="11385550"/>
          <a:ext cx="374650" cy="6731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45</xdr:col>
      <xdr:colOff>95249</xdr:colOff>
      <xdr:row>109</xdr:row>
      <xdr:rowOff>20320</xdr:rowOff>
    </xdr:from>
    <xdr:to>
      <xdr:col>62</xdr:col>
      <xdr:colOff>57889</xdr:colOff>
      <xdr:row>112</xdr:row>
      <xdr:rowOff>76347</xdr:rowOff>
    </xdr:to>
    <xdr:sp macro="" textlink="">
      <xdr:nvSpPr>
        <xdr:cNvPr id="82" name="Text Box 388">
          <a:extLst>
            <a:ext uri="{FF2B5EF4-FFF2-40B4-BE49-F238E27FC236}">
              <a16:creationId xmlns="" xmlns:a16="http://schemas.microsoft.com/office/drawing/2014/main" id="{00000000-0008-0000-2600-000052000000}"/>
            </a:ext>
          </a:extLst>
        </xdr:cNvPr>
        <xdr:cNvSpPr txBox="1">
          <a:spLocks noChangeArrowheads="1"/>
        </xdr:cNvSpPr>
      </xdr:nvSpPr>
      <xdr:spPr bwMode="auto">
        <a:xfrm>
          <a:off x="5295899" y="11706225"/>
          <a:ext cx="1876425" cy="3714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dalle amovible armée</a:t>
          </a:r>
          <a:r>
            <a:rPr lang="fr-FR" sz="1000" b="0" i="0" strike="noStrike" baseline="0">
              <a:solidFill>
                <a:srgbClr val="000000"/>
              </a:solidFill>
              <a:latin typeface="Arial"/>
              <a:cs typeface="Arial"/>
            </a:rPr>
            <a:t> avec des </a:t>
          </a:r>
          <a:r>
            <a:rPr lang="az-Cyrl-AZ" sz="1000" b="0" i="0" baseline="0">
              <a:latin typeface="+mn-lt"/>
              <a:ea typeface="+mn-ea"/>
              <a:cs typeface="+mn-cs"/>
            </a:rPr>
            <a:t>ф</a:t>
          </a:r>
          <a:r>
            <a:rPr lang="fr-FR" sz="1000" b="0" i="0" baseline="0">
              <a:latin typeface="+mn-lt"/>
              <a:ea typeface="+mn-ea"/>
              <a:cs typeface="+mn-cs"/>
            </a:rPr>
            <a:t> 8mm</a:t>
          </a:r>
          <a:r>
            <a:rPr lang="fr-FR" sz="1000" b="0" i="0" strike="noStrike">
              <a:solidFill>
                <a:srgbClr val="000000"/>
              </a:solidFill>
              <a:latin typeface="Arial"/>
              <a:cs typeface="Arial"/>
            </a:rPr>
            <a:t> avec</a:t>
          </a:r>
          <a:r>
            <a:rPr lang="fr-FR" sz="1000" b="0" i="0" strike="noStrike" baseline="0">
              <a:solidFill>
                <a:srgbClr val="000000"/>
              </a:solidFill>
              <a:latin typeface="Arial"/>
              <a:cs typeface="Arial"/>
            </a:rPr>
            <a:t> 2crochets </a:t>
          </a:r>
          <a:endParaRPr lang="fr-FR" sz="1000" b="0" i="0" strike="noStrike">
            <a:solidFill>
              <a:srgbClr val="000000"/>
            </a:solidFill>
            <a:latin typeface="Arial"/>
            <a:cs typeface="Arial"/>
          </a:endParaRPr>
        </a:p>
      </xdr:txBody>
    </xdr:sp>
    <xdr:clientData/>
  </xdr:twoCellAnchor>
  <xdr:twoCellAnchor>
    <xdr:from>
      <xdr:col>31</xdr:col>
      <xdr:colOff>76200</xdr:colOff>
      <xdr:row>98</xdr:row>
      <xdr:rowOff>19050</xdr:rowOff>
    </xdr:from>
    <xdr:to>
      <xdr:col>33</xdr:col>
      <xdr:colOff>38100</xdr:colOff>
      <xdr:row>99</xdr:row>
      <xdr:rowOff>57150</xdr:rowOff>
    </xdr:to>
    <xdr:sp macro="" textlink="">
      <xdr:nvSpPr>
        <xdr:cNvPr id="888210" name="Rectangle 389">
          <a:extLst>
            <a:ext uri="{FF2B5EF4-FFF2-40B4-BE49-F238E27FC236}">
              <a16:creationId xmlns="" xmlns:a16="http://schemas.microsoft.com/office/drawing/2014/main" id="{00000000-0008-0000-2600-0000928D0D00}"/>
            </a:ext>
          </a:extLst>
        </xdr:cNvPr>
        <xdr:cNvSpPr>
          <a:spLocks noChangeArrowheads="1"/>
        </xdr:cNvSpPr>
      </xdr:nvSpPr>
      <xdr:spPr bwMode="auto">
        <a:xfrm>
          <a:off x="3625850" y="10128250"/>
          <a:ext cx="190500" cy="139700"/>
        </a:xfrm>
        <a:prstGeom prst="rect">
          <a:avLst/>
        </a:prstGeom>
        <a:solidFill>
          <a:srgbClr val="FFFFFF"/>
        </a:solidFill>
        <a:ln w="9525">
          <a:solidFill>
            <a:srgbClr val="000000"/>
          </a:solidFill>
          <a:miter lim="800000"/>
          <a:headEnd/>
          <a:tailEnd/>
        </a:ln>
      </xdr:spPr>
    </xdr:sp>
    <xdr:clientData/>
  </xdr:twoCellAnchor>
  <xdr:twoCellAnchor>
    <xdr:from>
      <xdr:col>31</xdr:col>
      <xdr:colOff>76200</xdr:colOff>
      <xdr:row>100</xdr:row>
      <xdr:rowOff>0</xdr:rowOff>
    </xdr:from>
    <xdr:to>
      <xdr:col>33</xdr:col>
      <xdr:colOff>38100</xdr:colOff>
      <xdr:row>117</xdr:row>
      <xdr:rowOff>19050</xdr:rowOff>
    </xdr:to>
    <xdr:sp macro="" textlink="">
      <xdr:nvSpPr>
        <xdr:cNvPr id="888211" name="Rectangle 390" descr="Horizontal brick">
          <a:extLst>
            <a:ext uri="{FF2B5EF4-FFF2-40B4-BE49-F238E27FC236}">
              <a16:creationId xmlns="" xmlns:a16="http://schemas.microsoft.com/office/drawing/2014/main" id="{00000000-0008-0000-2600-0000938D0D00}"/>
            </a:ext>
          </a:extLst>
        </xdr:cNvPr>
        <xdr:cNvSpPr>
          <a:spLocks noChangeArrowheads="1"/>
        </xdr:cNvSpPr>
      </xdr:nvSpPr>
      <xdr:spPr bwMode="auto">
        <a:xfrm flipH="1">
          <a:off x="3625850" y="10312400"/>
          <a:ext cx="190500" cy="17462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35</xdr:col>
      <xdr:colOff>6350</xdr:colOff>
      <xdr:row>92</xdr:row>
      <xdr:rowOff>0</xdr:rowOff>
    </xdr:from>
    <xdr:to>
      <xdr:col>41</xdr:col>
      <xdr:colOff>0</xdr:colOff>
      <xdr:row>92</xdr:row>
      <xdr:rowOff>6350</xdr:rowOff>
    </xdr:to>
    <xdr:sp macro="" textlink="">
      <xdr:nvSpPr>
        <xdr:cNvPr id="888212" name="Line 391">
          <a:extLst>
            <a:ext uri="{FF2B5EF4-FFF2-40B4-BE49-F238E27FC236}">
              <a16:creationId xmlns="" xmlns:a16="http://schemas.microsoft.com/office/drawing/2014/main" id="{00000000-0008-0000-2600-0000948D0D00}"/>
            </a:ext>
          </a:extLst>
        </xdr:cNvPr>
        <xdr:cNvSpPr>
          <a:spLocks noChangeShapeType="1"/>
        </xdr:cNvSpPr>
      </xdr:nvSpPr>
      <xdr:spPr bwMode="auto">
        <a:xfrm rot="10701805">
          <a:off x="4013200" y="9499600"/>
          <a:ext cx="679450" cy="6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42</xdr:col>
      <xdr:colOff>0</xdr:colOff>
      <xdr:row>92</xdr:row>
      <xdr:rowOff>6350</xdr:rowOff>
    </xdr:from>
    <xdr:to>
      <xdr:col>42</xdr:col>
      <xdr:colOff>57150</xdr:colOff>
      <xdr:row>120</xdr:row>
      <xdr:rowOff>57150</xdr:rowOff>
    </xdr:to>
    <xdr:sp macro="" textlink="">
      <xdr:nvSpPr>
        <xdr:cNvPr id="888213" name="Text Box 392">
          <a:extLst>
            <a:ext uri="{FF2B5EF4-FFF2-40B4-BE49-F238E27FC236}">
              <a16:creationId xmlns="" xmlns:a16="http://schemas.microsoft.com/office/drawing/2014/main" id="{00000000-0008-0000-2600-0000958D0D00}"/>
            </a:ext>
          </a:extLst>
        </xdr:cNvPr>
        <xdr:cNvSpPr txBox="1">
          <a:spLocks noChangeArrowheads="1"/>
        </xdr:cNvSpPr>
      </xdr:nvSpPr>
      <xdr:spPr bwMode="auto">
        <a:xfrm>
          <a:off x="4806950" y="9505950"/>
          <a:ext cx="57150" cy="289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41</xdr:col>
      <xdr:colOff>56515</xdr:colOff>
      <xdr:row>89</xdr:row>
      <xdr:rowOff>4445</xdr:rowOff>
    </xdr:from>
    <xdr:to>
      <xdr:col>47</xdr:col>
      <xdr:colOff>94989</xdr:colOff>
      <xdr:row>93</xdr:row>
      <xdr:rowOff>21186</xdr:rowOff>
    </xdr:to>
    <xdr:sp macro="" textlink="">
      <xdr:nvSpPr>
        <xdr:cNvPr id="87" name="Text Box 393">
          <a:extLst>
            <a:ext uri="{FF2B5EF4-FFF2-40B4-BE49-F238E27FC236}">
              <a16:creationId xmlns="" xmlns:a16="http://schemas.microsoft.com/office/drawing/2014/main" id="{00000000-0008-0000-2600-000057000000}"/>
            </a:ext>
          </a:extLst>
        </xdr:cNvPr>
        <xdr:cNvSpPr txBox="1">
          <a:spLocks noChangeArrowheads="1"/>
        </xdr:cNvSpPr>
      </xdr:nvSpPr>
      <xdr:spPr bwMode="auto">
        <a:xfrm>
          <a:off x="4791075" y="9620250"/>
          <a:ext cx="733425" cy="4095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tuyau PVC 160</a:t>
          </a:r>
        </a:p>
      </xdr:txBody>
    </xdr:sp>
    <xdr:clientData/>
  </xdr:twoCellAnchor>
  <xdr:twoCellAnchor>
    <xdr:from>
      <xdr:col>28</xdr:col>
      <xdr:colOff>50800</xdr:colOff>
      <xdr:row>94</xdr:row>
      <xdr:rowOff>57150</xdr:rowOff>
    </xdr:from>
    <xdr:to>
      <xdr:col>45</xdr:col>
      <xdr:colOff>38100</xdr:colOff>
      <xdr:row>98</xdr:row>
      <xdr:rowOff>38100</xdr:rowOff>
    </xdr:to>
    <xdr:sp macro="" textlink="">
      <xdr:nvSpPr>
        <xdr:cNvPr id="888215" name="Line 394">
          <a:extLst>
            <a:ext uri="{FF2B5EF4-FFF2-40B4-BE49-F238E27FC236}">
              <a16:creationId xmlns="" xmlns:a16="http://schemas.microsoft.com/office/drawing/2014/main" id="{00000000-0008-0000-2600-0000978D0D00}"/>
            </a:ext>
          </a:extLst>
        </xdr:cNvPr>
        <xdr:cNvSpPr>
          <a:spLocks noChangeShapeType="1"/>
        </xdr:cNvSpPr>
      </xdr:nvSpPr>
      <xdr:spPr bwMode="auto">
        <a:xfrm rot="10701805">
          <a:off x="3257550" y="9759950"/>
          <a:ext cx="1930400" cy="387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45</xdr:col>
      <xdr:colOff>0</xdr:colOff>
      <xdr:row>96</xdr:row>
      <xdr:rowOff>67945</xdr:rowOff>
    </xdr:from>
    <xdr:to>
      <xdr:col>56</xdr:col>
      <xdr:colOff>0</xdr:colOff>
      <xdr:row>100</xdr:row>
      <xdr:rowOff>202</xdr:rowOff>
    </xdr:to>
    <xdr:sp macro="" textlink="">
      <xdr:nvSpPr>
        <xdr:cNvPr id="89" name="Text Box 395">
          <a:extLst>
            <a:ext uri="{FF2B5EF4-FFF2-40B4-BE49-F238E27FC236}">
              <a16:creationId xmlns="" xmlns:a16="http://schemas.microsoft.com/office/drawing/2014/main" id="{00000000-0008-0000-2600-000059000000}"/>
            </a:ext>
          </a:extLst>
        </xdr:cNvPr>
        <xdr:cNvSpPr txBox="1">
          <a:spLocks noChangeArrowheads="1"/>
        </xdr:cNvSpPr>
      </xdr:nvSpPr>
      <xdr:spPr bwMode="auto">
        <a:xfrm>
          <a:off x="5181600" y="10334625"/>
          <a:ext cx="1257300" cy="4000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charpente en bois linzo 7cmx7cm</a:t>
          </a:r>
        </a:p>
      </xdr:txBody>
    </xdr:sp>
    <xdr:clientData/>
  </xdr:twoCellAnchor>
  <xdr:twoCellAnchor>
    <xdr:from>
      <xdr:col>33</xdr:col>
      <xdr:colOff>19050</xdr:colOff>
      <xdr:row>99</xdr:row>
      <xdr:rowOff>0</xdr:rowOff>
    </xdr:from>
    <xdr:to>
      <xdr:col>47</xdr:col>
      <xdr:colOff>0</xdr:colOff>
      <xdr:row>102</xdr:row>
      <xdr:rowOff>19050</xdr:rowOff>
    </xdr:to>
    <xdr:sp macro="" textlink="">
      <xdr:nvSpPr>
        <xdr:cNvPr id="888217" name="Line 396">
          <a:extLst>
            <a:ext uri="{FF2B5EF4-FFF2-40B4-BE49-F238E27FC236}">
              <a16:creationId xmlns="" xmlns:a16="http://schemas.microsoft.com/office/drawing/2014/main" id="{00000000-0008-0000-2600-0000998D0D00}"/>
            </a:ext>
          </a:extLst>
        </xdr:cNvPr>
        <xdr:cNvSpPr>
          <a:spLocks noChangeShapeType="1"/>
        </xdr:cNvSpPr>
      </xdr:nvSpPr>
      <xdr:spPr bwMode="auto">
        <a:xfrm rot="10800000">
          <a:off x="3797300" y="10210800"/>
          <a:ext cx="1581150" cy="323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47</xdr:col>
      <xdr:colOff>0</xdr:colOff>
      <xdr:row>102</xdr:row>
      <xdr:rowOff>0</xdr:rowOff>
    </xdr:from>
    <xdr:to>
      <xdr:col>58</xdr:col>
      <xdr:colOff>0</xdr:colOff>
      <xdr:row>107</xdr:row>
      <xdr:rowOff>0</xdr:rowOff>
    </xdr:to>
    <xdr:sp macro="" textlink="">
      <xdr:nvSpPr>
        <xdr:cNvPr id="91" name="Text Box 397">
          <a:extLst>
            <a:ext uri="{FF2B5EF4-FFF2-40B4-BE49-F238E27FC236}">
              <a16:creationId xmlns="" xmlns:a16="http://schemas.microsoft.com/office/drawing/2014/main" id="{00000000-0008-0000-2600-00005B000000}"/>
            </a:ext>
          </a:extLst>
        </xdr:cNvPr>
        <xdr:cNvSpPr txBox="1">
          <a:spLocks noChangeArrowheads="1"/>
        </xdr:cNvSpPr>
      </xdr:nvSpPr>
      <xdr:spPr bwMode="auto">
        <a:xfrm>
          <a:off x="5410200" y="10944225"/>
          <a:ext cx="1257300" cy="5238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Chainage en beton arme 350kg/m3 avec Fb 8mm HA</a:t>
          </a:r>
        </a:p>
      </xdr:txBody>
    </xdr:sp>
    <xdr:clientData/>
  </xdr:twoCellAnchor>
  <xdr:twoCellAnchor>
    <xdr:from>
      <xdr:col>46</xdr:col>
      <xdr:colOff>57150</xdr:colOff>
      <xdr:row>116</xdr:row>
      <xdr:rowOff>19050</xdr:rowOff>
    </xdr:from>
    <xdr:to>
      <xdr:col>53</xdr:col>
      <xdr:colOff>57150</xdr:colOff>
      <xdr:row>118</xdr:row>
      <xdr:rowOff>44450</xdr:rowOff>
    </xdr:to>
    <xdr:sp macro="" textlink="">
      <xdr:nvSpPr>
        <xdr:cNvPr id="888219" name="Line 398">
          <a:extLst>
            <a:ext uri="{FF2B5EF4-FFF2-40B4-BE49-F238E27FC236}">
              <a16:creationId xmlns="" xmlns:a16="http://schemas.microsoft.com/office/drawing/2014/main" id="{00000000-0008-0000-2600-00009B8D0D00}"/>
            </a:ext>
          </a:extLst>
        </xdr:cNvPr>
        <xdr:cNvSpPr>
          <a:spLocks noChangeShapeType="1"/>
        </xdr:cNvSpPr>
      </xdr:nvSpPr>
      <xdr:spPr bwMode="auto">
        <a:xfrm rot="10971210" flipV="1">
          <a:off x="5321300" y="11957050"/>
          <a:ext cx="800100"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52</xdr:col>
      <xdr:colOff>57784</xdr:colOff>
      <xdr:row>116</xdr:row>
      <xdr:rowOff>0</xdr:rowOff>
    </xdr:from>
    <xdr:to>
      <xdr:col>64</xdr:col>
      <xdr:colOff>114295</xdr:colOff>
      <xdr:row>121</xdr:row>
      <xdr:rowOff>0</xdr:rowOff>
    </xdr:to>
    <xdr:sp macro="" textlink="">
      <xdr:nvSpPr>
        <xdr:cNvPr id="93" name="Text Box 399">
          <a:extLst>
            <a:ext uri="{FF2B5EF4-FFF2-40B4-BE49-F238E27FC236}">
              <a16:creationId xmlns="" xmlns:a16="http://schemas.microsoft.com/office/drawing/2014/main" id="{00000000-0008-0000-2600-00005D000000}"/>
            </a:ext>
          </a:extLst>
        </xdr:cNvPr>
        <xdr:cNvSpPr txBox="1">
          <a:spLocks noChangeArrowheads="1"/>
        </xdr:cNvSpPr>
      </xdr:nvSpPr>
      <xdr:spPr bwMode="auto">
        <a:xfrm>
          <a:off x="6048374" y="12411075"/>
          <a:ext cx="1419225" cy="5238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drainage en brique cuite au</a:t>
          </a:r>
          <a:r>
            <a:rPr lang="fr-FR" sz="1000" b="0" i="0" strike="noStrike" baseline="0">
              <a:solidFill>
                <a:srgbClr val="000000"/>
              </a:solidFill>
              <a:latin typeface="Arial"/>
              <a:cs typeface="Arial"/>
            </a:rPr>
            <a:t> MC</a:t>
          </a:r>
          <a:r>
            <a:rPr lang="fr-FR" sz="1000" b="0" i="0" strike="noStrike">
              <a:solidFill>
                <a:srgbClr val="000000"/>
              </a:solidFill>
              <a:latin typeface="Arial"/>
              <a:cs typeface="Arial"/>
            </a:rPr>
            <a:t> 300kg/m3 </a:t>
          </a:r>
        </a:p>
      </xdr:txBody>
    </xdr:sp>
    <xdr:clientData/>
  </xdr:twoCellAnchor>
  <xdr:twoCellAnchor>
    <xdr:from>
      <xdr:col>41</xdr:col>
      <xdr:colOff>0</xdr:colOff>
      <xdr:row>134</xdr:row>
      <xdr:rowOff>31750</xdr:rowOff>
    </xdr:from>
    <xdr:to>
      <xdr:col>43</xdr:col>
      <xdr:colOff>19050</xdr:colOff>
      <xdr:row>135</xdr:row>
      <xdr:rowOff>31750</xdr:rowOff>
    </xdr:to>
    <xdr:sp macro="" textlink="">
      <xdr:nvSpPr>
        <xdr:cNvPr id="888221" name="Rectangle 401">
          <a:extLst>
            <a:ext uri="{FF2B5EF4-FFF2-40B4-BE49-F238E27FC236}">
              <a16:creationId xmlns="" xmlns:a16="http://schemas.microsoft.com/office/drawing/2014/main" id="{00000000-0008-0000-2600-00009D8D0D00}"/>
            </a:ext>
          </a:extLst>
        </xdr:cNvPr>
        <xdr:cNvSpPr>
          <a:spLocks noChangeArrowheads="1"/>
        </xdr:cNvSpPr>
      </xdr:nvSpPr>
      <xdr:spPr bwMode="auto">
        <a:xfrm>
          <a:off x="4692650" y="13798550"/>
          <a:ext cx="247650" cy="101600"/>
        </a:xfrm>
        <a:prstGeom prst="rect">
          <a:avLst/>
        </a:prstGeom>
        <a:solidFill>
          <a:srgbClr val="FFFFFF"/>
        </a:solidFill>
        <a:ln w="9525">
          <a:solidFill>
            <a:srgbClr val="000000"/>
          </a:solidFill>
          <a:miter lim="800000"/>
          <a:headEnd/>
          <a:tailEnd/>
        </a:ln>
      </xdr:spPr>
    </xdr:sp>
    <xdr:clientData/>
  </xdr:twoCellAnchor>
  <xdr:twoCellAnchor>
    <xdr:from>
      <xdr:col>41</xdr:col>
      <xdr:colOff>6350</xdr:colOff>
      <xdr:row>130</xdr:row>
      <xdr:rowOff>0</xdr:rowOff>
    </xdr:from>
    <xdr:to>
      <xdr:col>43</xdr:col>
      <xdr:colOff>6350</xdr:colOff>
      <xdr:row>131</xdr:row>
      <xdr:rowOff>0</xdr:rowOff>
    </xdr:to>
    <xdr:sp macro="" textlink="">
      <xdr:nvSpPr>
        <xdr:cNvPr id="888222" name="Rectangle 402">
          <a:extLst>
            <a:ext uri="{FF2B5EF4-FFF2-40B4-BE49-F238E27FC236}">
              <a16:creationId xmlns="" xmlns:a16="http://schemas.microsoft.com/office/drawing/2014/main" id="{00000000-0008-0000-2600-00009E8D0D00}"/>
            </a:ext>
          </a:extLst>
        </xdr:cNvPr>
        <xdr:cNvSpPr>
          <a:spLocks noChangeArrowheads="1"/>
        </xdr:cNvSpPr>
      </xdr:nvSpPr>
      <xdr:spPr bwMode="auto">
        <a:xfrm>
          <a:off x="4699000" y="13360400"/>
          <a:ext cx="228600" cy="101600"/>
        </a:xfrm>
        <a:prstGeom prst="rect">
          <a:avLst/>
        </a:prstGeom>
        <a:solidFill>
          <a:srgbClr val="FFFFFF"/>
        </a:solidFill>
        <a:ln w="9525">
          <a:solidFill>
            <a:srgbClr val="000000"/>
          </a:solidFill>
          <a:miter lim="800000"/>
          <a:headEnd/>
          <a:tailEnd/>
        </a:ln>
      </xdr:spPr>
    </xdr:sp>
    <xdr:clientData/>
  </xdr:twoCellAnchor>
  <xdr:twoCellAnchor>
    <xdr:from>
      <xdr:col>41</xdr:col>
      <xdr:colOff>0</xdr:colOff>
      <xdr:row>125</xdr:row>
      <xdr:rowOff>0</xdr:rowOff>
    </xdr:from>
    <xdr:to>
      <xdr:col>43</xdr:col>
      <xdr:colOff>19050</xdr:colOff>
      <xdr:row>126</xdr:row>
      <xdr:rowOff>0</xdr:rowOff>
    </xdr:to>
    <xdr:sp macro="" textlink="">
      <xdr:nvSpPr>
        <xdr:cNvPr id="888223" name="Rectangle 403">
          <a:extLst>
            <a:ext uri="{FF2B5EF4-FFF2-40B4-BE49-F238E27FC236}">
              <a16:creationId xmlns="" xmlns:a16="http://schemas.microsoft.com/office/drawing/2014/main" id="{00000000-0008-0000-2600-00009F8D0D00}"/>
            </a:ext>
          </a:extLst>
        </xdr:cNvPr>
        <xdr:cNvSpPr>
          <a:spLocks noChangeArrowheads="1"/>
        </xdr:cNvSpPr>
      </xdr:nvSpPr>
      <xdr:spPr bwMode="auto">
        <a:xfrm>
          <a:off x="4692650" y="12852400"/>
          <a:ext cx="247650" cy="101600"/>
        </a:xfrm>
        <a:prstGeom prst="rect">
          <a:avLst/>
        </a:prstGeom>
        <a:solidFill>
          <a:srgbClr val="FFFFFF"/>
        </a:solidFill>
        <a:ln w="9525">
          <a:solidFill>
            <a:srgbClr val="000000"/>
          </a:solidFill>
          <a:miter lim="800000"/>
          <a:headEnd/>
          <a:tailEnd/>
        </a:ln>
      </xdr:spPr>
    </xdr:sp>
    <xdr:clientData/>
  </xdr:twoCellAnchor>
  <xdr:twoCellAnchor>
    <xdr:from>
      <xdr:col>19</xdr:col>
      <xdr:colOff>88900</xdr:colOff>
      <xdr:row>134</xdr:row>
      <xdr:rowOff>31750</xdr:rowOff>
    </xdr:from>
    <xdr:to>
      <xdr:col>21</xdr:col>
      <xdr:colOff>63500</xdr:colOff>
      <xdr:row>135</xdr:row>
      <xdr:rowOff>31750</xdr:rowOff>
    </xdr:to>
    <xdr:sp macro="" textlink="">
      <xdr:nvSpPr>
        <xdr:cNvPr id="888224" name="Rectangle 405">
          <a:extLst>
            <a:ext uri="{FF2B5EF4-FFF2-40B4-BE49-F238E27FC236}">
              <a16:creationId xmlns="" xmlns:a16="http://schemas.microsoft.com/office/drawing/2014/main" id="{00000000-0008-0000-2600-0000A08D0D00}"/>
            </a:ext>
          </a:extLst>
        </xdr:cNvPr>
        <xdr:cNvSpPr>
          <a:spLocks noChangeArrowheads="1"/>
        </xdr:cNvSpPr>
      </xdr:nvSpPr>
      <xdr:spPr bwMode="auto">
        <a:xfrm>
          <a:off x="2266950" y="13798550"/>
          <a:ext cx="203200" cy="101600"/>
        </a:xfrm>
        <a:prstGeom prst="rect">
          <a:avLst/>
        </a:prstGeom>
        <a:solidFill>
          <a:srgbClr val="FFFFFF"/>
        </a:solidFill>
        <a:ln w="9525">
          <a:solidFill>
            <a:srgbClr val="000000"/>
          </a:solidFill>
          <a:miter lim="800000"/>
          <a:headEnd/>
          <a:tailEnd/>
        </a:ln>
      </xdr:spPr>
    </xdr:sp>
    <xdr:clientData/>
  </xdr:twoCellAnchor>
  <xdr:twoCellAnchor>
    <xdr:from>
      <xdr:col>20</xdr:col>
      <xdr:colOff>0</xdr:colOff>
      <xdr:row>130</xdr:row>
      <xdr:rowOff>0</xdr:rowOff>
    </xdr:from>
    <xdr:to>
      <xdr:col>21</xdr:col>
      <xdr:colOff>63500</xdr:colOff>
      <xdr:row>131</xdr:row>
      <xdr:rowOff>0</xdr:rowOff>
    </xdr:to>
    <xdr:sp macro="" textlink="">
      <xdr:nvSpPr>
        <xdr:cNvPr id="888225" name="Rectangle 406">
          <a:extLst>
            <a:ext uri="{FF2B5EF4-FFF2-40B4-BE49-F238E27FC236}">
              <a16:creationId xmlns="" xmlns:a16="http://schemas.microsoft.com/office/drawing/2014/main" id="{00000000-0008-0000-2600-0000A18D0D00}"/>
            </a:ext>
          </a:extLst>
        </xdr:cNvPr>
        <xdr:cNvSpPr>
          <a:spLocks noChangeArrowheads="1"/>
        </xdr:cNvSpPr>
      </xdr:nvSpPr>
      <xdr:spPr bwMode="auto">
        <a:xfrm>
          <a:off x="2292350" y="13360400"/>
          <a:ext cx="177800" cy="101600"/>
        </a:xfrm>
        <a:prstGeom prst="rect">
          <a:avLst/>
        </a:prstGeom>
        <a:solidFill>
          <a:srgbClr val="FFFFFF"/>
        </a:solidFill>
        <a:ln w="9525">
          <a:solidFill>
            <a:srgbClr val="000000"/>
          </a:solidFill>
          <a:miter lim="800000"/>
          <a:headEnd/>
          <a:tailEnd/>
        </a:ln>
      </xdr:spPr>
    </xdr:sp>
    <xdr:clientData/>
  </xdr:twoCellAnchor>
  <xdr:twoCellAnchor>
    <xdr:from>
      <xdr:col>19</xdr:col>
      <xdr:colOff>88900</xdr:colOff>
      <xdr:row>125</xdr:row>
      <xdr:rowOff>0</xdr:rowOff>
    </xdr:from>
    <xdr:to>
      <xdr:col>21</xdr:col>
      <xdr:colOff>63500</xdr:colOff>
      <xdr:row>126</xdr:row>
      <xdr:rowOff>0</xdr:rowOff>
    </xdr:to>
    <xdr:sp macro="" textlink="">
      <xdr:nvSpPr>
        <xdr:cNvPr id="888226" name="Rectangle 407">
          <a:extLst>
            <a:ext uri="{FF2B5EF4-FFF2-40B4-BE49-F238E27FC236}">
              <a16:creationId xmlns="" xmlns:a16="http://schemas.microsoft.com/office/drawing/2014/main" id="{00000000-0008-0000-2600-0000A28D0D00}"/>
            </a:ext>
          </a:extLst>
        </xdr:cNvPr>
        <xdr:cNvSpPr>
          <a:spLocks noChangeArrowheads="1"/>
        </xdr:cNvSpPr>
      </xdr:nvSpPr>
      <xdr:spPr bwMode="auto">
        <a:xfrm>
          <a:off x="2266950" y="12852400"/>
          <a:ext cx="203200" cy="101600"/>
        </a:xfrm>
        <a:prstGeom prst="rect">
          <a:avLst/>
        </a:prstGeom>
        <a:solidFill>
          <a:srgbClr val="FFFFFF"/>
        </a:solidFill>
        <a:ln w="9525">
          <a:solidFill>
            <a:srgbClr val="000000"/>
          </a:solidFill>
          <a:miter lim="800000"/>
          <a:headEnd/>
          <a:tailEnd/>
        </a:ln>
      </xdr:spPr>
    </xdr:sp>
    <xdr:clientData/>
  </xdr:twoCellAnchor>
  <xdr:twoCellAnchor>
    <xdr:from>
      <xdr:col>21</xdr:col>
      <xdr:colOff>57150</xdr:colOff>
      <xdr:row>114</xdr:row>
      <xdr:rowOff>0</xdr:rowOff>
    </xdr:from>
    <xdr:to>
      <xdr:col>32</xdr:col>
      <xdr:colOff>0</xdr:colOff>
      <xdr:row>114</xdr:row>
      <xdr:rowOff>0</xdr:rowOff>
    </xdr:to>
    <xdr:sp macro="" textlink="">
      <xdr:nvSpPr>
        <xdr:cNvPr id="888227" name="Line 410">
          <a:extLst>
            <a:ext uri="{FF2B5EF4-FFF2-40B4-BE49-F238E27FC236}">
              <a16:creationId xmlns="" xmlns:a16="http://schemas.microsoft.com/office/drawing/2014/main" id="{00000000-0008-0000-2600-0000A38D0D00}"/>
            </a:ext>
          </a:extLst>
        </xdr:cNvPr>
        <xdr:cNvSpPr>
          <a:spLocks noChangeShapeType="1"/>
        </xdr:cNvSpPr>
      </xdr:nvSpPr>
      <xdr:spPr bwMode="auto">
        <a:xfrm>
          <a:off x="2463800" y="11734800"/>
          <a:ext cx="12001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24</xdr:col>
      <xdr:colOff>20321</xdr:colOff>
      <xdr:row>112</xdr:row>
      <xdr:rowOff>64135</xdr:rowOff>
    </xdr:from>
    <xdr:to>
      <xdr:col>67</xdr:col>
      <xdr:colOff>20321</xdr:colOff>
      <xdr:row>119</xdr:row>
      <xdr:rowOff>63068</xdr:rowOff>
    </xdr:to>
    <xdr:sp macro="" textlink="">
      <xdr:nvSpPr>
        <xdr:cNvPr id="101" name="Text Box 411">
          <a:extLst>
            <a:ext uri="{FF2B5EF4-FFF2-40B4-BE49-F238E27FC236}">
              <a16:creationId xmlns="" xmlns:a16="http://schemas.microsoft.com/office/drawing/2014/main" id="{00000000-0008-0000-2600-000065000000}"/>
            </a:ext>
          </a:extLst>
        </xdr:cNvPr>
        <xdr:cNvSpPr txBox="1">
          <a:spLocks noChangeArrowheads="1"/>
        </xdr:cNvSpPr>
      </xdr:nvSpPr>
      <xdr:spPr bwMode="auto">
        <a:xfrm flipV="1">
          <a:off x="2809876" y="12039600"/>
          <a:ext cx="4914900" cy="7715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120</a:t>
          </a:r>
        </a:p>
      </xdr:txBody>
    </xdr:sp>
    <xdr:clientData/>
  </xdr:twoCellAnchor>
  <xdr:twoCellAnchor>
    <xdr:from>
      <xdr:col>22</xdr:col>
      <xdr:colOff>57150</xdr:colOff>
      <xdr:row>141</xdr:row>
      <xdr:rowOff>57150</xdr:rowOff>
    </xdr:from>
    <xdr:to>
      <xdr:col>39</xdr:col>
      <xdr:colOff>76200</xdr:colOff>
      <xdr:row>143</xdr:row>
      <xdr:rowOff>0</xdr:rowOff>
    </xdr:to>
    <xdr:sp macro="" textlink="">
      <xdr:nvSpPr>
        <xdr:cNvPr id="888229" name="Rectangle 412">
          <a:extLst>
            <a:ext uri="{FF2B5EF4-FFF2-40B4-BE49-F238E27FC236}">
              <a16:creationId xmlns="" xmlns:a16="http://schemas.microsoft.com/office/drawing/2014/main" id="{00000000-0008-0000-2600-0000A58D0D00}"/>
            </a:ext>
          </a:extLst>
        </xdr:cNvPr>
        <xdr:cNvSpPr>
          <a:spLocks noChangeArrowheads="1"/>
        </xdr:cNvSpPr>
      </xdr:nvSpPr>
      <xdr:spPr bwMode="auto">
        <a:xfrm>
          <a:off x="2578100" y="14535150"/>
          <a:ext cx="1962150" cy="146050"/>
        </a:xfrm>
        <a:prstGeom prst="rect">
          <a:avLst/>
        </a:prstGeom>
        <a:solidFill>
          <a:srgbClr val="FFFFFF"/>
        </a:solidFill>
        <a:ln w="9525">
          <a:solidFill>
            <a:srgbClr val="000000"/>
          </a:solidFill>
          <a:miter lim="800000"/>
          <a:headEnd/>
          <a:tailEnd/>
        </a:ln>
      </xdr:spPr>
    </xdr:sp>
    <xdr:clientData/>
  </xdr:twoCellAnchor>
  <xdr:twoCellAnchor>
    <xdr:from>
      <xdr:col>19</xdr:col>
      <xdr:colOff>19050</xdr:colOff>
      <xdr:row>146</xdr:row>
      <xdr:rowOff>0</xdr:rowOff>
    </xdr:from>
    <xdr:to>
      <xdr:col>22</xdr:col>
      <xdr:colOff>63500</xdr:colOff>
      <xdr:row>146</xdr:row>
      <xdr:rowOff>0</xdr:rowOff>
    </xdr:to>
    <xdr:sp macro="" textlink="">
      <xdr:nvSpPr>
        <xdr:cNvPr id="888230" name="Line 413">
          <a:extLst>
            <a:ext uri="{FF2B5EF4-FFF2-40B4-BE49-F238E27FC236}">
              <a16:creationId xmlns="" xmlns:a16="http://schemas.microsoft.com/office/drawing/2014/main" id="{00000000-0008-0000-2600-0000A68D0D00}"/>
            </a:ext>
          </a:extLst>
        </xdr:cNvPr>
        <xdr:cNvSpPr>
          <a:spLocks noChangeShapeType="1"/>
        </xdr:cNvSpPr>
      </xdr:nvSpPr>
      <xdr:spPr bwMode="auto">
        <a:xfrm>
          <a:off x="2197100" y="14986000"/>
          <a:ext cx="3873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39</xdr:col>
      <xdr:colOff>38100</xdr:colOff>
      <xdr:row>146</xdr:row>
      <xdr:rowOff>0</xdr:rowOff>
    </xdr:from>
    <xdr:to>
      <xdr:col>43</xdr:col>
      <xdr:colOff>57150</xdr:colOff>
      <xdr:row>146</xdr:row>
      <xdr:rowOff>0</xdr:rowOff>
    </xdr:to>
    <xdr:sp macro="" textlink="">
      <xdr:nvSpPr>
        <xdr:cNvPr id="888231" name="Line 416">
          <a:extLst>
            <a:ext uri="{FF2B5EF4-FFF2-40B4-BE49-F238E27FC236}">
              <a16:creationId xmlns="" xmlns:a16="http://schemas.microsoft.com/office/drawing/2014/main" id="{00000000-0008-0000-2600-0000A78D0D00}"/>
            </a:ext>
          </a:extLst>
        </xdr:cNvPr>
        <xdr:cNvSpPr>
          <a:spLocks noChangeShapeType="1"/>
        </xdr:cNvSpPr>
      </xdr:nvSpPr>
      <xdr:spPr bwMode="auto">
        <a:xfrm>
          <a:off x="4502150" y="14986000"/>
          <a:ext cx="4762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63500</xdr:colOff>
      <xdr:row>141</xdr:row>
      <xdr:rowOff>19050</xdr:rowOff>
    </xdr:from>
    <xdr:to>
      <xdr:col>17</xdr:col>
      <xdr:colOff>63500</xdr:colOff>
      <xdr:row>144</xdr:row>
      <xdr:rowOff>38100</xdr:rowOff>
    </xdr:to>
    <xdr:sp macro="" textlink="">
      <xdr:nvSpPr>
        <xdr:cNvPr id="888232" name="Line 420">
          <a:extLst>
            <a:ext uri="{FF2B5EF4-FFF2-40B4-BE49-F238E27FC236}">
              <a16:creationId xmlns="" xmlns:a16="http://schemas.microsoft.com/office/drawing/2014/main" id="{00000000-0008-0000-2600-0000A88D0D00}"/>
            </a:ext>
          </a:extLst>
        </xdr:cNvPr>
        <xdr:cNvSpPr>
          <a:spLocks noChangeShapeType="1"/>
        </xdr:cNvSpPr>
      </xdr:nvSpPr>
      <xdr:spPr bwMode="auto">
        <a:xfrm>
          <a:off x="2012950" y="14497050"/>
          <a:ext cx="0" cy="3238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43</xdr:col>
      <xdr:colOff>57150</xdr:colOff>
      <xdr:row>143</xdr:row>
      <xdr:rowOff>0</xdr:rowOff>
    </xdr:from>
    <xdr:to>
      <xdr:col>52</xdr:col>
      <xdr:colOff>0</xdr:colOff>
      <xdr:row>143</xdr:row>
      <xdr:rowOff>6350</xdr:rowOff>
    </xdr:to>
    <xdr:sp macro="" textlink="">
      <xdr:nvSpPr>
        <xdr:cNvPr id="888233" name="Line 422">
          <a:extLst>
            <a:ext uri="{FF2B5EF4-FFF2-40B4-BE49-F238E27FC236}">
              <a16:creationId xmlns="" xmlns:a16="http://schemas.microsoft.com/office/drawing/2014/main" id="{00000000-0008-0000-2600-0000A98D0D00}"/>
            </a:ext>
          </a:extLst>
        </xdr:cNvPr>
        <xdr:cNvSpPr>
          <a:spLocks noChangeShapeType="1"/>
        </xdr:cNvSpPr>
      </xdr:nvSpPr>
      <xdr:spPr bwMode="auto">
        <a:xfrm rot="-10731254">
          <a:off x="4978400" y="14681200"/>
          <a:ext cx="971550" cy="6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47</xdr:col>
      <xdr:colOff>95249</xdr:colOff>
      <xdr:row>142</xdr:row>
      <xdr:rowOff>0</xdr:rowOff>
    </xdr:from>
    <xdr:to>
      <xdr:col>58</xdr:col>
      <xdr:colOff>722</xdr:colOff>
      <xdr:row>148</xdr:row>
      <xdr:rowOff>757</xdr:rowOff>
    </xdr:to>
    <xdr:sp macro="" textlink="">
      <xdr:nvSpPr>
        <xdr:cNvPr id="107" name="Text Box 424">
          <a:extLst>
            <a:ext uri="{FF2B5EF4-FFF2-40B4-BE49-F238E27FC236}">
              <a16:creationId xmlns="" xmlns:a16="http://schemas.microsoft.com/office/drawing/2014/main" id="{00000000-0008-0000-2600-00006B000000}"/>
            </a:ext>
          </a:extLst>
        </xdr:cNvPr>
        <xdr:cNvSpPr txBox="1">
          <a:spLocks noChangeArrowheads="1"/>
        </xdr:cNvSpPr>
      </xdr:nvSpPr>
      <xdr:spPr bwMode="auto">
        <a:xfrm>
          <a:off x="5524499" y="15135225"/>
          <a:ext cx="1152525" cy="6381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Semelle en beton 250kg/m3</a:t>
          </a:r>
          <a:r>
            <a:rPr lang="fr-FR" sz="1000" b="0" i="0" strike="noStrike" baseline="0">
              <a:solidFill>
                <a:srgbClr val="000000"/>
              </a:solidFill>
              <a:latin typeface="Arial"/>
              <a:cs typeface="Arial"/>
            </a:rPr>
            <a:t> avec coffrage en briques</a:t>
          </a:r>
          <a:endParaRPr lang="fr-FR" sz="1000" b="0" i="0" strike="noStrike">
            <a:solidFill>
              <a:srgbClr val="000000"/>
            </a:solidFill>
            <a:latin typeface="Arial"/>
            <a:cs typeface="Arial"/>
          </a:endParaRPr>
        </a:p>
      </xdr:txBody>
    </xdr:sp>
    <xdr:clientData/>
  </xdr:twoCellAnchor>
  <xdr:twoCellAnchor>
    <xdr:from>
      <xdr:col>28</xdr:col>
      <xdr:colOff>0</xdr:colOff>
      <xdr:row>117</xdr:row>
      <xdr:rowOff>19050</xdr:rowOff>
    </xdr:from>
    <xdr:to>
      <xdr:col>34</xdr:col>
      <xdr:colOff>0</xdr:colOff>
      <xdr:row>118</xdr:row>
      <xdr:rowOff>69850</xdr:rowOff>
    </xdr:to>
    <xdr:sp macro="" textlink="">
      <xdr:nvSpPr>
        <xdr:cNvPr id="888235" name="Rectangle 425" descr="Recycled paper">
          <a:extLst>
            <a:ext uri="{FF2B5EF4-FFF2-40B4-BE49-F238E27FC236}">
              <a16:creationId xmlns="" xmlns:a16="http://schemas.microsoft.com/office/drawing/2014/main" id="{00000000-0008-0000-2600-0000AB8D0D00}"/>
            </a:ext>
          </a:extLst>
        </xdr:cNvPr>
        <xdr:cNvSpPr>
          <a:spLocks noChangeArrowheads="1"/>
        </xdr:cNvSpPr>
      </xdr:nvSpPr>
      <xdr:spPr bwMode="auto">
        <a:xfrm>
          <a:off x="3206750" y="12058650"/>
          <a:ext cx="685800" cy="152400"/>
        </a:xfrm>
        <a:prstGeom prst="rect">
          <a:avLst/>
        </a:prstGeom>
        <a:blipFill dpi="0" rotWithShape="0">
          <a:blip xmlns:r="http://schemas.openxmlformats.org/officeDocument/2006/relationships" r:embed="rId7"/>
          <a:srcRect/>
          <a:tile tx="0" ty="0" sx="100000" sy="100000" flip="none" algn="tl"/>
        </a:blipFill>
        <a:ln w="9525">
          <a:solidFill>
            <a:srgbClr val="000000"/>
          </a:solidFill>
          <a:miter lim="800000"/>
          <a:headEnd/>
          <a:tailEnd/>
        </a:ln>
      </xdr:spPr>
    </xdr:sp>
    <xdr:clientData/>
  </xdr:twoCellAnchor>
  <xdr:twoCellAnchor>
    <xdr:from>
      <xdr:col>39</xdr:col>
      <xdr:colOff>63500</xdr:colOff>
      <xdr:row>141</xdr:row>
      <xdr:rowOff>0</xdr:rowOff>
    </xdr:from>
    <xdr:to>
      <xdr:col>43</xdr:col>
      <xdr:colOff>57150</xdr:colOff>
      <xdr:row>144</xdr:row>
      <xdr:rowOff>0</xdr:rowOff>
    </xdr:to>
    <xdr:sp macro="" textlink="">
      <xdr:nvSpPr>
        <xdr:cNvPr id="888236" name="Rectangle 426" descr="Recycled paper">
          <a:extLst>
            <a:ext uri="{FF2B5EF4-FFF2-40B4-BE49-F238E27FC236}">
              <a16:creationId xmlns="" xmlns:a16="http://schemas.microsoft.com/office/drawing/2014/main" id="{00000000-0008-0000-2600-0000AC8D0D00}"/>
            </a:ext>
          </a:extLst>
        </xdr:cNvPr>
        <xdr:cNvSpPr>
          <a:spLocks noChangeArrowheads="1"/>
        </xdr:cNvSpPr>
      </xdr:nvSpPr>
      <xdr:spPr bwMode="auto">
        <a:xfrm>
          <a:off x="4527550" y="14478000"/>
          <a:ext cx="450850" cy="304800"/>
        </a:xfrm>
        <a:prstGeom prst="rect">
          <a:avLst/>
        </a:prstGeom>
        <a:blipFill dpi="0" rotWithShape="0">
          <a:blip xmlns:r="http://schemas.openxmlformats.org/officeDocument/2006/relationships" r:embed="rId7"/>
          <a:srcRect/>
          <a:tile tx="0" ty="0" sx="100000" sy="100000" flip="none" algn="tl"/>
        </a:blipFill>
        <a:ln w="9525">
          <a:solidFill>
            <a:srgbClr val="000000"/>
          </a:solidFill>
          <a:miter lim="800000"/>
          <a:headEnd/>
          <a:tailEnd/>
        </a:ln>
      </xdr:spPr>
    </xdr:sp>
    <xdr:clientData/>
  </xdr:twoCellAnchor>
  <xdr:twoCellAnchor>
    <xdr:from>
      <xdr:col>19</xdr:col>
      <xdr:colOff>0</xdr:colOff>
      <xdr:row>141</xdr:row>
      <xdr:rowOff>19050</xdr:rowOff>
    </xdr:from>
    <xdr:to>
      <xdr:col>22</xdr:col>
      <xdr:colOff>76200</xdr:colOff>
      <xdr:row>144</xdr:row>
      <xdr:rowOff>0</xdr:rowOff>
    </xdr:to>
    <xdr:sp macro="" textlink="">
      <xdr:nvSpPr>
        <xdr:cNvPr id="888237" name="Rectangle 427" descr="Recycled paper">
          <a:extLst>
            <a:ext uri="{FF2B5EF4-FFF2-40B4-BE49-F238E27FC236}">
              <a16:creationId xmlns="" xmlns:a16="http://schemas.microsoft.com/office/drawing/2014/main" id="{00000000-0008-0000-2600-0000AD8D0D00}"/>
            </a:ext>
          </a:extLst>
        </xdr:cNvPr>
        <xdr:cNvSpPr>
          <a:spLocks noChangeArrowheads="1"/>
        </xdr:cNvSpPr>
      </xdr:nvSpPr>
      <xdr:spPr bwMode="auto">
        <a:xfrm>
          <a:off x="2178050" y="14497050"/>
          <a:ext cx="419100" cy="285750"/>
        </a:xfrm>
        <a:prstGeom prst="rect">
          <a:avLst/>
        </a:prstGeom>
        <a:blipFill dpi="0" rotWithShape="0">
          <a:blip xmlns:r="http://schemas.openxmlformats.org/officeDocument/2006/relationships" r:embed="rId7"/>
          <a:srcRect/>
          <a:tile tx="0" ty="0" sx="100000" sy="100000" flip="none" algn="tl"/>
        </a:blipFill>
        <a:ln w="9525">
          <a:solidFill>
            <a:srgbClr val="000000"/>
          </a:solidFill>
          <a:miter lim="800000"/>
          <a:headEnd/>
          <a:tailEnd/>
        </a:ln>
      </xdr:spPr>
    </xdr:sp>
    <xdr:clientData/>
  </xdr:twoCellAnchor>
  <xdr:twoCellAnchor>
    <xdr:from>
      <xdr:col>20</xdr:col>
      <xdr:colOff>0</xdr:colOff>
      <xdr:row>117</xdr:row>
      <xdr:rowOff>38100</xdr:rowOff>
    </xdr:from>
    <xdr:to>
      <xdr:col>26</xdr:col>
      <xdr:colOff>0</xdr:colOff>
      <xdr:row>119</xdr:row>
      <xdr:rowOff>0</xdr:rowOff>
    </xdr:to>
    <xdr:sp macro="" textlink="">
      <xdr:nvSpPr>
        <xdr:cNvPr id="888238" name="Rectangle 428" descr="Recycled paper">
          <a:extLst>
            <a:ext uri="{FF2B5EF4-FFF2-40B4-BE49-F238E27FC236}">
              <a16:creationId xmlns="" xmlns:a16="http://schemas.microsoft.com/office/drawing/2014/main" id="{00000000-0008-0000-2600-0000AE8D0D00}"/>
            </a:ext>
          </a:extLst>
        </xdr:cNvPr>
        <xdr:cNvSpPr>
          <a:spLocks noChangeArrowheads="1"/>
        </xdr:cNvSpPr>
      </xdr:nvSpPr>
      <xdr:spPr bwMode="auto">
        <a:xfrm>
          <a:off x="2292350" y="12077700"/>
          <a:ext cx="685800" cy="165100"/>
        </a:xfrm>
        <a:prstGeom prst="rect">
          <a:avLst/>
        </a:prstGeom>
        <a:blipFill dpi="0" rotWithShape="0">
          <a:blip xmlns:r="http://schemas.openxmlformats.org/officeDocument/2006/relationships" r:embed="rId7"/>
          <a:srcRect/>
          <a:tile tx="0" ty="0" sx="100000" sy="100000" flip="none" algn="tl"/>
        </a:blipFill>
        <a:ln w="9525">
          <a:solidFill>
            <a:srgbClr val="000000"/>
          </a:solidFill>
          <a:miter lim="800000"/>
          <a:headEnd/>
          <a:tailEnd/>
        </a:ln>
      </xdr:spPr>
    </xdr:sp>
    <xdr:clientData/>
  </xdr:twoCellAnchor>
  <xdr:twoCellAnchor>
    <xdr:from>
      <xdr:col>35</xdr:col>
      <xdr:colOff>0</xdr:colOff>
      <xdr:row>117</xdr:row>
      <xdr:rowOff>31750</xdr:rowOff>
    </xdr:from>
    <xdr:to>
      <xdr:col>43</xdr:col>
      <xdr:colOff>0</xdr:colOff>
      <xdr:row>118</xdr:row>
      <xdr:rowOff>57150</xdr:rowOff>
    </xdr:to>
    <xdr:sp macro="" textlink="">
      <xdr:nvSpPr>
        <xdr:cNvPr id="888239" name="Rectangle 429" descr="Recycled paper">
          <a:extLst>
            <a:ext uri="{FF2B5EF4-FFF2-40B4-BE49-F238E27FC236}">
              <a16:creationId xmlns="" xmlns:a16="http://schemas.microsoft.com/office/drawing/2014/main" id="{00000000-0008-0000-2600-0000AF8D0D00}"/>
            </a:ext>
          </a:extLst>
        </xdr:cNvPr>
        <xdr:cNvSpPr>
          <a:spLocks noChangeArrowheads="1"/>
        </xdr:cNvSpPr>
      </xdr:nvSpPr>
      <xdr:spPr bwMode="auto">
        <a:xfrm>
          <a:off x="4006850" y="12071350"/>
          <a:ext cx="914400" cy="127000"/>
        </a:xfrm>
        <a:prstGeom prst="rect">
          <a:avLst/>
        </a:prstGeom>
        <a:blipFill dpi="0" rotWithShape="0">
          <a:blip xmlns:r="http://schemas.openxmlformats.org/officeDocument/2006/relationships" r:embed="rId7"/>
          <a:srcRect/>
          <a:tile tx="0" ty="0" sx="100000" sy="100000" flip="none" algn="tl"/>
        </a:blipFill>
        <a:ln w="9525">
          <a:solidFill>
            <a:srgbClr val="000000"/>
          </a:solidFill>
          <a:miter lim="800000"/>
          <a:headEnd/>
          <a:tailEnd/>
        </a:ln>
      </xdr:spPr>
    </xdr:sp>
    <xdr:clientData/>
  </xdr:twoCellAnchor>
  <xdr:twoCellAnchor>
    <xdr:from>
      <xdr:col>20</xdr:col>
      <xdr:colOff>0</xdr:colOff>
      <xdr:row>98</xdr:row>
      <xdr:rowOff>19050</xdr:rowOff>
    </xdr:from>
    <xdr:to>
      <xdr:col>21</xdr:col>
      <xdr:colOff>57150</xdr:colOff>
      <xdr:row>99</xdr:row>
      <xdr:rowOff>69850</xdr:rowOff>
    </xdr:to>
    <xdr:sp macro="" textlink="">
      <xdr:nvSpPr>
        <xdr:cNvPr id="888240" name="Rectangle 431" descr="Recycled paper">
          <a:extLst>
            <a:ext uri="{FF2B5EF4-FFF2-40B4-BE49-F238E27FC236}">
              <a16:creationId xmlns="" xmlns:a16="http://schemas.microsoft.com/office/drawing/2014/main" id="{00000000-0008-0000-2600-0000B08D0D00}"/>
            </a:ext>
          </a:extLst>
        </xdr:cNvPr>
        <xdr:cNvSpPr>
          <a:spLocks noChangeArrowheads="1"/>
        </xdr:cNvSpPr>
      </xdr:nvSpPr>
      <xdr:spPr bwMode="auto">
        <a:xfrm>
          <a:off x="2292350" y="10128250"/>
          <a:ext cx="171450" cy="152400"/>
        </a:xfrm>
        <a:prstGeom prst="rect">
          <a:avLst/>
        </a:prstGeom>
        <a:blipFill dpi="0" rotWithShape="0">
          <a:blip xmlns:r="http://schemas.openxmlformats.org/officeDocument/2006/relationships" r:embed="rId7"/>
          <a:srcRect/>
          <a:tile tx="0" ty="0" sx="100000" sy="100000" flip="none" algn="tl"/>
        </a:blipFill>
        <a:ln w="9525">
          <a:solidFill>
            <a:srgbClr val="000000"/>
          </a:solidFill>
          <a:miter lim="800000"/>
          <a:headEnd/>
          <a:tailEnd/>
        </a:ln>
      </xdr:spPr>
    </xdr:sp>
    <xdr:clientData/>
  </xdr:twoCellAnchor>
  <xdr:twoCellAnchor>
    <xdr:from>
      <xdr:col>31</xdr:col>
      <xdr:colOff>76200</xdr:colOff>
      <xdr:row>98</xdr:row>
      <xdr:rowOff>19050</xdr:rowOff>
    </xdr:from>
    <xdr:to>
      <xdr:col>33</xdr:col>
      <xdr:colOff>38100</xdr:colOff>
      <xdr:row>99</xdr:row>
      <xdr:rowOff>69850</xdr:rowOff>
    </xdr:to>
    <xdr:sp macro="" textlink="">
      <xdr:nvSpPr>
        <xdr:cNvPr id="888241" name="Rectangle 432" descr="Recycled paper">
          <a:extLst>
            <a:ext uri="{FF2B5EF4-FFF2-40B4-BE49-F238E27FC236}">
              <a16:creationId xmlns="" xmlns:a16="http://schemas.microsoft.com/office/drawing/2014/main" id="{00000000-0008-0000-2600-0000B18D0D00}"/>
            </a:ext>
          </a:extLst>
        </xdr:cNvPr>
        <xdr:cNvSpPr>
          <a:spLocks noChangeArrowheads="1"/>
        </xdr:cNvSpPr>
      </xdr:nvSpPr>
      <xdr:spPr bwMode="auto">
        <a:xfrm>
          <a:off x="3625850" y="10128250"/>
          <a:ext cx="190500" cy="152400"/>
        </a:xfrm>
        <a:prstGeom prst="rect">
          <a:avLst/>
        </a:prstGeom>
        <a:blipFill dpi="0" rotWithShape="0">
          <a:blip xmlns:r="http://schemas.openxmlformats.org/officeDocument/2006/relationships" r:embed="rId7"/>
          <a:srcRect/>
          <a:tile tx="0" ty="0" sx="100000" sy="100000" flip="none" algn="tl"/>
        </a:blipFill>
        <a:ln w="9525">
          <a:solidFill>
            <a:srgbClr val="000000"/>
          </a:solidFill>
          <a:miter lim="800000"/>
          <a:headEnd/>
          <a:tailEnd/>
        </a:ln>
      </xdr:spPr>
    </xdr:sp>
    <xdr:clientData/>
  </xdr:twoCellAnchor>
  <xdr:twoCellAnchor>
    <xdr:from>
      <xdr:col>22</xdr:col>
      <xdr:colOff>76200</xdr:colOff>
      <xdr:row>141</xdr:row>
      <xdr:rowOff>69850</xdr:rowOff>
    </xdr:from>
    <xdr:to>
      <xdr:col>39</xdr:col>
      <xdr:colOff>63500</xdr:colOff>
      <xdr:row>142</xdr:row>
      <xdr:rowOff>69850</xdr:rowOff>
    </xdr:to>
    <xdr:sp macro="" textlink="">
      <xdr:nvSpPr>
        <xdr:cNvPr id="888242" name="Rectangle 433" descr="Sphere">
          <a:extLst>
            <a:ext uri="{FF2B5EF4-FFF2-40B4-BE49-F238E27FC236}">
              <a16:creationId xmlns="" xmlns:a16="http://schemas.microsoft.com/office/drawing/2014/main" id="{00000000-0008-0000-2600-0000B28D0D00}"/>
            </a:ext>
          </a:extLst>
        </xdr:cNvPr>
        <xdr:cNvSpPr>
          <a:spLocks noChangeArrowheads="1"/>
        </xdr:cNvSpPr>
      </xdr:nvSpPr>
      <xdr:spPr bwMode="auto">
        <a:xfrm>
          <a:off x="2597150" y="14547850"/>
          <a:ext cx="1930400" cy="101600"/>
        </a:xfrm>
        <a:prstGeom prst="rect">
          <a:avLst/>
        </a:prstGeom>
        <a:blipFill dpi="0" rotWithShape="0">
          <a:blip xmlns:r="http://schemas.openxmlformats.org/officeDocument/2006/relationships" r:embed="rId8"/>
          <a:srcRect/>
          <a:tile tx="0" ty="0" sx="100000" sy="100000" flip="none" algn="tl"/>
        </a:blipFill>
        <a:ln w="9525">
          <a:solidFill>
            <a:srgbClr val="000000"/>
          </a:solidFill>
          <a:miter lim="800000"/>
          <a:headEnd/>
          <a:tailEnd/>
        </a:ln>
      </xdr:spPr>
    </xdr:sp>
    <xdr:clientData/>
  </xdr:twoCellAnchor>
  <xdr:twoCellAnchor>
    <xdr:from>
      <xdr:col>43</xdr:col>
      <xdr:colOff>6350</xdr:colOff>
      <xdr:row>117</xdr:row>
      <xdr:rowOff>57150</xdr:rowOff>
    </xdr:from>
    <xdr:to>
      <xdr:col>49</xdr:col>
      <xdr:colOff>31750</xdr:colOff>
      <xdr:row>118</xdr:row>
      <xdr:rowOff>57150</xdr:rowOff>
    </xdr:to>
    <xdr:sp macro="" textlink="">
      <xdr:nvSpPr>
        <xdr:cNvPr id="888243" name="Rectangle 434" descr="Horizontal brick">
          <a:extLst>
            <a:ext uri="{FF2B5EF4-FFF2-40B4-BE49-F238E27FC236}">
              <a16:creationId xmlns="" xmlns:a16="http://schemas.microsoft.com/office/drawing/2014/main" id="{00000000-0008-0000-2600-0000B38D0D00}"/>
            </a:ext>
          </a:extLst>
        </xdr:cNvPr>
        <xdr:cNvSpPr>
          <a:spLocks noChangeArrowheads="1"/>
        </xdr:cNvSpPr>
      </xdr:nvSpPr>
      <xdr:spPr bwMode="auto">
        <a:xfrm rot="274534" flipV="1">
          <a:off x="4927600" y="12096750"/>
          <a:ext cx="711200" cy="101600"/>
        </a:xfrm>
        <a:prstGeom prst="rect">
          <a:avLst/>
        </a:prstGeom>
        <a:blipFill dpi="0" rotWithShape="1">
          <a:blip xmlns:r="http://schemas.openxmlformats.org/officeDocument/2006/relationships" r:embed="rId4"/>
          <a:srcRect/>
          <a:tile tx="0" ty="0" sx="100000" sy="100000" flip="none" algn="tl"/>
        </a:blipFill>
        <a:ln w="9525">
          <a:solidFill>
            <a:srgbClr val="000000"/>
          </a:solidFill>
          <a:miter lim="800000"/>
          <a:headEnd/>
          <a:tailEnd/>
        </a:ln>
      </xdr:spPr>
    </xdr:sp>
    <xdr:clientData/>
  </xdr:twoCellAnchor>
  <xdr:twoCellAnchor>
    <xdr:from>
      <xdr:col>13</xdr:col>
      <xdr:colOff>57150</xdr:colOff>
      <xdr:row>118</xdr:row>
      <xdr:rowOff>0</xdr:rowOff>
    </xdr:from>
    <xdr:to>
      <xdr:col>19</xdr:col>
      <xdr:colOff>76200</xdr:colOff>
      <xdr:row>119</xdr:row>
      <xdr:rowOff>19050</xdr:rowOff>
    </xdr:to>
    <xdr:sp macro="" textlink="">
      <xdr:nvSpPr>
        <xdr:cNvPr id="888244" name="Rectangle 435" descr="Horizontal brick">
          <a:extLst>
            <a:ext uri="{FF2B5EF4-FFF2-40B4-BE49-F238E27FC236}">
              <a16:creationId xmlns="" xmlns:a16="http://schemas.microsoft.com/office/drawing/2014/main" id="{00000000-0008-0000-2600-0000B48D0D00}"/>
            </a:ext>
          </a:extLst>
        </xdr:cNvPr>
        <xdr:cNvSpPr>
          <a:spLocks noChangeArrowheads="1"/>
        </xdr:cNvSpPr>
      </xdr:nvSpPr>
      <xdr:spPr bwMode="auto">
        <a:xfrm rot="-232537">
          <a:off x="1549400" y="12141200"/>
          <a:ext cx="704850" cy="120650"/>
        </a:xfrm>
        <a:prstGeom prst="rect">
          <a:avLst/>
        </a:prstGeom>
        <a:blipFill dpi="0" rotWithShape="1">
          <a:blip xmlns:r="http://schemas.openxmlformats.org/officeDocument/2006/relationships" r:embed="rId4"/>
          <a:srcRect/>
          <a:tile tx="0" ty="0" sx="100000" sy="100000" flip="none" algn="tl"/>
        </a:blipFill>
        <a:ln w="9525">
          <a:solidFill>
            <a:srgbClr val="000000"/>
          </a:solidFill>
          <a:miter lim="800000"/>
          <a:headEnd/>
          <a:tailEnd/>
        </a:ln>
      </xdr:spPr>
    </xdr:sp>
    <xdr:clientData/>
  </xdr:twoCellAnchor>
  <xdr:twoCellAnchor>
    <xdr:from>
      <xdr:col>25</xdr:col>
      <xdr:colOff>57785</xdr:colOff>
      <xdr:row>144</xdr:row>
      <xdr:rowOff>64135</xdr:rowOff>
    </xdr:from>
    <xdr:to>
      <xdr:col>32</xdr:col>
      <xdr:colOff>61232</xdr:colOff>
      <xdr:row>147</xdr:row>
      <xdr:rowOff>25054</xdr:rowOff>
    </xdr:to>
    <xdr:sp macro="" textlink="">
      <xdr:nvSpPr>
        <xdr:cNvPr id="118" name="Text Box 437">
          <a:extLst>
            <a:ext uri="{FF2B5EF4-FFF2-40B4-BE49-F238E27FC236}">
              <a16:creationId xmlns="" xmlns:a16="http://schemas.microsoft.com/office/drawing/2014/main" id="{00000000-0008-0000-2600-000076000000}"/>
            </a:ext>
          </a:extLst>
        </xdr:cNvPr>
        <xdr:cNvSpPr txBox="1">
          <a:spLocks noChangeArrowheads="1"/>
        </xdr:cNvSpPr>
      </xdr:nvSpPr>
      <xdr:spPr bwMode="auto">
        <a:xfrm>
          <a:off x="2971800" y="15392400"/>
          <a:ext cx="762000" cy="2857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COUPE A A</a:t>
          </a:r>
        </a:p>
      </xdr:txBody>
    </xdr:sp>
    <xdr:clientData/>
  </xdr:twoCellAnchor>
  <xdr:twoCellAnchor>
    <xdr:from>
      <xdr:col>24</xdr:col>
      <xdr:colOff>57785</xdr:colOff>
      <xdr:row>52</xdr:row>
      <xdr:rowOff>67310</xdr:rowOff>
    </xdr:from>
    <xdr:to>
      <xdr:col>49</xdr:col>
      <xdr:colOff>57785</xdr:colOff>
      <xdr:row>56</xdr:row>
      <xdr:rowOff>67310</xdr:rowOff>
    </xdr:to>
    <xdr:sp macro="" textlink="">
      <xdr:nvSpPr>
        <xdr:cNvPr id="119" name="Text Box 438">
          <a:extLst>
            <a:ext uri="{FF2B5EF4-FFF2-40B4-BE49-F238E27FC236}">
              <a16:creationId xmlns="" xmlns:a16="http://schemas.microsoft.com/office/drawing/2014/main" id="{00000000-0008-0000-2600-000077000000}"/>
            </a:ext>
          </a:extLst>
        </xdr:cNvPr>
        <xdr:cNvSpPr txBox="1">
          <a:spLocks noChangeArrowheads="1"/>
        </xdr:cNvSpPr>
      </xdr:nvSpPr>
      <xdr:spPr bwMode="auto">
        <a:xfrm>
          <a:off x="2838450" y="5743575"/>
          <a:ext cx="2857500" cy="4191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ctr" rtl="0">
            <a:defRPr sz="1000"/>
          </a:pPr>
          <a:r>
            <a:rPr lang="fr-FR" sz="1000" b="1" i="0" strike="noStrike">
              <a:solidFill>
                <a:srgbClr val="000000"/>
              </a:solidFill>
              <a:latin typeface="Arial"/>
              <a:cs typeface="Arial"/>
            </a:rPr>
            <a:t>VUE EN PLAN FOSSE ET FONDATION COIN POUR HYGIENE MENSTRUELLE</a:t>
          </a:r>
        </a:p>
      </xdr:txBody>
    </xdr:sp>
    <xdr:clientData/>
  </xdr:twoCellAnchor>
  <xdr:twoCellAnchor>
    <xdr:from>
      <xdr:col>130</xdr:col>
      <xdr:colOff>95250</xdr:colOff>
      <xdr:row>106</xdr:row>
      <xdr:rowOff>6350</xdr:rowOff>
    </xdr:from>
    <xdr:to>
      <xdr:col>136</xdr:col>
      <xdr:colOff>101600</xdr:colOff>
      <xdr:row>126</xdr:row>
      <xdr:rowOff>6350</xdr:rowOff>
    </xdr:to>
    <xdr:sp macro="" textlink="">
      <xdr:nvSpPr>
        <xdr:cNvPr id="888247" name="Rectangle 442">
          <a:extLst>
            <a:ext uri="{FF2B5EF4-FFF2-40B4-BE49-F238E27FC236}">
              <a16:creationId xmlns="" xmlns:a16="http://schemas.microsoft.com/office/drawing/2014/main" id="{00000000-0008-0000-2600-0000B78D0D00}"/>
            </a:ext>
          </a:extLst>
        </xdr:cNvPr>
        <xdr:cNvSpPr>
          <a:spLocks noChangeArrowheads="1"/>
        </xdr:cNvSpPr>
      </xdr:nvSpPr>
      <xdr:spPr bwMode="auto">
        <a:xfrm>
          <a:off x="14052550" y="10928350"/>
          <a:ext cx="806450" cy="2032000"/>
        </a:xfrm>
        <a:prstGeom prst="rect">
          <a:avLst/>
        </a:prstGeom>
        <a:solidFill>
          <a:srgbClr val="00B0F0">
            <a:alpha val="56862"/>
          </a:srgbClr>
        </a:solidFill>
        <a:ln w="9525">
          <a:solidFill>
            <a:srgbClr val="000000"/>
          </a:solidFill>
          <a:miter lim="800000"/>
          <a:headEnd/>
          <a:tailEnd/>
        </a:ln>
      </xdr:spPr>
    </xdr:sp>
    <xdr:clientData/>
  </xdr:twoCellAnchor>
  <xdr:twoCellAnchor>
    <xdr:from>
      <xdr:col>119</xdr:col>
      <xdr:colOff>95250</xdr:colOff>
      <xdr:row>126</xdr:row>
      <xdr:rowOff>19050</xdr:rowOff>
    </xdr:from>
    <xdr:to>
      <xdr:col>152</xdr:col>
      <xdr:colOff>114300</xdr:colOff>
      <xdr:row>128</xdr:row>
      <xdr:rowOff>0</xdr:rowOff>
    </xdr:to>
    <xdr:sp macro="" textlink="">
      <xdr:nvSpPr>
        <xdr:cNvPr id="888248" name="Rectangle 443" descr="Diagonal brick">
          <a:extLst>
            <a:ext uri="{FF2B5EF4-FFF2-40B4-BE49-F238E27FC236}">
              <a16:creationId xmlns="" xmlns:a16="http://schemas.microsoft.com/office/drawing/2014/main" id="{00000000-0008-0000-2600-0000B88D0D00}"/>
            </a:ext>
          </a:extLst>
        </xdr:cNvPr>
        <xdr:cNvSpPr>
          <a:spLocks noChangeArrowheads="1"/>
        </xdr:cNvSpPr>
      </xdr:nvSpPr>
      <xdr:spPr bwMode="auto">
        <a:xfrm>
          <a:off x="12725400" y="12973050"/>
          <a:ext cx="4476750" cy="184150"/>
        </a:xfrm>
        <a:prstGeom prst="rect">
          <a:avLst/>
        </a:prstGeom>
        <a:blipFill dpi="0" rotWithShape="0">
          <a:blip xmlns:r="http://schemas.openxmlformats.org/officeDocument/2006/relationships" r:embed="rId9"/>
          <a:srcRect/>
          <a:tile tx="0" ty="0" sx="100000" sy="100000" flip="none" algn="tl"/>
        </a:blipFill>
        <a:ln w="9525">
          <a:solidFill>
            <a:srgbClr val="000000"/>
          </a:solidFill>
          <a:miter lim="800000"/>
          <a:headEnd/>
          <a:tailEnd/>
        </a:ln>
      </xdr:spPr>
    </xdr:sp>
    <xdr:clientData/>
  </xdr:twoCellAnchor>
  <xdr:twoCellAnchor>
    <xdr:from>
      <xdr:col>125</xdr:col>
      <xdr:colOff>96520</xdr:colOff>
      <xdr:row>130</xdr:row>
      <xdr:rowOff>41274</xdr:rowOff>
    </xdr:from>
    <xdr:to>
      <xdr:col>146</xdr:col>
      <xdr:colOff>55953</xdr:colOff>
      <xdr:row>140</xdr:row>
      <xdr:rowOff>64159</xdr:rowOff>
    </xdr:to>
    <xdr:sp macro="" textlink="">
      <xdr:nvSpPr>
        <xdr:cNvPr id="122" name="Text Box 446">
          <a:extLst>
            <a:ext uri="{FF2B5EF4-FFF2-40B4-BE49-F238E27FC236}">
              <a16:creationId xmlns="" xmlns:a16="http://schemas.microsoft.com/office/drawing/2014/main" id="{00000000-0008-0000-2600-00007A000000}"/>
            </a:ext>
          </a:extLst>
        </xdr:cNvPr>
        <xdr:cNvSpPr txBox="1">
          <a:spLocks noChangeArrowheads="1"/>
        </xdr:cNvSpPr>
      </xdr:nvSpPr>
      <xdr:spPr bwMode="auto">
        <a:xfrm>
          <a:off x="13544550" y="13963649"/>
          <a:ext cx="3028950" cy="10382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ctr" rtl="0">
            <a:defRPr sz="1000"/>
          </a:pPr>
          <a:r>
            <a:rPr lang="fr-FR" sz="1000" b="1" i="0" strike="noStrike">
              <a:solidFill>
                <a:srgbClr val="000000"/>
              </a:solidFill>
              <a:latin typeface="Arial"/>
              <a:cs typeface="Arial"/>
            </a:rPr>
            <a:t>FAÇADE PRINCIPALE </a:t>
          </a:r>
          <a:r>
            <a:rPr lang="fr-FR" sz="1000" b="1" i="0" strike="noStrike" baseline="0">
              <a:solidFill>
                <a:srgbClr val="000000"/>
              </a:solidFill>
              <a:latin typeface="Arial"/>
              <a:cs typeface="Arial"/>
            </a:rPr>
            <a:t> LATRINE DE 1 PORTEAVEC COIN D'HYGIENE MENSTRUELLE AU CS</a:t>
          </a:r>
          <a:endParaRPr lang="fr-FR" sz="1000" b="1" i="0" strike="noStrike">
            <a:solidFill>
              <a:srgbClr val="000000"/>
            </a:solidFill>
            <a:latin typeface="Arial"/>
            <a:cs typeface="Arial"/>
          </a:endParaRPr>
        </a:p>
      </xdr:txBody>
    </xdr:sp>
    <xdr:clientData/>
  </xdr:twoCellAnchor>
  <xdr:twoCellAnchor>
    <xdr:from>
      <xdr:col>27</xdr:col>
      <xdr:colOff>6350</xdr:colOff>
      <xdr:row>11</xdr:row>
      <xdr:rowOff>6350</xdr:rowOff>
    </xdr:from>
    <xdr:to>
      <xdr:col>47</xdr:col>
      <xdr:colOff>57150</xdr:colOff>
      <xdr:row>34</xdr:row>
      <xdr:rowOff>0</xdr:rowOff>
    </xdr:to>
    <xdr:sp macro="" textlink="">
      <xdr:nvSpPr>
        <xdr:cNvPr id="888250" name="Rectangle 447" descr="Cork">
          <a:extLst>
            <a:ext uri="{FF2B5EF4-FFF2-40B4-BE49-F238E27FC236}">
              <a16:creationId xmlns="" xmlns:a16="http://schemas.microsoft.com/office/drawing/2014/main" id="{00000000-0008-0000-2600-0000BA8D0D00}"/>
            </a:ext>
          </a:extLst>
        </xdr:cNvPr>
        <xdr:cNvSpPr>
          <a:spLocks noChangeArrowheads="1"/>
        </xdr:cNvSpPr>
      </xdr:nvSpPr>
      <xdr:spPr bwMode="auto">
        <a:xfrm>
          <a:off x="3098800" y="1276350"/>
          <a:ext cx="2336800" cy="2330450"/>
        </a:xfrm>
        <a:prstGeom prst="rect">
          <a:avLst/>
        </a:prstGeom>
        <a:blipFill dpi="0" rotWithShape="0">
          <a:blip xmlns:r="http://schemas.openxmlformats.org/officeDocument/2006/relationships" r:embed="rId10"/>
          <a:srcRect/>
          <a:tile tx="0" ty="0" sx="100000" sy="100000" flip="none" algn="tl"/>
        </a:blipFill>
        <a:ln w="9525">
          <a:solidFill>
            <a:srgbClr val="000000"/>
          </a:solidFill>
          <a:miter lim="800000"/>
          <a:headEnd/>
          <a:tailEnd/>
        </a:ln>
      </xdr:spPr>
    </xdr:sp>
    <xdr:clientData/>
  </xdr:twoCellAnchor>
  <xdr:twoCellAnchor>
    <xdr:from>
      <xdr:col>27</xdr:col>
      <xdr:colOff>0</xdr:colOff>
      <xdr:row>33</xdr:row>
      <xdr:rowOff>57150</xdr:rowOff>
    </xdr:from>
    <xdr:to>
      <xdr:col>33</xdr:col>
      <xdr:colOff>31750</xdr:colOff>
      <xdr:row>35</xdr:row>
      <xdr:rowOff>57150</xdr:rowOff>
    </xdr:to>
    <xdr:sp macro="" textlink="">
      <xdr:nvSpPr>
        <xdr:cNvPr id="888251" name="Rectangle 453">
          <a:extLst>
            <a:ext uri="{FF2B5EF4-FFF2-40B4-BE49-F238E27FC236}">
              <a16:creationId xmlns="" xmlns:a16="http://schemas.microsoft.com/office/drawing/2014/main" id="{00000000-0008-0000-2600-0000BB8D0D00}"/>
            </a:ext>
          </a:extLst>
        </xdr:cNvPr>
        <xdr:cNvSpPr>
          <a:spLocks noChangeArrowheads="1"/>
        </xdr:cNvSpPr>
      </xdr:nvSpPr>
      <xdr:spPr bwMode="auto">
        <a:xfrm>
          <a:off x="3092450" y="3562350"/>
          <a:ext cx="717550" cy="203200"/>
        </a:xfrm>
        <a:prstGeom prst="rect">
          <a:avLst/>
        </a:prstGeom>
        <a:solidFill>
          <a:srgbClr val="FFFFFF"/>
        </a:solidFill>
        <a:ln w="9525">
          <a:solidFill>
            <a:srgbClr val="000000"/>
          </a:solidFill>
          <a:miter lim="800000"/>
          <a:headEnd/>
          <a:tailEnd/>
        </a:ln>
      </xdr:spPr>
    </xdr:sp>
    <xdr:clientData/>
  </xdr:twoCellAnchor>
  <xdr:twoCellAnchor>
    <xdr:from>
      <xdr:col>27</xdr:col>
      <xdr:colOff>19050</xdr:colOff>
      <xdr:row>24</xdr:row>
      <xdr:rowOff>19050</xdr:rowOff>
    </xdr:from>
    <xdr:to>
      <xdr:col>28</xdr:col>
      <xdr:colOff>88900</xdr:colOff>
      <xdr:row>34</xdr:row>
      <xdr:rowOff>0</xdr:rowOff>
    </xdr:to>
    <xdr:sp macro="" textlink="">
      <xdr:nvSpPr>
        <xdr:cNvPr id="888252" name="Rectangle 455">
          <a:extLst>
            <a:ext uri="{FF2B5EF4-FFF2-40B4-BE49-F238E27FC236}">
              <a16:creationId xmlns="" xmlns:a16="http://schemas.microsoft.com/office/drawing/2014/main" id="{00000000-0008-0000-2600-0000BC8D0D00}"/>
            </a:ext>
          </a:extLst>
        </xdr:cNvPr>
        <xdr:cNvSpPr>
          <a:spLocks noChangeArrowheads="1"/>
        </xdr:cNvSpPr>
      </xdr:nvSpPr>
      <xdr:spPr bwMode="auto">
        <a:xfrm>
          <a:off x="3111500" y="2609850"/>
          <a:ext cx="184150" cy="996950"/>
        </a:xfrm>
        <a:prstGeom prst="rect">
          <a:avLst/>
        </a:prstGeom>
        <a:solidFill>
          <a:srgbClr val="FFFFFF"/>
        </a:solidFill>
        <a:ln w="9525">
          <a:solidFill>
            <a:srgbClr val="000000"/>
          </a:solidFill>
          <a:miter lim="800000"/>
          <a:headEnd/>
          <a:tailEnd/>
        </a:ln>
      </xdr:spPr>
    </xdr:sp>
    <xdr:clientData/>
  </xdr:twoCellAnchor>
  <xdr:twoCellAnchor>
    <xdr:from>
      <xdr:col>27</xdr:col>
      <xdr:colOff>0</xdr:colOff>
      <xdr:row>23</xdr:row>
      <xdr:rowOff>0</xdr:rowOff>
    </xdr:from>
    <xdr:to>
      <xdr:col>47</xdr:col>
      <xdr:colOff>19050</xdr:colOff>
      <xdr:row>24</xdr:row>
      <xdr:rowOff>19050</xdr:rowOff>
    </xdr:to>
    <xdr:sp macro="" textlink="">
      <xdr:nvSpPr>
        <xdr:cNvPr id="888253" name="Rectangle 457">
          <a:extLst>
            <a:ext uri="{FF2B5EF4-FFF2-40B4-BE49-F238E27FC236}">
              <a16:creationId xmlns="" xmlns:a16="http://schemas.microsoft.com/office/drawing/2014/main" id="{00000000-0008-0000-2600-0000BD8D0D00}"/>
            </a:ext>
          </a:extLst>
        </xdr:cNvPr>
        <xdr:cNvSpPr>
          <a:spLocks noChangeArrowheads="1"/>
        </xdr:cNvSpPr>
      </xdr:nvSpPr>
      <xdr:spPr bwMode="auto">
        <a:xfrm>
          <a:off x="3092450" y="2489200"/>
          <a:ext cx="2305050" cy="120650"/>
        </a:xfrm>
        <a:prstGeom prst="rect">
          <a:avLst/>
        </a:prstGeom>
        <a:solidFill>
          <a:srgbClr val="FFFFFF"/>
        </a:solidFill>
        <a:ln w="9525">
          <a:solidFill>
            <a:srgbClr val="000000"/>
          </a:solidFill>
          <a:miter lim="800000"/>
          <a:headEnd/>
          <a:tailEnd/>
        </a:ln>
      </xdr:spPr>
    </xdr:sp>
    <xdr:clientData/>
  </xdr:twoCellAnchor>
  <xdr:twoCellAnchor>
    <xdr:from>
      <xdr:col>39</xdr:col>
      <xdr:colOff>57150</xdr:colOff>
      <xdr:row>34</xdr:row>
      <xdr:rowOff>6350</xdr:rowOff>
    </xdr:from>
    <xdr:to>
      <xdr:col>45</xdr:col>
      <xdr:colOff>57150</xdr:colOff>
      <xdr:row>35</xdr:row>
      <xdr:rowOff>69850</xdr:rowOff>
    </xdr:to>
    <xdr:sp macro="" textlink="">
      <xdr:nvSpPr>
        <xdr:cNvPr id="888254" name="Rectangle 459">
          <a:extLst>
            <a:ext uri="{FF2B5EF4-FFF2-40B4-BE49-F238E27FC236}">
              <a16:creationId xmlns="" xmlns:a16="http://schemas.microsoft.com/office/drawing/2014/main" id="{00000000-0008-0000-2600-0000BE8D0D00}"/>
            </a:ext>
          </a:extLst>
        </xdr:cNvPr>
        <xdr:cNvSpPr>
          <a:spLocks noChangeArrowheads="1"/>
        </xdr:cNvSpPr>
      </xdr:nvSpPr>
      <xdr:spPr bwMode="auto">
        <a:xfrm>
          <a:off x="4521200" y="3613150"/>
          <a:ext cx="685800" cy="165100"/>
        </a:xfrm>
        <a:prstGeom prst="rect">
          <a:avLst/>
        </a:prstGeom>
        <a:solidFill>
          <a:srgbClr val="FFFFFF"/>
        </a:solidFill>
        <a:ln w="9525">
          <a:solidFill>
            <a:srgbClr val="000000"/>
          </a:solidFill>
          <a:miter lim="800000"/>
          <a:headEnd/>
          <a:tailEnd/>
        </a:ln>
      </xdr:spPr>
    </xdr:sp>
    <xdr:clientData/>
  </xdr:twoCellAnchor>
  <xdr:twoCellAnchor editAs="oneCell">
    <xdr:from>
      <xdr:col>21</xdr:col>
      <xdr:colOff>20321</xdr:colOff>
      <xdr:row>27</xdr:row>
      <xdr:rowOff>60961</xdr:rowOff>
    </xdr:from>
    <xdr:to>
      <xdr:col>30</xdr:col>
      <xdr:colOff>20320</xdr:colOff>
      <xdr:row>30</xdr:row>
      <xdr:rowOff>98123</xdr:rowOff>
    </xdr:to>
    <xdr:sp macro="" textlink="">
      <xdr:nvSpPr>
        <xdr:cNvPr id="128" name="Text Box 473">
          <a:extLst>
            <a:ext uri="{FF2B5EF4-FFF2-40B4-BE49-F238E27FC236}">
              <a16:creationId xmlns="" xmlns:a16="http://schemas.microsoft.com/office/drawing/2014/main" id="{00000000-0008-0000-2600-000080000000}"/>
            </a:ext>
          </a:extLst>
        </xdr:cNvPr>
        <xdr:cNvSpPr txBox="1">
          <a:spLocks noChangeArrowheads="1"/>
        </xdr:cNvSpPr>
      </xdr:nvSpPr>
      <xdr:spPr bwMode="auto">
        <a:xfrm>
          <a:off x="2466976" y="3133726"/>
          <a:ext cx="1028699" cy="371474"/>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ysClr val="windowText" lastClr="000000"/>
              </a:solidFill>
              <a:latin typeface="Arial"/>
              <a:cs typeface="Arial"/>
            </a:rPr>
            <a:t>160</a:t>
          </a:r>
        </a:p>
      </xdr:txBody>
    </xdr:sp>
    <xdr:clientData/>
  </xdr:twoCellAnchor>
  <xdr:twoCellAnchor>
    <xdr:from>
      <xdr:col>15</xdr:col>
      <xdr:colOff>88900</xdr:colOff>
      <xdr:row>37</xdr:row>
      <xdr:rowOff>69850</xdr:rowOff>
    </xdr:from>
    <xdr:to>
      <xdr:col>15</xdr:col>
      <xdr:colOff>88900</xdr:colOff>
      <xdr:row>38</xdr:row>
      <xdr:rowOff>19050</xdr:rowOff>
    </xdr:to>
    <xdr:sp macro="" textlink="">
      <xdr:nvSpPr>
        <xdr:cNvPr id="888256" name="Line 475">
          <a:extLst>
            <a:ext uri="{FF2B5EF4-FFF2-40B4-BE49-F238E27FC236}">
              <a16:creationId xmlns="" xmlns:a16="http://schemas.microsoft.com/office/drawing/2014/main" id="{00000000-0008-0000-2600-0000C08D0D00}"/>
            </a:ext>
          </a:extLst>
        </xdr:cNvPr>
        <xdr:cNvSpPr>
          <a:spLocks noChangeShapeType="1"/>
        </xdr:cNvSpPr>
      </xdr:nvSpPr>
      <xdr:spPr bwMode="auto">
        <a:xfrm>
          <a:off x="1809750" y="3981450"/>
          <a:ext cx="0" cy="50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35</xdr:col>
      <xdr:colOff>60961</xdr:colOff>
      <xdr:row>35</xdr:row>
      <xdr:rowOff>62866</xdr:rowOff>
    </xdr:from>
    <xdr:to>
      <xdr:col>44</xdr:col>
      <xdr:colOff>61655</xdr:colOff>
      <xdr:row>39</xdr:row>
      <xdr:rowOff>1138</xdr:rowOff>
    </xdr:to>
    <xdr:sp macro="" textlink="">
      <xdr:nvSpPr>
        <xdr:cNvPr id="130" name="Text Box 482">
          <a:extLst>
            <a:ext uri="{FF2B5EF4-FFF2-40B4-BE49-F238E27FC236}">
              <a16:creationId xmlns="" xmlns:a16="http://schemas.microsoft.com/office/drawing/2014/main" id="{00000000-0008-0000-2600-000082000000}"/>
            </a:ext>
          </a:extLst>
        </xdr:cNvPr>
        <xdr:cNvSpPr txBox="1">
          <a:spLocks noChangeArrowheads="1"/>
        </xdr:cNvSpPr>
      </xdr:nvSpPr>
      <xdr:spPr bwMode="auto">
        <a:xfrm>
          <a:off x="4076701" y="4010026"/>
          <a:ext cx="1009650" cy="333374"/>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75</a:t>
          </a:r>
        </a:p>
      </xdr:txBody>
    </xdr:sp>
    <xdr:clientData/>
  </xdr:twoCellAnchor>
  <xdr:twoCellAnchor>
    <xdr:from>
      <xdr:col>26</xdr:col>
      <xdr:colOff>57150</xdr:colOff>
      <xdr:row>40</xdr:row>
      <xdr:rowOff>44450</xdr:rowOff>
    </xdr:from>
    <xdr:to>
      <xdr:col>57</xdr:col>
      <xdr:colOff>19050</xdr:colOff>
      <xdr:row>41</xdr:row>
      <xdr:rowOff>6350</xdr:rowOff>
    </xdr:to>
    <xdr:sp macro="" textlink="">
      <xdr:nvSpPr>
        <xdr:cNvPr id="888258" name="Line 483">
          <a:extLst>
            <a:ext uri="{FF2B5EF4-FFF2-40B4-BE49-F238E27FC236}">
              <a16:creationId xmlns="" xmlns:a16="http://schemas.microsoft.com/office/drawing/2014/main" id="{00000000-0008-0000-2600-0000C28D0D00}"/>
            </a:ext>
          </a:extLst>
        </xdr:cNvPr>
        <xdr:cNvSpPr>
          <a:spLocks noChangeShapeType="1"/>
        </xdr:cNvSpPr>
      </xdr:nvSpPr>
      <xdr:spPr bwMode="auto">
        <a:xfrm>
          <a:off x="3035300" y="4260850"/>
          <a:ext cx="3505200" cy="635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37</xdr:col>
      <xdr:colOff>74295</xdr:colOff>
      <xdr:row>38</xdr:row>
      <xdr:rowOff>64135</xdr:rowOff>
    </xdr:from>
    <xdr:to>
      <xdr:col>49</xdr:col>
      <xdr:colOff>57827</xdr:colOff>
      <xdr:row>41</xdr:row>
      <xdr:rowOff>98156</xdr:rowOff>
    </xdr:to>
    <xdr:sp macro="" textlink="">
      <xdr:nvSpPr>
        <xdr:cNvPr id="132" name="Text Box 484">
          <a:extLst>
            <a:ext uri="{FF2B5EF4-FFF2-40B4-BE49-F238E27FC236}">
              <a16:creationId xmlns="" xmlns:a16="http://schemas.microsoft.com/office/drawing/2014/main" id="{00000000-0008-0000-2600-000084000000}"/>
            </a:ext>
          </a:extLst>
        </xdr:cNvPr>
        <xdr:cNvSpPr txBox="1">
          <a:spLocks noChangeArrowheads="1"/>
        </xdr:cNvSpPr>
      </xdr:nvSpPr>
      <xdr:spPr bwMode="auto">
        <a:xfrm>
          <a:off x="4352925" y="4305300"/>
          <a:ext cx="1343025" cy="3524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300</a:t>
          </a:r>
        </a:p>
      </xdr:txBody>
    </xdr:sp>
    <xdr:clientData/>
  </xdr:twoCellAnchor>
  <xdr:twoCellAnchor>
    <xdr:from>
      <xdr:col>39</xdr:col>
      <xdr:colOff>63500</xdr:colOff>
      <xdr:row>34</xdr:row>
      <xdr:rowOff>6350</xdr:rowOff>
    </xdr:from>
    <xdr:to>
      <xdr:col>57</xdr:col>
      <xdr:colOff>19050</xdr:colOff>
      <xdr:row>35</xdr:row>
      <xdr:rowOff>76200</xdr:rowOff>
    </xdr:to>
    <xdr:sp macro="" textlink="">
      <xdr:nvSpPr>
        <xdr:cNvPr id="888260" name="Rectangle 488" descr="Horizontal brick">
          <a:extLst>
            <a:ext uri="{FF2B5EF4-FFF2-40B4-BE49-F238E27FC236}">
              <a16:creationId xmlns="" xmlns:a16="http://schemas.microsoft.com/office/drawing/2014/main" id="{00000000-0008-0000-2600-0000C48D0D00}"/>
            </a:ext>
          </a:extLst>
        </xdr:cNvPr>
        <xdr:cNvSpPr>
          <a:spLocks noChangeArrowheads="1"/>
        </xdr:cNvSpPr>
      </xdr:nvSpPr>
      <xdr:spPr bwMode="auto">
        <a:xfrm rot="-5400000">
          <a:off x="5448300" y="2692400"/>
          <a:ext cx="171450" cy="20129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27</xdr:col>
      <xdr:colOff>0</xdr:colOff>
      <xdr:row>22</xdr:row>
      <xdr:rowOff>57150</xdr:rowOff>
    </xdr:from>
    <xdr:to>
      <xdr:col>47</xdr:col>
      <xdr:colOff>19050</xdr:colOff>
      <xdr:row>24</xdr:row>
      <xdr:rowOff>38100</xdr:rowOff>
    </xdr:to>
    <xdr:sp macro="" textlink="">
      <xdr:nvSpPr>
        <xdr:cNvPr id="888261" name="Rectangle 489" descr="Horizontal brick">
          <a:extLst>
            <a:ext uri="{FF2B5EF4-FFF2-40B4-BE49-F238E27FC236}">
              <a16:creationId xmlns="" xmlns:a16="http://schemas.microsoft.com/office/drawing/2014/main" id="{00000000-0008-0000-2600-0000C58D0D00}"/>
            </a:ext>
          </a:extLst>
        </xdr:cNvPr>
        <xdr:cNvSpPr>
          <a:spLocks noChangeArrowheads="1"/>
        </xdr:cNvSpPr>
      </xdr:nvSpPr>
      <xdr:spPr bwMode="auto">
        <a:xfrm rot="-5400000">
          <a:off x="4152900" y="1384300"/>
          <a:ext cx="184150" cy="23050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27</xdr:col>
      <xdr:colOff>6350</xdr:colOff>
      <xdr:row>33</xdr:row>
      <xdr:rowOff>57150</xdr:rowOff>
    </xdr:from>
    <xdr:to>
      <xdr:col>33</xdr:col>
      <xdr:colOff>38100</xdr:colOff>
      <xdr:row>35</xdr:row>
      <xdr:rowOff>57150</xdr:rowOff>
    </xdr:to>
    <xdr:sp macro="" textlink="">
      <xdr:nvSpPr>
        <xdr:cNvPr id="888262" name="Rectangle 490" descr="Horizontal brick">
          <a:extLst>
            <a:ext uri="{FF2B5EF4-FFF2-40B4-BE49-F238E27FC236}">
              <a16:creationId xmlns="" xmlns:a16="http://schemas.microsoft.com/office/drawing/2014/main" id="{00000000-0008-0000-2600-0000C68D0D00}"/>
            </a:ext>
          </a:extLst>
        </xdr:cNvPr>
        <xdr:cNvSpPr>
          <a:spLocks noChangeArrowheads="1"/>
        </xdr:cNvSpPr>
      </xdr:nvSpPr>
      <xdr:spPr bwMode="auto">
        <a:xfrm rot="-5400000">
          <a:off x="3355975" y="3305175"/>
          <a:ext cx="203200" cy="7175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27</xdr:col>
      <xdr:colOff>19050</xdr:colOff>
      <xdr:row>22</xdr:row>
      <xdr:rowOff>69850</xdr:rowOff>
    </xdr:from>
    <xdr:to>
      <xdr:col>28</xdr:col>
      <xdr:colOff>88900</xdr:colOff>
      <xdr:row>35</xdr:row>
      <xdr:rowOff>44450</xdr:rowOff>
    </xdr:to>
    <xdr:sp macro="" textlink="">
      <xdr:nvSpPr>
        <xdr:cNvPr id="888263" name="Rectangle 497" descr="Horizontal brick">
          <a:extLst>
            <a:ext uri="{FF2B5EF4-FFF2-40B4-BE49-F238E27FC236}">
              <a16:creationId xmlns="" xmlns:a16="http://schemas.microsoft.com/office/drawing/2014/main" id="{00000000-0008-0000-2600-0000C78D0D00}"/>
            </a:ext>
          </a:extLst>
        </xdr:cNvPr>
        <xdr:cNvSpPr>
          <a:spLocks noChangeArrowheads="1"/>
        </xdr:cNvSpPr>
      </xdr:nvSpPr>
      <xdr:spPr bwMode="auto">
        <a:xfrm rot="-5400000">
          <a:off x="2555875" y="3013075"/>
          <a:ext cx="1295400" cy="1841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46</xdr:col>
      <xdr:colOff>6350</xdr:colOff>
      <xdr:row>22</xdr:row>
      <xdr:rowOff>38100</xdr:rowOff>
    </xdr:from>
    <xdr:to>
      <xdr:col>47</xdr:col>
      <xdr:colOff>57150</xdr:colOff>
      <xdr:row>29</xdr:row>
      <xdr:rowOff>6350</xdr:rowOff>
    </xdr:to>
    <xdr:sp macro="" textlink="">
      <xdr:nvSpPr>
        <xdr:cNvPr id="888264" name="Rectangle 498" descr="Horizontal brick">
          <a:extLst>
            <a:ext uri="{FF2B5EF4-FFF2-40B4-BE49-F238E27FC236}">
              <a16:creationId xmlns="" xmlns:a16="http://schemas.microsoft.com/office/drawing/2014/main" id="{00000000-0008-0000-2600-0000C88D0D00}"/>
            </a:ext>
          </a:extLst>
        </xdr:cNvPr>
        <xdr:cNvSpPr>
          <a:spLocks noChangeArrowheads="1"/>
        </xdr:cNvSpPr>
      </xdr:nvSpPr>
      <xdr:spPr bwMode="auto">
        <a:xfrm rot="-5400000">
          <a:off x="5013325" y="2682875"/>
          <a:ext cx="679450" cy="1651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27</xdr:col>
      <xdr:colOff>19050</xdr:colOff>
      <xdr:row>16</xdr:row>
      <xdr:rowOff>76200</xdr:rowOff>
    </xdr:from>
    <xdr:to>
      <xdr:col>47</xdr:col>
      <xdr:colOff>76200</xdr:colOff>
      <xdr:row>17</xdr:row>
      <xdr:rowOff>31750</xdr:rowOff>
    </xdr:to>
    <xdr:sp macro="" textlink="">
      <xdr:nvSpPr>
        <xdr:cNvPr id="888265" name="Line 501">
          <a:extLst>
            <a:ext uri="{FF2B5EF4-FFF2-40B4-BE49-F238E27FC236}">
              <a16:creationId xmlns="" xmlns:a16="http://schemas.microsoft.com/office/drawing/2014/main" id="{00000000-0008-0000-2600-0000C98D0D00}"/>
            </a:ext>
          </a:extLst>
        </xdr:cNvPr>
        <xdr:cNvSpPr>
          <a:spLocks noChangeShapeType="1"/>
        </xdr:cNvSpPr>
      </xdr:nvSpPr>
      <xdr:spPr bwMode="auto">
        <a:xfrm flipV="1">
          <a:off x="3111500" y="1854200"/>
          <a:ext cx="2343150" cy="5715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41</xdr:col>
      <xdr:colOff>60961</xdr:colOff>
      <xdr:row>15</xdr:row>
      <xdr:rowOff>24764</xdr:rowOff>
    </xdr:from>
    <xdr:to>
      <xdr:col>81</xdr:col>
      <xdr:colOff>3801</xdr:colOff>
      <xdr:row>22</xdr:row>
      <xdr:rowOff>480</xdr:rowOff>
    </xdr:to>
    <xdr:sp macro="" textlink="">
      <xdr:nvSpPr>
        <xdr:cNvPr id="139" name="Text Box 507">
          <a:extLst>
            <a:ext uri="{FF2B5EF4-FFF2-40B4-BE49-F238E27FC236}">
              <a16:creationId xmlns="" xmlns:a16="http://schemas.microsoft.com/office/drawing/2014/main" id="{00000000-0008-0000-2600-00008B000000}"/>
            </a:ext>
          </a:extLst>
        </xdr:cNvPr>
        <xdr:cNvSpPr txBox="1">
          <a:spLocks noChangeArrowheads="1"/>
        </xdr:cNvSpPr>
      </xdr:nvSpPr>
      <xdr:spPr bwMode="auto">
        <a:xfrm>
          <a:off x="4762501" y="1828799"/>
          <a:ext cx="4562474" cy="733426"/>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FFFF00"/>
              </a:solidFill>
              <a:latin typeface="Arial"/>
              <a:cs typeface="Arial"/>
            </a:rPr>
            <a:t>30</a:t>
          </a:r>
        </a:p>
      </xdr:txBody>
    </xdr:sp>
    <xdr:clientData/>
  </xdr:twoCellAnchor>
  <xdr:twoCellAnchor editAs="oneCell">
    <xdr:from>
      <xdr:col>41</xdr:col>
      <xdr:colOff>60961</xdr:colOff>
      <xdr:row>17</xdr:row>
      <xdr:rowOff>29210</xdr:rowOff>
    </xdr:from>
    <xdr:to>
      <xdr:col>83</xdr:col>
      <xdr:colOff>94620</xdr:colOff>
      <xdr:row>24</xdr:row>
      <xdr:rowOff>101193</xdr:rowOff>
    </xdr:to>
    <xdr:sp macro="" textlink="">
      <xdr:nvSpPr>
        <xdr:cNvPr id="140" name="Text Box 508">
          <a:extLst>
            <a:ext uri="{FF2B5EF4-FFF2-40B4-BE49-F238E27FC236}">
              <a16:creationId xmlns="" xmlns:a16="http://schemas.microsoft.com/office/drawing/2014/main" id="{00000000-0008-0000-2600-00008C000000}"/>
            </a:ext>
          </a:extLst>
        </xdr:cNvPr>
        <xdr:cNvSpPr txBox="1">
          <a:spLocks noChangeArrowheads="1"/>
        </xdr:cNvSpPr>
      </xdr:nvSpPr>
      <xdr:spPr bwMode="auto">
        <a:xfrm>
          <a:off x="4762501" y="2095500"/>
          <a:ext cx="4857750" cy="7810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FFFF00"/>
              </a:solidFill>
              <a:latin typeface="Arial"/>
              <a:cs typeface="Arial"/>
            </a:rPr>
            <a:t>30</a:t>
          </a:r>
        </a:p>
      </xdr:txBody>
    </xdr:sp>
    <xdr:clientData/>
  </xdr:twoCellAnchor>
  <xdr:twoCellAnchor editAs="oneCell">
    <xdr:from>
      <xdr:col>70</xdr:col>
      <xdr:colOff>63500</xdr:colOff>
      <xdr:row>22</xdr:row>
      <xdr:rowOff>38100</xdr:rowOff>
    </xdr:from>
    <xdr:to>
      <xdr:col>140</xdr:col>
      <xdr:colOff>76200</xdr:colOff>
      <xdr:row>51</xdr:row>
      <xdr:rowOff>0</xdr:rowOff>
    </xdr:to>
    <xdr:sp macro="" textlink="">
      <xdr:nvSpPr>
        <xdr:cNvPr id="888268" name="Text Box 510">
          <a:extLst>
            <a:ext uri="{FF2B5EF4-FFF2-40B4-BE49-F238E27FC236}">
              <a16:creationId xmlns="" xmlns:a16="http://schemas.microsoft.com/office/drawing/2014/main" id="{00000000-0008-0000-2600-0000CC8D0D00}"/>
            </a:ext>
          </a:extLst>
        </xdr:cNvPr>
        <xdr:cNvSpPr txBox="1">
          <a:spLocks noChangeArrowheads="1"/>
        </xdr:cNvSpPr>
      </xdr:nvSpPr>
      <xdr:spPr bwMode="auto">
        <a:xfrm>
          <a:off x="8070850" y="2425700"/>
          <a:ext cx="7454900" cy="290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29</xdr:col>
      <xdr:colOff>60960</xdr:colOff>
      <xdr:row>41</xdr:row>
      <xdr:rowOff>27939</xdr:rowOff>
    </xdr:from>
    <xdr:to>
      <xdr:col>43</xdr:col>
      <xdr:colOff>114296</xdr:colOff>
      <xdr:row>47</xdr:row>
      <xdr:rowOff>25664</xdr:rowOff>
    </xdr:to>
    <xdr:sp macro="" textlink="">
      <xdr:nvSpPr>
        <xdr:cNvPr id="142" name="Text Box 520">
          <a:extLst>
            <a:ext uri="{FF2B5EF4-FFF2-40B4-BE49-F238E27FC236}">
              <a16:creationId xmlns="" xmlns:a16="http://schemas.microsoft.com/office/drawing/2014/main" id="{00000000-0008-0000-2600-00008E000000}"/>
            </a:ext>
          </a:extLst>
        </xdr:cNvPr>
        <xdr:cNvSpPr txBox="1">
          <a:spLocks noChangeArrowheads="1"/>
        </xdr:cNvSpPr>
      </xdr:nvSpPr>
      <xdr:spPr bwMode="auto">
        <a:xfrm>
          <a:off x="3390900" y="4629149"/>
          <a:ext cx="1676400" cy="5619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ctr" rtl="0">
            <a:defRPr sz="1000"/>
          </a:pPr>
          <a:r>
            <a:rPr lang="fr-FR" sz="1000" b="1" i="0" strike="noStrike">
              <a:solidFill>
                <a:srgbClr val="000000"/>
              </a:solidFill>
              <a:latin typeface="Arial"/>
              <a:cs typeface="Arial"/>
            </a:rPr>
            <a:t>VUE EN PLAN CABINE ET DALLE + COIN D'HYGIENE</a:t>
          </a:r>
          <a:r>
            <a:rPr lang="fr-FR" sz="1000" b="1" i="0" strike="noStrike" baseline="0">
              <a:solidFill>
                <a:srgbClr val="000000"/>
              </a:solidFill>
              <a:latin typeface="Arial"/>
              <a:cs typeface="Arial"/>
            </a:rPr>
            <a:t> MENSTRUELLE</a:t>
          </a:r>
          <a:endParaRPr lang="fr-FR" sz="1000" b="1" i="0" strike="noStrike">
            <a:solidFill>
              <a:srgbClr val="000000"/>
            </a:solidFill>
            <a:latin typeface="Arial"/>
            <a:cs typeface="Arial"/>
          </a:endParaRPr>
        </a:p>
      </xdr:txBody>
    </xdr:sp>
    <xdr:clientData/>
  </xdr:twoCellAnchor>
  <xdr:twoCellAnchor>
    <xdr:from>
      <xdr:col>35</xdr:col>
      <xdr:colOff>0</xdr:colOff>
      <xdr:row>86</xdr:row>
      <xdr:rowOff>31750</xdr:rowOff>
    </xdr:from>
    <xdr:to>
      <xdr:col>44</xdr:col>
      <xdr:colOff>50800</xdr:colOff>
      <xdr:row>87</xdr:row>
      <xdr:rowOff>31750</xdr:rowOff>
    </xdr:to>
    <xdr:sp macro="" textlink="">
      <xdr:nvSpPr>
        <xdr:cNvPr id="888270" name="Line 527">
          <a:extLst>
            <a:ext uri="{FF2B5EF4-FFF2-40B4-BE49-F238E27FC236}">
              <a16:creationId xmlns="" xmlns:a16="http://schemas.microsoft.com/office/drawing/2014/main" id="{00000000-0008-0000-2600-0000CE8D0D00}"/>
            </a:ext>
          </a:extLst>
        </xdr:cNvPr>
        <xdr:cNvSpPr>
          <a:spLocks noChangeShapeType="1"/>
        </xdr:cNvSpPr>
      </xdr:nvSpPr>
      <xdr:spPr bwMode="auto">
        <a:xfrm rot="10862374" flipV="1">
          <a:off x="4006850" y="8921750"/>
          <a:ext cx="1079500" cy="101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47</xdr:col>
      <xdr:colOff>19050</xdr:colOff>
      <xdr:row>8</xdr:row>
      <xdr:rowOff>6350</xdr:rowOff>
    </xdr:from>
    <xdr:to>
      <xdr:col>50</xdr:col>
      <xdr:colOff>6350</xdr:colOff>
      <xdr:row>11</xdr:row>
      <xdr:rowOff>19050</xdr:rowOff>
    </xdr:to>
    <xdr:sp macro="" textlink="">
      <xdr:nvSpPr>
        <xdr:cNvPr id="888271" name="Line 529">
          <a:extLst>
            <a:ext uri="{FF2B5EF4-FFF2-40B4-BE49-F238E27FC236}">
              <a16:creationId xmlns="" xmlns:a16="http://schemas.microsoft.com/office/drawing/2014/main" id="{00000000-0008-0000-2600-0000CF8D0D00}"/>
            </a:ext>
          </a:extLst>
        </xdr:cNvPr>
        <xdr:cNvSpPr>
          <a:spLocks noChangeShapeType="1"/>
        </xdr:cNvSpPr>
      </xdr:nvSpPr>
      <xdr:spPr bwMode="auto">
        <a:xfrm flipV="1">
          <a:off x="5397500" y="971550"/>
          <a:ext cx="330200" cy="317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46</xdr:col>
      <xdr:colOff>61595</xdr:colOff>
      <xdr:row>4</xdr:row>
      <xdr:rowOff>64135</xdr:rowOff>
    </xdr:from>
    <xdr:to>
      <xdr:col>56</xdr:col>
      <xdr:colOff>61595</xdr:colOff>
      <xdr:row>8</xdr:row>
      <xdr:rowOff>68198</xdr:rowOff>
    </xdr:to>
    <xdr:sp macro="" textlink="">
      <xdr:nvSpPr>
        <xdr:cNvPr id="145" name="Text Box 530">
          <a:extLst>
            <a:ext uri="{FF2B5EF4-FFF2-40B4-BE49-F238E27FC236}">
              <a16:creationId xmlns="" xmlns:a16="http://schemas.microsoft.com/office/drawing/2014/main" id="{00000000-0008-0000-2600-000091000000}"/>
            </a:ext>
          </a:extLst>
        </xdr:cNvPr>
        <xdr:cNvSpPr txBox="1">
          <a:spLocks noChangeArrowheads="1"/>
        </xdr:cNvSpPr>
      </xdr:nvSpPr>
      <xdr:spPr bwMode="auto">
        <a:xfrm>
          <a:off x="5314950" y="733425"/>
          <a:ext cx="1143000" cy="3810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Dalot amovible en BA 350kg/m3</a:t>
          </a:r>
        </a:p>
      </xdr:txBody>
    </xdr:sp>
    <xdr:clientData/>
  </xdr:twoCellAnchor>
  <xdr:twoCellAnchor>
    <xdr:from>
      <xdr:col>20</xdr:col>
      <xdr:colOff>0</xdr:colOff>
      <xdr:row>96</xdr:row>
      <xdr:rowOff>19050</xdr:rowOff>
    </xdr:from>
    <xdr:to>
      <xdr:col>21</xdr:col>
      <xdr:colOff>57150</xdr:colOff>
      <xdr:row>98</xdr:row>
      <xdr:rowOff>19050</xdr:rowOff>
    </xdr:to>
    <xdr:sp macro="" textlink="">
      <xdr:nvSpPr>
        <xdr:cNvPr id="888273" name="Rectangle 364" descr="Horizontal brick">
          <a:extLst>
            <a:ext uri="{FF2B5EF4-FFF2-40B4-BE49-F238E27FC236}">
              <a16:creationId xmlns="" xmlns:a16="http://schemas.microsoft.com/office/drawing/2014/main" id="{00000000-0008-0000-2600-0000D18D0D00}"/>
            </a:ext>
          </a:extLst>
        </xdr:cNvPr>
        <xdr:cNvSpPr>
          <a:spLocks noChangeArrowheads="1"/>
        </xdr:cNvSpPr>
      </xdr:nvSpPr>
      <xdr:spPr bwMode="auto">
        <a:xfrm>
          <a:off x="2292350" y="9925050"/>
          <a:ext cx="171450" cy="2032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132</xdr:col>
      <xdr:colOff>36828</xdr:colOff>
      <xdr:row>107</xdr:row>
      <xdr:rowOff>4444</xdr:rowOff>
    </xdr:from>
    <xdr:to>
      <xdr:col>135</xdr:col>
      <xdr:colOff>76083</xdr:colOff>
      <xdr:row>111</xdr:row>
      <xdr:rowOff>2751</xdr:rowOff>
    </xdr:to>
    <xdr:sp macro="" textlink="">
      <xdr:nvSpPr>
        <xdr:cNvPr id="147" name="Trapezoid 230">
          <a:extLst>
            <a:ext uri="{FF2B5EF4-FFF2-40B4-BE49-F238E27FC236}">
              <a16:creationId xmlns="" xmlns:a16="http://schemas.microsoft.com/office/drawing/2014/main" id="{00000000-0008-0000-2600-000093000000}"/>
            </a:ext>
          </a:extLst>
        </xdr:cNvPr>
        <xdr:cNvSpPr/>
      </xdr:nvSpPr>
      <xdr:spPr bwMode="auto">
        <a:xfrm rot="10800000">
          <a:off x="14354173" y="11506199"/>
          <a:ext cx="476250" cy="371475"/>
        </a:xfrm>
        <a:prstGeom prst="trapezoid">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p>
      </xdr:txBody>
    </xdr:sp>
    <xdr:clientData/>
  </xdr:twoCellAnchor>
  <xdr:twoCellAnchor>
    <xdr:from>
      <xdr:col>41</xdr:col>
      <xdr:colOff>19050</xdr:colOff>
      <xdr:row>17</xdr:row>
      <xdr:rowOff>19050</xdr:rowOff>
    </xdr:from>
    <xdr:to>
      <xdr:col>41</xdr:col>
      <xdr:colOff>19050</xdr:colOff>
      <xdr:row>20</xdr:row>
      <xdr:rowOff>57150</xdr:rowOff>
    </xdr:to>
    <xdr:cxnSp macro="">
      <xdr:nvCxnSpPr>
        <xdr:cNvPr id="888275" name="Straight Arrow Connector 236">
          <a:extLst>
            <a:ext uri="{FF2B5EF4-FFF2-40B4-BE49-F238E27FC236}">
              <a16:creationId xmlns="" xmlns:a16="http://schemas.microsoft.com/office/drawing/2014/main" id="{00000000-0008-0000-2600-0000D38D0D00}"/>
            </a:ext>
          </a:extLst>
        </xdr:cNvPr>
        <xdr:cNvCxnSpPr>
          <a:cxnSpLocks noChangeShapeType="1"/>
        </xdr:cNvCxnSpPr>
      </xdr:nvCxnSpPr>
      <xdr:spPr bwMode="auto">
        <a:xfrm rot="5400000">
          <a:off x="4540250" y="2070100"/>
          <a:ext cx="3429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40</xdr:col>
      <xdr:colOff>6350</xdr:colOff>
      <xdr:row>20</xdr:row>
      <xdr:rowOff>57150</xdr:rowOff>
    </xdr:from>
    <xdr:to>
      <xdr:col>40</xdr:col>
      <xdr:colOff>6350</xdr:colOff>
      <xdr:row>22</xdr:row>
      <xdr:rowOff>57150</xdr:rowOff>
    </xdr:to>
    <xdr:cxnSp macro="">
      <xdr:nvCxnSpPr>
        <xdr:cNvPr id="888276" name="Straight Arrow Connector 240">
          <a:extLst>
            <a:ext uri="{FF2B5EF4-FFF2-40B4-BE49-F238E27FC236}">
              <a16:creationId xmlns="" xmlns:a16="http://schemas.microsoft.com/office/drawing/2014/main" id="{00000000-0008-0000-2600-0000D48D0D00}"/>
            </a:ext>
          </a:extLst>
        </xdr:cNvPr>
        <xdr:cNvCxnSpPr>
          <a:cxnSpLocks noChangeShapeType="1"/>
        </xdr:cNvCxnSpPr>
      </xdr:nvCxnSpPr>
      <xdr:spPr bwMode="auto">
        <a:xfrm rot="5400000">
          <a:off x="4483100" y="2343150"/>
          <a:ext cx="2032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27</xdr:col>
      <xdr:colOff>6350</xdr:colOff>
      <xdr:row>20</xdr:row>
      <xdr:rowOff>38100</xdr:rowOff>
    </xdr:from>
    <xdr:to>
      <xdr:col>47</xdr:col>
      <xdr:colOff>50800</xdr:colOff>
      <xdr:row>20</xdr:row>
      <xdr:rowOff>76200</xdr:rowOff>
    </xdr:to>
    <xdr:sp macro="" textlink="">
      <xdr:nvSpPr>
        <xdr:cNvPr id="888277" name="Line 500">
          <a:extLst>
            <a:ext uri="{FF2B5EF4-FFF2-40B4-BE49-F238E27FC236}">
              <a16:creationId xmlns="" xmlns:a16="http://schemas.microsoft.com/office/drawing/2014/main" id="{00000000-0008-0000-2600-0000D58D0D00}"/>
            </a:ext>
          </a:extLst>
        </xdr:cNvPr>
        <xdr:cNvSpPr>
          <a:spLocks noChangeShapeType="1"/>
        </xdr:cNvSpPr>
      </xdr:nvSpPr>
      <xdr:spPr bwMode="auto">
        <a:xfrm flipV="1">
          <a:off x="3098800" y="2222500"/>
          <a:ext cx="2330450" cy="3810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635</xdr:colOff>
      <xdr:row>20</xdr:row>
      <xdr:rowOff>64135</xdr:rowOff>
    </xdr:from>
    <xdr:to>
      <xdr:col>47</xdr:col>
      <xdr:colOff>57902</xdr:colOff>
      <xdr:row>22</xdr:row>
      <xdr:rowOff>66553</xdr:rowOff>
    </xdr:to>
    <xdr:sp macro="" textlink="">
      <xdr:nvSpPr>
        <xdr:cNvPr id="151" name="Rectangle 150">
          <a:extLst>
            <a:ext uri="{FF2B5EF4-FFF2-40B4-BE49-F238E27FC236}">
              <a16:creationId xmlns="" xmlns:a16="http://schemas.microsoft.com/office/drawing/2014/main" id="{00000000-0008-0000-2600-000097000000}"/>
            </a:ext>
          </a:extLst>
        </xdr:cNvPr>
        <xdr:cNvSpPr/>
      </xdr:nvSpPr>
      <xdr:spPr bwMode="auto">
        <a:xfrm>
          <a:off x="3133725" y="2400300"/>
          <a:ext cx="2333625" cy="238125"/>
        </a:xfrm>
        <a:prstGeom prst="rect">
          <a:avLst/>
        </a:prstGeom>
        <a:blipFill>
          <a:blip xmlns:r="http://schemas.openxmlformats.org/officeDocument/2006/relationships" r:embed="rId5" cstate="print"/>
          <a:tile tx="0" ty="0" sx="100000" sy="100000" flip="none" algn="tl"/>
        </a:blip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31</xdr:col>
      <xdr:colOff>0</xdr:colOff>
      <xdr:row>20</xdr:row>
      <xdr:rowOff>57150</xdr:rowOff>
    </xdr:from>
    <xdr:to>
      <xdr:col>32</xdr:col>
      <xdr:colOff>63500</xdr:colOff>
      <xdr:row>22</xdr:row>
      <xdr:rowOff>38100</xdr:rowOff>
    </xdr:to>
    <xdr:sp macro="" textlink="">
      <xdr:nvSpPr>
        <xdr:cNvPr id="888279" name="Oval 505">
          <a:extLst>
            <a:ext uri="{FF2B5EF4-FFF2-40B4-BE49-F238E27FC236}">
              <a16:creationId xmlns="" xmlns:a16="http://schemas.microsoft.com/office/drawing/2014/main" id="{00000000-0008-0000-2600-0000D78D0D00}"/>
            </a:ext>
          </a:extLst>
        </xdr:cNvPr>
        <xdr:cNvSpPr>
          <a:spLocks noChangeArrowheads="1"/>
        </xdr:cNvSpPr>
      </xdr:nvSpPr>
      <xdr:spPr bwMode="auto">
        <a:xfrm flipV="1">
          <a:off x="3549650" y="2241550"/>
          <a:ext cx="177800" cy="184150"/>
        </a:xfrm>
        <a:prstGeom prst="ellipse">
          <a:avLst/>
        </a:prstGeom>
        <a:solidFill>
          <a:srgbClr val="FFFFFF"/>
        </a:solidFill>
        <a:ln w="9525">
          <a:solidFill>
            <a:srgbClr val="000000"/>
          </a:solidFill>
          <a:round/>
          <a:headEnd/>
          <a:tailEnd/>
        </a:ln>
      </xdr:spPr>
    </xdr:sp>
    <xdr:clientData/>
  </xdr:twoCellAnchor>
  <xdr:twoCellAnchor>
    <xdr:from>
      <xdr:col>41</xdr:col>
      <xdr:colOff>57150</xdr:colOff>
      <xdr:row>20</xdr:row>
      <xdr:rowOff>57150</xdr:rowOff>
    </xdr:from>
    <xdr:to>
      <xdr:col>43</xdr:col>
      <xdr:colOff>31750</xdr:colOff>
      <xdr:row>22</xdr:row>
      <xdr:rowOff>38100</xdr:rowOff>
    </xdr:to>
    <xdr:sp macro="" textlink="">
      <xdr:nvSpPr>
        <xdr:cNvPr id="888280" name="Oval 505">
          <a:extLst>
            <a:ext uri="{FF2B5EF4-FFF2-40B4-BE49-F238E27FC236}">
              <a16:creationId xmlns="" xmlns:a16="http://schemas.microsoft.com/office/drawing/2014/main" id="{00000000-0008-0000-2600-0000D88D0D00}"/>
            </a:ext>
          </a:extLst>
        </xdr:cNvPr>
        <xdr:cNvSpPr>
          <a:spLocks noChangeArrowheads="1"/>
        </xdr:cNvSpPr>
      </xdr:nvSpPr>
      <xdr:spPr bwMode="auto">
        <a:xfrm flipV="1">
          <a:off x="4749800" y="2241550"/>
          <a:ext cx="203200" cy="184150"/>
        </a:xfrm>
        <a:prstGeom prst="ellipse">
          <a:avLst/>
        </a:prstGeom>
        <a:solidFill>
          <a:srgbClr val="FFFFFF"/>
        </a:solidFill>
        <a:ln w="9525">
          <a:solidFill>
            <a:srgbClr val="000000"/>
          </a:solidFill>
          <a:round/>
          <a:headEnd/>
          <a:tailEnd/>
        </a:ln>
      </xdr:spPr>
    </xdr:sp>
    <xdr:clientData/>
  </xdr:twoCellAnchor>
  <xdr:twoCellAnchor editAs="oneCell">
    <xdr:from>
      <xdr:col>49</xdr:col>
      <xdr:colOff>94615</xdr:colOff>
      <xdr:row>21</xdr:row>
      <xdr:rowOff>0</xdr:rowOff>
    </xdr:from>
    <xdr:to>
      <xdr:col>92</xdr:col>
      <xdr:colOff>3775</xdr:colOff>
      <xdr:row>27</xdr:row>
      <xdr:rowOff>2015</xdr:rowOff>
    </xdr:to>
    <xdr:sp macro="" textlink="">
      <xdr:nvSpPr>
        <xdr:cNvPr id="154" name="Text Box 507">
          <a:extLst>
            <a:ext uri="{FF2B5EF4-FFF2-40B4-BE49-F238E27FC236}">
              <a16:creationId xmlns="" xmlns:a16="http://schemas.microsoft.com/office/drawing/2014/main" id="{00000000-0008-0000-2600-00009A000000}"/>
            </a:ext>
          </a:extLst>
        </xdr:cNvPr>
        <xdr:cNvSpPr txBox="1">
          <a:spLocks noChangeArrowheads="1"/>
        </xdr:cNvSpPr>
      </xdr:nvSpPr>
      <xdr:spPr bwMode="auto">
        <a:xfrm>
          <a:off x="5734050" y="2457450"/>
          <a:ext cx="4848225" cy="6191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30</a:t>
          </a:r>
        </a:p>
      </xdr:txBody>
    </xdr:sp>
    <xdr:clientData/>
  </xdr:twoCellAnchor>
  <xdr:twoCellAnchor>
    <xdr:from>
      <xdr:col>49</xdr:col>
      <xdr:colOff>19050</xdr:colOff>
      <xdr:row>20</xdr:row>
      <xdr:rowOff>19050</xdr:rowOff>
    </xdr:from>
    <xdr:to>
      <xdr:col>49</xdr:col>
      <xdr:colOff>19050</xdr:colOff>
      <xdr:row>23</xdr:row>
      <xdr:rowOff>31750</xdr:rowOff>
    </xdr:to>
    <xdr:cxnSp macro="">
      <xdr:nvCxnSpPr>
        <xdr:cNvPr id="888282" name="Straight Arrow Connector 245">
          <a:extLst>
            <a:ext uri="{FF2B5EF4-FFF2-40B4-BE49-F238E27FC236}">
              <a16:creationId xmlns="" xmlns:a16="http://schemas.microsoft.com/office/drawing/2014/main" id="{00000000-0008-0000-2600-0000DA8D0D00}"/>
            </a:ext>
          </a:extLst>
        </xdr:cNvPr>
        <xdr:cNvCxnSpPr>
          <a:cxnSpLocks noChangeShapeType="1"/>
        </xdr:cNvCxnSpPr>
      </xdr:nvCxnSpPr>
      <xdr:spPr bwMode="auto">
        <a:xfrm rot="5400000">
          <a:off x="5467350" y="2362200"/>
          <a:ext cx="3175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49</xdr:col>
      <xdr:colOff>60960</xdr:colOff>
      <xdr:row>13</xdr:row>
      <xdr:rowOff>68577</xdr:rowOff>
    </xdr:from>
    <xdr:to>
      <xdr:col>58</xdr:col>
      <xdr:colOff>57815</xdr:colOff>
      <xdr:row>19</xdr:row>
      <xdr:rowOff>2188</xdr:rowOff>
    </xdr:to>
    <xdr:sp macro="" textlink="">
      <xdr:nvSpPr>
        <xdr:cNvPr id="156" name="Text Box 507">
          <a:extLst>
            <a:ext uri="{FF2B5EF4-FFF2-40B4-BE49-F238E27FC236}">
              <a16:creationId xmlns="" xmlns:a16="http://schemas.microsoft.com/office/drawing/2014/main" id="{00000000-0008-0000-2600-00009C000000}"/>
            </a:ext>
          </a:extLst>
        </xdr:cNvPr>
        <xdr:cNvSpPr txBox="1">
          <a:spLocks noChangeArrowheads="1"/>
        </xdr:cNvSpPr>
      </xdr:nvSpPr>
      <xdr:spPr bwMode="auto">
        <a:xfrm>
          <a:off x="5676900" y="1714497"/>
          <a:ext cx="1047750" cy="52387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95</a:t>
          </a:r>
        </a:p>
      </xdr:txBody>
    </xdr:sp>
    <xdr:clientData/>
  </xdr:twoCellAnchor>
  <xdr:twoCellAnchor>
    <xdr:from>
      <xdr:col>49</xdr:col>
      <xdr:colOff>19050</xdr:colOff>
      <xdr:row>11</xdr:row>
      <xdr:rowOff>6350</xdr:rowOff>
    </xdr:from>
    <xdr:to>
      <xdr:col>49</xdr:col>
      <xdr:colOff>19050</xdr:colOff>
      <xdr:row>20</xdr:row>
      <xdr:rowOff>38100</xdr:rowOff>
    </xdr:to>
    <xdr:cxnSp macro="">
      <xdr:nvCxnSpPr>
        <xdr:cNvPr id="888284" name="Straight Arrow Connector 248">
          <a:extLst>
            <a:ext uri="{FF2B5EF4-FFF2-40B4-BE49-F238E27FC236}">
              <a16:creationId xmlns="" xmlns:a16="http://schemas.microsoft.com/office/drawing/2014/main" id="{00000000-0008-0000-2600-0000DC8D0D00}"/>
            </a:ext>
          </a:extLst>
        </xdr:cNvPr>
        <xdr:cNvCxnSpPr>
          <a:cxnSpLocks noChangeShapeType="1"/>
        </xdr:cNvCxnSpPr>
      </xdr:nvCxnSpPr>
      <xdr:spPr bwMode="auto">
        <a:xfrm rot="16200000" flipH="1">
          <a:off x="5153025" y="1749425"/>
          <a:ext cx="94615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20</xdr:col>
      <xdr:colOff>76200</xdr:colOff>
      <xdr:row>11</xdr:row>
      <xdr:rowOff>6350</xdr:rowOff>
    </xdr:from>
    <xdr:to>
      <xdr:col>20</xdr:col>
      <xdr:colOff>88900</xdr:colOff>
      <xdr:row>36</xdr:row>
      <xdr:rowOff>19050</xdr:rowOff>
    </xdr:to>
    <xdr:cxnSp macro="">
      <xdr:nvCxnSpPr>
        <xdr:cNvPr id="888285" name="Straight Arrow Connector 255">
          <a:extLst>
            <a:ext uri="{FF2B5EF4-FFF2-40B4-BE49-F238E27FC236}">
              <a16:creationId xmlns="" xmlns:a16="http://schemas.microsoft.com/office/drawing/2014/main" id="{00000000-0008-0000-2600-0000DD8D0D00}"/>
            </a:ext>
          </a:extLst>
        </xdr:cNvPr>
        <xdr:cNvCxnSpPr>
          <a:cxnSpLocks noChangeShapeType="1"/>
        </xdr:cNvCxnSpPr>
      </xdr:nvCxnSpPr>
      <xdr:spPr bwMode="auto">
        <a:xfrm rot="16200000" flipH="1">
          <a:off x="1098550" y="2546350"/>
          <a:ext cx="2552700" cy="1270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18</xdr:col>
      <xdr:colOff>636</xdr:colOff>
      <xdr:row>22</xdr:row>
      <xdr:rowOff>67311</xdr:rowOff>
    </xdr:from>
    <xdr:to>
      <xdr:col>27</xdr:col>
      <xdr:colOff>20472</xdr:colOff>
      <xdr:row>26</xdr:row>
      <xdr:rowOff>3650</xdr:rowOff>
    </xdr:to>
    <xdr:sp macro="" textlink="">
      <xdr:nvSpPr>
        <xdr:cNvPr id="159" name="Text Box 507">
          <a:extLst>
            <a:ext uri="{FF2B5EF4-FFF2-40B4-BE49-F238E27FC236}">
              <a16:creationId xmlns="" xmlns:a16="http://schemas.microsoft.com/office/drawing/2014/main" id="{00000000-0008-0000-2600-00009F000000}"/>
            </a:ext>
          </a:extLst>
        </xdr:cNvPr>
        <xdr:cNvSpPr txBox="1">
          <a:spLocks noChangeArrowheads="1"/>
        </xdr:cNvSpPr>
      </xdr:nvSpPr>
      <xdr:spPr bwMode="auto">
        <a:xfrm>
          <a:off x="2105026" y="2600326"/>
          <a:ext cx="1047749" cy="3810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285</a:t>
          </a:r>
        </a:p>
      </xdr:txBody>
    </xdr:sp>
    <xdr:clientData/>
  </xdr:twoCellAnchor>
  <xdr:twoCellAnchor>
    <xdr:from>
      <xdr:col>37</xdr:col>
      <xdr:colOff>88900</xdr:colOff>
      <xdr:row>11</xdr:row>
      <xdr:rowOff>19050</xdr:rowOff>
    </xdr:from>
    <xdr:to>
      <xdr:col>38</xdr:col>
      <xdr:colOff>0</xdr:colOff>
      <xdr:row>20</xdr:row>
      <xdr:rowOff>57150</xdr:rowOff>
    </xdr:to>
    <xdr:cxnSp macro="">
      <xdr:nvCxnSpPr>
        <xdr:cNvPr id="888287" name="Straight Connector 249">
          <a:extLst>
            <a:ext uri="{FF2B5EF4-FFF2-40B4-BE49-F238E27FC236}">
              <a16:creationId xmlns="" xmlns:a16="http://schemas.microsoft.com/office/drawing/2014/main" id="{00000000-0008-0000-2600-0000DF8D0D00}"/>
            </a:ext>
          </a:extLst>
        </xdr:cNvPr>
        <xdr:cNvCxnSpPr>
          <a:cxnSpLocks noChangeShapeType="1"/>
        </xdr:cNvCxnSpPr>
      </xdr:nvCxnSpPr>
      <xdr:spPr bwMode="auto">
        <a:xfrm rot="16200000" flipH="1">
          <a:off x="3860800" y="1752600"/>
          <a:ext cx="952500" cy="2540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41</xdr:col>
      <xdr:colOff>19050</xdr:colOff>
      <xdr:row>14</xdr:row>
      <xdr:rowOff>6350</xdr:rowOff>
    </xdr:from>
    <xdr:to>
      <xdr:col>41</xdr:col>
      <xdr:colOff>31750</xdr:colOff>
      <xdr:row>17</xdr:row>
      <xdr:rowOff>38100</xdr:rowOff>
    </xdr:to>
    <xdr:cxnSp macro="">
      <xdr:nvCxnSpPr>
        <xdr:cNvPr id="888288" name="Straight Arrow Connector 256">
          <a:extLst>
            <a:ext uri="{FF2B5EF4-FFF2-40B4-BE49-F238E27FC236}">
              <a16:creationId xmlns="" xmlns:a16="http://schemas.microsoft.com/office/drawing/2014/main" id="{00000000-0008-0000-2600-0000E08D0D00}"/>
            </a:ext>
          </a:extLst>
        </xdr:cNvPr>
        <xdr:cNvCxnSpPr>
          <a:cxnSpLocks noChangeShapeType="1"/>
        </xdr:cNvCxnSpPr>
      </xdr:nvCxnSpPr>
      <xdr:spPr bwMode="auto">
        <a:xfrm rot="5400000">
          <a:off x="4549775" y="1743075"/>
          <a:ext cx="336550" cy="1270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26</xdr:col>
      <xdr:colOff>57150</xdr:colOff>
      <xdr:row>14</xdr:row>
      <xdr:rowOff>19050</xdr:rowOff>
    </xdr:from>
    <xdr:to>
      <xdr:col>47</xdr:col>
      <xdr:colOff>50800</xdr:colOff>
      <xdr:row>14</xdr:row>
      <xdr:rowOff>57150</xdr:rowOff>
    </xdr:to>
    <xdr:sp macro="" textlink="">
      <xdr:nvSpPr>
        <xdr:cNvPr id="888289" name="Line 501">
          <a:extLst>
            <a:ext uri="{FF2B5EF4-FFF2-40B4-BE49-F238E27FC236}">
              <a16:creationId xmlns="" xmlns:a16="http://schemas.microsoft.com/office/drawing/2014/main" id="{00000000-0008-0000-2600-0000E18D0D00}"/>
            </a:ext>
          </a:extLst>
        </xdr:cNvPr>
        <xdr:cNvSpPr>
          <a:spLocks noChangeShapeType="1"/>
        </xdr:cNvSpPr>
      </xdr:nvSpPr>
      <xdr:spPr bwMode="auto">
        <a:xfrm flipV="1">
          <a:off x="3035300" y="1593850"/>
          <a:ext cx="2393950" cy="3810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19050</xdr:colOff>
      <xdr:row>11</xdr:row>
      <xdr:rowOff>19050</xdr:rowOff>
    </xdr:from>
    <xdr:to>
      <xdr:col>41</xdr:col>
      <xdr:colOff>31750</xdr:colOff>
      <xdr:row>14</xdr:row>
      <xdr:rowOff>57150</xdr:rowOff>
    </xdr:to>
    <xdr:cxnSp macro="">
      <xdr:nvCxnSpPr>
        <xdr:cNvPr id="888290" name="Straight Arrow Connector 260">
          <a:extLst>
            <a:ext uri="{FF2B5EF4-FFF2-40B4-BE49-F238E27FC236}">
              <a16:creationId xmlns="" xmlns:a16="http://schemas.microsoft.com/office/drawing/2014/main" id="{00000000-0008-0000-2600-0000E28D0D00}"/>
            </a:ext>
          </a:extLst>
        </xdr:cNvPr>
        <xdr:cNvCxnSpPr>
          <a:cxnSpLocks noChangeShapeType="1"/>
        </xdr:cNvCxnSpPr>
      </xdr:nvCxnSpPr>
      <xdr:spPr bwMode="auto">
        <a:xfrm rot="5400000">
          <a:off x="4546600" y="1454150"/>
          <a:ext cx="342900" cy="1270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26</xdr:col>
      <xdr:colOff>76200</xdr:colOff>
      <xdr:row>16</xdr:row>
      <xdr:rowOff>19050</xdr:rowOff>
    </xdr:from>
    <xdr:to>
      <xdr:col>38</xdr:col>
      <xdr:colOff>0</xdr:colOff>
      <xdr:row>16</xdr:row>
      <xdr:rowOff>19050</xdr:rowOff>
    </xdr:to>
    <xdr:cxnSp macro="">
      <xdr:nvCxnSpPr>
        <xdr:cNvPr id="888291" name="Straight Arrow Connector 262">
          <a:extLst>
            <a:ext uri="{FF2B5EF4-FFF2-40B4-BE49-F238E27FC236}">
              <a16:creationId xmlns="" xmlns:a16="http://schemas.microsoft.com/office/drawing/2014/main" id="{00000000-0008-0000-2600-0000E38D0D00}"/>
            </a:ext>
          </a:extLst>
        </xdr:cNvPr>
        <xdr:cNvCxnSpPr>
          <a:cxnSpLocks noChangeShapeType="1"/>
        </xdr:cNvCxnSpPr>
      </xdr:nvCxnSpPr>
      <xdr:spPr bwMode="auto">
        <a:xfrm flipV="1">
          <a:off x="3054350" y="1797050"/>
          <a:ext cx="1295400" cy="0"/>
        </a:xfrm>
        <a:prstGeom prst="straightConnector1">
          <a:avLst/>
        </a:prstGeom>
        <a:noFill/>
        <a:ln w="9525" algn="ctr">
          <a:solidFill>
            <a:srgbClr val="FFFF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31</xdr:col>
      <xdr:colOff>635</xdr:colOff>
      <xdr:row>14</xdr:row>
      <xdr:rowOff>67946</xdr:rowOff>
    </xdr:from>
    <xdr:to>
      <xdr:col>35</xdr:col>
      <xdr:colOff>74516</xdr:colOff>
      <xdr:row>16</xdr:row>
      <xdr:rowOff>21117</xdr:rowOff>
    </xdr:to>
    <xdr:sp macro="" textlink="">
      <xdr:nvSpPr>
        <xdr:cNvPr id="165" name="TextBox 278">
          <a:extLst>
            <a:ext uri="{FF2B5EF4-FFF2-40B4-BE49-F238E27FC236}">
              <a16:creationId xmlns="" xmlns:a16="http://schemas.microsoft.com/office/drawing/2014/main" id="{00000000-0008-0000-2600-0000A5000000}"/>
            </a:ext>
          </a:extLst>
        </xdr:cNvPr>
        <xdr:cNvSpPr txBox="1"/>
      </xdr:nvSpPr>
      <xdr:spPr>
        <a:xfrm>
          <a:off x="3590925" y="1743076"/>
          <a:ext cx="533400" cy="219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solidFill>
                <a:srgbClr val="FFFF00"/>
              </a:solidFill>
            </a:rPr>
            <a:t>100</a:t>
          </a:r>
        </a:p>
      </xdr:txBody>
    </xdr:sp>
    <xdr:clientData/>
  </xdr:twoCellAnchor>
  <xdr:twoCellAnchor>
    <xdr:from>
      <xdr:col>29</xdr:col>
      <xdr:colOff>111126</xdr:colOff>
      <xdr:row>12</xdr:row>
      <xdr:rowOff>20320</xdr:rowOff>
    </xdr:from>
    <xdr:to>
      <xdr:col>30</xdr:col>
      <xdr:colOff>26982</xdr:colOff>
      <xdr:row>13</xdr:row>
      <xdr:rowOff>62279</xdr:rowOff>
    </xdr:to>
    <xdr:sp macro="" textlink="">
      <xdr:nvSpPr>
        <xdr:cNvPr id="166" name="Rectangle 165">
          <a:extLst>
            <a:ext uri="{FF2B5EF4-FFF2-40B4-BE49-F238E27FC236}">
              <a16:creationId xmlns="" xmlns:a16="http://schemas.microsoft.com/office/drawing/2014/main" id="{00000000-0008-0000-2600-0000A6000000}"/>
            </a:ext>
          </a:extLst>
        </xdr:cNvPr>
        <xdr:cNvSpPr/>
      </xdr:nvSpPr>
      <xdr:spPr bwMode="auto">
        <a:xfrm>
          <a:off x="3449956" y="1543050"/>
          <a:ext cx="45719" cy="161925"/>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36</xdr:col>
      <xdr:colOff>57786</xdr:colOff>
      <xdr:row>12</xdr:row>
      <xdr:rowOff>64135</xdr:rowOff>
    </xdr:from>
    <xdr:to>
      <xdr:col>36</xdr:col>
      <xdr:colOff>74822</xdr:colOff>
      <xdr:row>14</xdr:row>
      <xdr:rowOff>1079</xdr:rowOff>
    </xdr:to>
    <xdr:sp macro="" textlink="">
      <xdr:nvSpPr>
        <xdr:cNvPr id="167" name="Rectangle 166">
          <a:extLst>
            <a:ext uri="{FF2B5EF4-FFF2-40B4-BE49-F238E27FC236}">
              <a16:creationId xmlns="" xmlns:a16="http://schemas.microsoft.com/office/drawing/2014/main" id="{00000000-0008-0000-2600-0000A7000000}"/>
            </a:ext>
          </a:extLst>
        </xdr:cNvPr>
        <xdr:cNvSpPr/>
      </xdr:nvSpPr>
      <xdr:spPr bwMode="auto">
        <a:xfrm>
          <a:off x="4192906" y="1562100"/>
          <a:ext cx="45719" cy="17145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39</xdr:col>
      <xdr:colOff>56516</xdr:colOff>
      <xdr:row>12</xdr:row>
      <xdr:rowOff>20320</xdr:rowOff>
    </xdr:from>
    <xdr:to>
      <xdr:col>39</xdr:col>
      <xdr:colOff>111777</xdr:colOff>
      <xdr:row>13</xdr:row>
      <xdr:rowOff>62279</xdr:rowOff>
    </xdr:to>
    <xdr:sp macro="" textlink="">
      <xdr:nvSpPr>
        <xdr:cNvPr id="168" name="Rectangle 167">
          <a:extLst>
            <a:ext uri="{FF2B5EF4-FFF2-40B4-BE49-F238E27FC236}">
              <a16:creationId xmlns="" xmlns:a16="http://schemas.microsoft.com/office/drawing/2014/main" id="{00000000-0008-0000-2600-0000A8000000}"/>
            </a:ext>
          </a:extLst>
        </xdr:cNvPr>
        <xdr:cNvSpPr/>
      </xdr:nvSpPr>
      <xdr:spPr bwMode="auto">
        <a:xfrm>
          <a:off x="4564381" y="1543050"/>
          <a:ext cx="45719" cy="161925"/>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44</xdr:col>
      <xdr:colOff>61596</xdr:colOff>
      <xdr:row>12</xdr:row>
      <xdr:rowOff>0</xdr:rowOff>
    </xdr:from>
    <xdr:to>
      <xdr:col>45</xdr:col>
      <xdr:colOff>61752</xdr:colOff>
      <xdr:row>13</xdr:row>
      <xdr:rowOff>30367</xdr:rowOff>
    </xdr:to>
    <xdr:sp macro="" textlink="">
      <xdr:nvSpPr>
        <xdr:cNvPr id="169" name="Rectangle 168">
          <a:extLst>
            <a:ext uri="{FF2B5EF4-FFF2-40B4-BE49-F238E27FC236}">
              <a16:creationId xmlns="" xmlns:a16="http://schemas.microsoft.com/office/drawing/2014/main" id="{00000000-0008-0000-2600-0000A9000000}"/>
            </a:ext>
          </a:extLst>
        </xdr:cNvPr>
        <xdr:cNvSpPr/>
      </xdr:nvSpPr>
      <xdr:spPr bwMode="auto">
        <a:xfrm>
          <a:off x="5145406" y="1514475"/>
          <a:ext cx="45719" cy="161925"/>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29</xdr:col>
      <xdr:colOff>111126</xdr:colOff>
      <xdr:row>14</xdr:row>
      <xdr:rowOff>75565</xdr:rowOff>
    </xdr:from>
    <xdr:to>
      <xdr:col>30</xdr:col>
      <xdr:colOff>26982</xdr:colOff>
      <xdr:row>16</xdr:row>
      <xdr:rowOff>64529</xdr:rowOff>
    </xdr:to>
    <xdr:sp macro="" textlink="">
      <xdr:nvSpPr>
        <xdr:cNvPr id="170" name="Rectangle 169">
          <a:extLst>
            <a:ext uri="{FF2B5EF4-FFF2-40B4-BE49-F238E27FC236}">
              <a16:creationId xmlns="" xmlns:a16="http://schemas.microsoft.com/office/drawing/2014/main" id="{00000000-0008-0000-2600-0000AA000000}"/>
            </a:ext>
          </a:extLst>
        </xdr:cNvPr>
        <xdr:cNvSpPr/>
      </xdr:nvSpPr>
      <xdr:spPr bwMode="auto">
        <a:xfrm>
          <a:off x="3449956" y="1809750"/>
          <a:ext cx="45719" cy="17145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36</xdr:col>
      <xdr:colOff>27306</xdr:colOff>
      <xdr:row>14</xdr:row>
      <xdr:rowOff>75565</xdr:rowOff>
    </xdr:from>
    <xdr:to>
      <xdr:col>36</xdr:col>
      <xdr:colOff>61817</xdr:colOff>
      <xdr:row>16</xdr:row>
      <xdr:rowOff>64529</xdr:rowOff>
    </xdr:to>
    <xdr:sp macro="" textlink="">
      <xdr:nvSpPr>
        <xdr:cNvPr id="171" name="Rectangle 170">
          <a:extLst>
            <a:ext uri="{FF2B5EF4-FFF2-40B4-BE49-F238E27FC236}">
              <a16:creationId xmlns="" xmlns:a16="http://schemas.microsoft.com/office/drawing/2014/main" id="{00000000-0008-0000-2600-0000AB000000}"/>
            </a:ext>
          </a:extLst>
        </xdr:cNvPr>
        <xdr:cNvSpPr/>
      </xdr:nvSpPr>
      <xdr:spPr bwMode="auto">
        <a:xfrm>
          <a:off x="4183381" y="1809750"/>
          <a:ext cx="45719" cy="17145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39</xdr:col>
      <xdr:colOff>56516</xdr:colOff>
      <xdr:row>15</xdr:row>
      <xdr:rowOff>0</xdr:rowOff>
    </xdr:from>
    <xdr:to>
      <xdr:col>39</xdr:col>
      <xdr:colOff>110571</xdr:colOff>
      <xdr:row>16</xdr:row>
      <xdr:rowOff>41389</xdr:rowOff>
    </xdr:to>
    <xdr:sp macro="" textlink="">
      <xdr:nvSpPr>
        <xdr:cNvPr id="172" name="Rectangle 171">
          <a:extLst>
            <a:ext uri="{FF2B5EF4-FFF2-40B4-BE49-F238E27FC236}">
              <a16:creationId xmlns="" xmlns:a16="http://schemas.microsoft.com/office/drawing/2014/main" id="{00000000-0008-0000-2600-0000AC000000}"/>
            </a:ext>
          </a:extLst>
        </xdr:cNvPr>
        <xdr:cNvSpPr/>
      </xdr:nvSpPr>
      <xdr:spPr bwMode="auto">
        <a:xfrm>
          <a:off x="4554856" y="1828800"/>
          <a:ext cx="45719" cy="161925"/>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44</xdr:col>
      <xdr:colOff>56516</xdr:colOff>
      <xdr:row>15</xdr:row>
      <xdr:rowOff>0</xdr:rowOff>
    </xdr:from>
    <xdr:to>
      <xdr:col>44</xdr:col>
      <xdr:colOff>111777</xdr:colOff>
      <xdr:row>16</xdr:row>
      <xdr:rowOff>41389</xdr:rowOff>
    </xdr:to>
    <xdr:sp macro="" textlink="">
      <xdr:nvSpPr>
        <xdr:cNvPr id="173" name="Rectangle 172">
          <a:extLst>
            <a:ext uri="{FF2B5EF4-FFF2-40B4-BE49-F238E27FC236}">
              <a16:creationId xmlns="" xmlns:a16="http://schemas.microsoft.com/office/drawing/2014/main" id="{00000000-0008-0000-2600-0000AD000000}"/>
            </a:ext>
          </a:extLst>
        </xdr:cNvPr>
        <xdr:cNvSpPr/>
      </xdr:nvSpPr>
      <xdr:spPr bwMode="auto">
        <a:xfrm>
          <a:off x="5135881" y="1828800"/>
          <a:ext cx="45719" cy="161925"/>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29</xdr:col>
      <xdr:colOff>111126</xdr:colOff>
      <xdr:row>18</xdr:row>
      <xdr:rowOff>635</xdr:rowOff>
    </xdr:from>
    <xdr:to>
      <xdr:col>30</xdr:col>
      <xdr:colOff>28082</xdr:colOff>
      <xdr:row>19</xdr:row>
      <xdr:rowOff>30024</xdr:rowOff>
    </xdr:to>
    <xdr:sp macro="" textlink="">
      <xdr:nvSpPr>
        <xdr:cNvPr id="174" name="Rectangle 173">
          <a:extLst>
            <a:ext uri="{FF2B5EF4-FFF2-40B4-BE49-F238E27FC236}">
              <a16:creationId xmlns="" xmlns:a16="http://schemas.microsoft.com/office/drawing/2014/main" id="{00000000-0008-0000-2600-0000AE000000}"/>
            </a:ext>
          </a:extLst>
        </xdr:cNvPr>
        <xdr:cNvSpPr/>
      </xdr:nvSpPr>
      <xdr:spPr bwMode="auto">
        <a:xfrm>
          <a:off x="3459481" y="2152650"/>
          <a:ext cx="45719" cy="161925"/>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36</xdr:col>
      <xdr:colOff>22861</xdr:colOff>
      <xdr:row>18</xdr:row>
      <xdr:rowOff>635</xdr:rowOff>
    </xdr:from>
    <xdr:to>
      <xdr:col>36</xdr:col>
      <xdr:colOff>60274</xdr:colOff>
      <xdr:row>19</xdr:row>
      <xdr:rowOff>30024</xdr:rowOff>
    </xdr:to>
    <xdr:sp macro="" textlink="">
      <xdr:nvSpPr>
        <xdr:cNvPr id="175" name="Rectangle 174">
          <a:extLst>
            <a:ext uri="{FF2B5EF4-FFF2-40B4-BE49-F238E27FC236}">
              <a16:creationId xmlns="" xmlns:a16="http://schemas.microsoft.com/office/drawing/2014/main" id="{00000000-0008-0000-2600-0000AF000000}"/>
            </a:ext>
          </a:extLst>
        </xdr:cNvPr>
        <xdr:cNvSpPr/>
      </xdr:nvSpPr>
      <xdr:spPr bwMode="auto">
        <a:xfrm>
          <a:off x="4173856" y="2152650"/>
          <a:ext cx="45719" cy="161925"/>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39</xdr:col>
      <xdr:colOff>56516</xdr:colOff>
      <xdr:row>18</xdr:row>
      <xdr:rowOff>67945</xdr:rowOff>
    </xdr:from>
    <xdr:to>
      <xdr:col>39</xdr:col>
      <xdr:colOff>111777</xdr:colOff>
      <xdr:row>19</xdr:row>
      <xdr:rowOff>57241</xdr:rowOff>
    </xdr:to>
    <xdr:sp macro="" textlink="">
      <xdr:nvSpPr>
        <xdr:cNvPr id="176" name="Rectangle 175">
          <a:extLst>
            <a:ext uri="{FF2B5EF4-FFF2-40B4-BE49-F238E27FC236}">
              <a16:creationId xmlns="" xmlns:a16="http://schemas.microsoft.com/office/drawing/2014/main" id="{00000000-0008-0000-2600-0000B0000000}"/>
            </a:ext>
          </a:extLst>
        </xdr:cNvPr>
        <xdr:cNvSpPr/>
      </xdr:nvSpPr>
      <xdr:spPr bwMode="auto">
        <a:xfrm>
          <a:off x="4564381" y="2162175"/>
          <a:ext cx="45719" cy="161925"/>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44</xdr:col>
      <xdr:colOff>56516</xdr:colOff>
      <xdr:row>18</xdr:row>
      <xdr:rowOff>67945</xdr:rowOff>
    </xdr:from>
    <xdr:to>
      <xdr:col>44</xdr:col>
      <xdr:colOff>110571</xdr:colOff>
      <xdr:row>19</xdr:row>
      <xdr:rowOff>57241</xdr:rowOff>
    </xdr:to>
    <xdr:sp macro="" textlink="">
      <xdr:nvSpPr>
        <xdr:cNvPr id="177" name="Rectangle 176">
          <a:extLst>
            <a:ext uri="{FF2B5EF4-FFF2-40B4-BE49-F238E27FC236}">
              <a16:creationId xmlns="" xmlns:a16="http://schemas.microsoft.com/office/drawing/2014/main" id="{00000000-0008-0000-2600-0000B1000000}"/>
            </a:ext>
          </a:extLst>
        </xdr:cNvPr>
        <xdr:cNvSpPr/>
      </xdr:nvSpPr>
      <xdr:spPr bwMode="auto">
        <a:xfrm>
          <a:off x="5126356" y="2162175"/>
          <a:ext cx="45719" cy="161925"/>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73</xdr:col>
      <xdr:colOff>0</xdr:colOff>
      <xdr:row>37</xdr:row>
      <xdr:rowOff>62865</xdr:rowOff>
    </xdr:from>
    <xdr:to>
      <xdr:col>77</xdr:col>
      <xdr:colOff>58045</xdr:colOff>
      <xdr:row>40</xdr:row>
      <xdr:rowOff>64204</xdr:rowOff>
    </xdr:to>
    <xdr:sp macro="" textlink="">
      <xdr:nvSpPr>
        <xdr:cNvPr id="178" name="TextBox 311">
          <a:extLst>
            <a:ext uri="{FF2B5EF4-FFF2-40B4-BE49-F238E27FC236}">
              <a16:creationId xmlns="" xmlns:a16="http://schemas.microsoft.com/office/drawing/2014/main" id="{00000000-0008-0000-2600-0000B2000000}"/>
            </a:ext>
          </a:extLst>
        </xdr:cNvPr>
        <xdr:cNvSpPr txBox="1"/>
      </xdr:nvSpPr>
      <xdr:spPr>
        <a:xfrm>
          <a:off x="8382000" y="4219575"/>
          <a:ext cx="5143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100</a:t>
          </a:r>
        </a:p>
      </xdr:txBody>
    </xdr:sp>
    <xdr:clientData/>
  </xdr:twoCellAnchor>
  <xdr:twoCellAnchor>
    <xdr:from>
      <xdr:col>37</xdr:col>
      <xdr:colOff>63500</xdr:colOff>
      <xdr:row>10</xdr:row>
      <xdr:rowOff>6350</xdr:rowOff>
    </xdr:from>
    <xdr:to>
      <xdr:col>47</xdr:col>
      <xdr:colOff>38100</xdr:colOff>
      <xdr:row>10</xdr:row>
      <xdr:rowOff>6350</xdr:rowOff>
    </xdr:to>
    <xdr:cxnSp macro="">
      <xdr:nvCxnSpPr>
        <xdr:cNvPr id="888306" name="Straight Arrow Connector 323">
          <a:extLst>
            <a:ext uri="{FF2B5EF4-FFF2-40B4-BE49-F238E27FC236}">
              <a16:creationId xmlns="" xmlns:a16="http://schemas.microsoft.com/office/drawing/2014/main" id="{00000000-0008-0000-2600-0000F28D0D00}"/>
            </a:ext>
          </a:extLst>
        </xdr:cNvPr>
        <xdr:cNvCxnSpPr>
          <a:cxnSpLocks noChangeShapeType="1"/>
        </xdr:cNvCxnSpPr>
      </xdr:nvCxnSpPr>
      <xdr:spPr bwMode="auto">
        <a:xfrm>
          <a:off x="4298950" y="1174750"/>
          <a:ext cx="11176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42</xdr:col>
      <xdr:colOff>0</xdr:colOff>
      <xdr:row>7</xdr:row>
      <xdr:rowOff>27940</xdr:rowOff>
    </xdr:from>
    <xdr:to>
      <xdr:col>46</xdr:col>
      <xdr:colOff>58304</xdr:colOff>
      <xdr:row>9</xdr:row>
      <xdr:rowOff>63468</xdr:rowOff>
    </xdr:to>
    <xdr:sp macro="" textlink="">
      <xdr:nvSpPr>
        <xdr:cNvPr id="180" name="TextBox 324">
          <a:extLst>
            <a:ext uri="{FF2B5EF4-FFF2-40B4-BE49-F238E27FC236}">
              <a16:creationId xmlns="" xmlns:a16="http://schemas.microsoft.com/office/drawing/2014/main" id="{00000000-0008-0000-2600-0000B4000000}"/>
            </a:ext>
          </a:extLst>
        </xdr:cNvPr>
        <xdr:cNvSpPr txBox="1"/>
      </xdr:nvSpPr>
      <xdr:spPr>
        <a:xfrm>
          <a:off x="4838700" y="1066800"/>
          <a:ext cx="533400" cy="219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t>100</a:t>
          </a:r>
        </a:p>
      </xdr:txBody>
    </xdr:sp>
    <xdr:clientData/>
  </xdr:twoCellAnchor>
  <xdr:twoCellAnchor>
    <xdr:from>
      <xdr:col>38</xdr:col>
      <xdr:colOff>50800</xdr:colOff>
      <xdr:row>11</xdr:row>
      <xdr:rowOff>19050</xdr:rowOff>
    </xdr:from>
    <xdr:to>
      <xdr:col>38</xdr:col>
      <xdr:colOff>76200</xdr:colOff>
      <xdr:row>22</xdr:row>
      <xdr:rowOff>69850</xdr:rowOff>
    </xdr:to>
    <xdr:cxnSp macro="">
      <xdr:nvCxnSpPr>
        <xdr:cNvPr id="888308" name="Straight Connector 266">
          <a:extLst>
            <a:ext uri="{FF2B5EF4-FFF2-40B4-BE49-F238E27FC236}">
              <a16:creationId xmlns="" xmlns:a16="http://schemas.microsoft.com/office/drawing/2014/main" id="{00000000-0008-0000-2600-0000F48D0D00}"/>
            </a:ext>
          </a:extLst>
        </xdr:cNvPr>
        <xdr:cNvCxnSpPr>
          <a:cxnSpLocks noChangeShapeType="1"/>
        </xdr:cNvCxnSpPr>
      </xdr:nvCxnSpPr>
      <xdr:spPr bwMode="auto">
        <a:xfrm rot="16200000" flipH="1">
          <a:off x="3829050" y="1860550"/>
          <a:ext cx="1168400" cy="2540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37</xdr:col>
      <xdr:colOff>19050</xdr:colOff>
      <xdr:row>11</xdr:row>
      <xdr:rowOff>19050</xdr:rowOff>
    </xdr:from>
    <xdr:to>
      <xdr:col>37</xdr:col>
      <xdr:colOff>19050</xdr:colOff>
      <xdr:row>22</xdr:row>
      <xdr:rowOff>57150</xdr:rowOff>
    </xdr:to>
    <xdr:cxnSp macro="">
      <xdr:nvCxnSpPr>
        <xdr:cNvPr id="888309" name="Straight Connector 267">
          <a:extLst>
            <a:ext uri="{FF2B5EF4-FFF2-40B4-BE49-F238E27FC236}">
              <a16:creationId xmlns="" xmlns:a16="http://schemas.microsoft.com/office/drawing/2014/main" id="{00000000-0008-0000-2600-0000F58D0D00}"/>
            </a:ext>
          </a:extLst>
        </xdr:cNvPr>
        <xdr:cNvCxnSpPr>
          <a:cxnSpLocks noChangeShapeType="1"/>
          <a:endCxn id="151" idx="2"/>
        </xdr:cNvCxnSpPr>
      </xdr:nvCxnSpPr>
      <xdr:spPr bwMode="auto">
        <a:xfrm rot="16200000" flipH="1">
          <a:off x="3676650" y="1866900"/>
          <a:ext cx="1155700" cy="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16</xdr:col>
      <xdr:colOff>0</xdr:colOff>
      <xdr:row>16</xdr:row>
      <xdr:rowOff>19050</xdr:rowOff>
    </xdr:from>
    <xdr:to>
      <xdr:col>30</xdr:col>
      <xdr:colOff>88900</xdr:colOff>
      <xdr:row>21</xdr:row>
      <xdr:rowOff>44450</xdr:rowOff>
    </xdr:to>
    <xdr:cxnSp macro="">
      <xdr:nvCxnSpPr>
        <xdr:cNvPr id="888310" name="Connecteur droit avec flèche 182">
          <a:extLst>
            <a:ext uri="{FF2B5EF4-FFF2-40B4-BE49-F238E27FC236}">
              <a16:creationId xmlns="" xmlns:a16="http://schemas.microsoft.com/office/drawing/2014/main" id="{00000000-0008-0000-2600-0000F68D0D00}"/>
            </a:ext>
          </a:extLst>
        </xdr:cNvPr>
        <xdr:cNvCxnSpPr>
          <a:cxnSpLocks noChangeShapeType="1"/>
        </xdr:cNvCxnSpPr>
      </xdr:nvCxnSpPr>
      <xdr:spPr bwMode="auto">
        <a:xfrm>
          <a:off x="1835150" y="1797050"/>
          <a:ext cx="1689100" cy="533400"/>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61594</xdr:colOff>
      <xdr:row>12</xdr:row>
      <xdr:rowOff>74619</xdr:rowOff>
    </xdr:from>
    <xdr:to>
      <xdr:col>19</xdr:col>
      <xdr:colOff>61594</xdr:colOff>
      <xdr:row>16</xdr:row>
      <xdr:rowOff>68813</xdr:rowOff>
    </xdr:to>
    <xdr:sp macro="" textlink="">
      <xdr:nvSpPr>
        <xdr:cNvPr id="184" name="ZoneTexte 183">
          <a:extLst>
            <a:ext uri="{FF2B5EF4-FFF2-40B4-BE49-F238E27FC236}">
              <a16:creationId xmlns="" xmlns:a16="http://schemas.microsoft.com/office/drawing/2014/main" id="{00000000-0008-0000-2600-0000B8000000}"/>
            </a:ext>
          </a:extLst>
        </xdr:cNvPr>
        <xdr:cNvSpPr txBox="1"/>
      </xdr:nvSpPr>
      <xdr:spPr>
        <a:xfrm rot="5400000">
          <a:off x="1290636" y="1057282"/>
          <a:ext cx="390525" cy="1485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vert270" wrap="square" rtlCol="0" anchor="t"/>
        <a:lstStyle/>
        <a:p>
          <a:pPr algn="ctr">
            <a:lnSpc>
              <a:spcPts val="1000"/>
            </a:lnSpc>
          </a:pPr>
          <a:r>
            <a:rPr lang="en-GB" sz="1050" b="1"/>
            <a:t>Tuyau</a:t>
          </a:r>
          <a:r>
            <a:rPr lang="en-GB" sz="1050" b="1" baseline="0"/>
            <a:t> de ventilation PVC160PN6</a:t>
          </a:r>
          <a:endParaRPr lang="en-GB" sz="1050" b="1"/>
        </a:p>
      </xdr:txBody>
    </xdr:sp>
    <xdr:clientData/>
  </xdr:twoCellAnchor>
  <xdr:twoCellAnchor>
    <xdr:from>
      <xdr:col>62</xdr:col>
      <xdr:colOff>19050</xdr:colOff>
      <xdr:row>35</xdr:row>
      <xdr:rowOff>0</xdr:rowOff>
    </xdr:from>
    <xdr:to>
      <xdr:col>89</xdr:col>
      <xdr:colOff>57150</xdr:colOff>
      <xdr:row>58</xdr:row>
      <xdr:rowOff>31750</xdr:rowOff>
    </xdr:to>
    <xdr:grpSp>
      <xdr:nvGrpSpPr>
        <xdr:cNvPr id="888312" name="Groupe 184">
          <a:extLst>
            <a:ext uri="{FF2B5EF4-FFF2-40B4-BE49-F238E27FC236}">
              <a16:creationId xmlns="" xmlns:a16="http://schemas.microsoft.com/office/drawing/2014/main" id="{00000000-0008-0000-2600-0000F88D0D00}"/>
            </a:ext>
          </a:extLst>
        </xdr:cNvPr>
        <xdr:cNvGrpSpPr>
          <a:grpSpLocks/>
        </xdr:cNvGrpSpPr>
      </xdr:nvGrpSpPr>
      <xdr:grpSpPr bwMode="auto">
        <a:xfrm>
          <a:off x="7092950" y="3708400"/>
          <a:ext cx="3124200" cy="2368550"/>
          <a:chOff x="9553576" y="2533650"/>
          <a:chExt cx="3143249" cy="2680192"/>
        </a:xfrm>
      </xdr:grpSpPr>
      <xdr:sp macro="" textlink="">
        <xdr:nvSpPr>
          <xdr:cNvPr id="186" name="Rectangle 185">
            <a:extLst>
              <a:ext uri="{FF2B5EF4-FFF2-40B4-BE49-F238E27FC236}">
                <a16:creationId xmlns="" xmlns:a16="http://schemas.microsoft.com/office/drawing/2014/main" id="{00000000-0008-0000-2600-0000BA000000}"/>
              </a:ext>
            </a:extLst>
          </xdr:cNvPr>
          <xdr:cNvSpPr/>
        </xdr:nvSpPr>
        <xdr:spPr bwMode="auto">
          <a:xfrm>
            <a:off x="10211614" y="3424652"/>
            <a:ext cx="1833562" cy="696994"/>
          </a:xfrm>
          <a:prstGeom prst="rect">
            <a:avLst/>
          </a:prstGeom>
          <a:blipFill>
            <a:blip xmlns:r="http://schemas.openxmlformats.org/officeDocument/2006/relationships" r:embed="rId11" cstate="print"/>
            <a:tile tx="0" ty="0" sx="100000" sy="100000" flip="none" algn="tl"/>
          </a:blip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xnSp macro="">
        <xdr:nvCxnSpPr>
          <xdr:cNvPr id="888489" name="Straight Arrow Connector 310">
            <a:extLst>
              <a:ext uri="{FF2B5EF4-FFF2-40B4-BE49-F238E27FC236}">
                <a16:creationId xmlns="" xmlns:a16="http://schemas.microsoft.com/office/drawing/2014/main" id="{00000000-0008-0000-2600-0000A98E0D00}"/>
              </a:ext>
            </a:extLst>
          </xdr:cNvPr>
          <xdr:cNvCxnSpPr>
            <a:cxnSpLocks noChangeShapeType="1"/>
          </xdr:cNvCxnSpPr>
        </xdr:nvCxnSpPr>
        <xdr:spPr bwMode="auto">
          <a:xfrm flipV="1">
            <a:off x="10220325" y="3200400"/>
            <a:ext cx="1809750" cy="9525"/>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xnSp macro="">
        <xdr:nvCxnSpPr>
          <xdr:cNvPr id="888490" name="Straight Arrow Connector 313">
            <a:extLst>
              <a:ext uri="{FF2B5EF4-FFF2-40B4-BE49-F238E27FC236}">
                <a16:creationId xmlns="" xmlns:a16="http://schemas.microsoft.com/office/drawing/2014/main" id="{00000000-0008-0000-2600-0000AA8E0D00}"/>
              </a:ext>
            </a:extLst>
          </xdr:cNvPr>
          <xdr:cNvCxnSpPr>
            <a:cxnSpLocks noChangeShapeType="1"/>
          </xdr:cNvCxnSpPr>
        </xdr:nvCxnSpPr>
        <xdr:spPr bwMode="auto">
          <a:xfrm rot="5400000">
            <a:off x="9644063" y="3786187"/>
            <a:ext cx="695325" cy="1588"/>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189" name="Text Box 530">
            <a:extLst>
              <a:ext uri="{FF2B5EF4-FFF2-40B4-BE49-F238E27FC236}">
                <a16:creationId xmlns="" xmlns:a16="http://schemas.microsoft.com/office/drawing/2014/main" id="{00000000-0008-0000-2600-0000BD000000}"/>
              </a:ext>
            </a:extLst>
          </xdr:cNvPr>
          <xdr:cNvSpPr txBox="1">
            <a:spLocks noChangeArrowheads="1"/>
          </xdr:cNvSpPr>
        </xdr:nvSpPr>
        <xdr:spPr bwMode="auto">
          <a:xfrm>
            <a:off x="9758015" y="2533650"/>
            <a:ext cx="2938810" cy="395203"/>
          </a:xfrm>
          <a:prstGeom prst="rect">
            <a:avLst/>
          </a:prstGeom>
          <a:noFill/>
          <a:ln w="9525">
            <a:noFill/>
            <a:miter lim="800000"/>
            <a:headEnd/>
            <a:tailEnd/>
          </a:ln>
        </xdr:spPr>
        <xdr:txBody>
          <a:bodyPr vertOverflow="clip" wrap="square" lIns="27432" tIns="22860" rIns="0" bIns="0" anchor="ctr" upright="1"/>
          <a:lstStyle/>
          <a:p>
            <a:pPr algn="l" rtl="0">
              <a:defRPr sz="1000"/>
            </a:pPr>
            <a:r>
              <a:rPr lang="fr-FR" sz="1200" b="1" i="0" strike="noStrike">
                <a:solidFill>
                  <a:srgbClr val="000000"/>
                </a:solidFill>
                <a:latin typeface="Arial"/>
                <a:cs typeface="Arial"/>
              </a:rPr>
              <a:t>Détails</a:t>
            </a:r>
            <a:r>
              <a:rPr lang="fr-FR" sz="1200" b="1" i="0" strike="noStrike" baseline="0">
                <a:solidFill>
                  <a:srgbClr val="000000"/>
                </a:solidFill>
                <a:latin typeface="Arial"/>
                <a:cs typeface="Arial"/>
              </a:rPr>
              <a:t> </a:t>
            </a:r>
            <a:r>
              <a:rPr lang="fr-FR" sz="1200" b="1" i="0" strike="noStrike">
                <a:solidFill>
                  <a:srgbClr val="000000"/>
                </a:solidFill>
                <a:latin typeface="Arial"/>
                <a:cs typeface="Arial"/>
              </a:rPr>
              <a:t>dalots amovibles </a:t>
            </a:r>
          </a:p>
        </xdr:txBody>
      </xdr:sp>
      <xdr:sp macro="" textlink="">
        <xdr:nvSpPr>
          <xdr:cNvPr id="190" name="TextBox 332">
            <a:extLst>
              <a:ext uri="{FF2B5EF4-FFF2-40B4-BE49-F238E27FC236}">
                <a16:creationId xmlns="" xmlns:a16="http://schemas.microsoft.com/office/drawing/2014/main" id="{00000000-0008-0000-2600-0000BE000000}"/>
              </a:ext>
            </a:extLst>
          </xdr:cNvPr>
          <xdr:cNvSpPr txBox="1"/>
        </xdr:nvSpPr>
        <xdr:spPr>
          <a:xfrm>
            <a:off x="9553576" y="3539620"/>
            <a:ext cx="555818" cy="567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30 ou 35cm</a:t>
            </a:r>
          </a:p>
        </xdr:txBody>
      </xdr:sp>
      <xdr:sp macro="" textlink="">
        <xdr:nvSpPr>
          <xdr:cNvPr id="191" name="Rectangle 190">
            <a:extLst>
              <a:ext uri="{FF2B5EF4-FFF2-40B4-BE49-F238E27FC236}">
                <a16:creationId xmlns="" xmlns:a16="http://schemas.microsoft.com/office/drawing/2014/main" id="{00000000-0008-0000-2600-0000BF000000}"/>
              </a:ext>
            </a:extLst>
          </xdr:cNvPr>
          <xdr:cNvSpPr/>
        </xdr:nvSpPr>
        <xdr:spPr bwMode="auto">
          <a:xfrm>
            <a:off x="10511884" y="3625846"/>
            <a:ext cx="44721" cy="28742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192" name="Rectangle 191">
            <a:extLst>
              <a:ext uri="{FF2B5EF4-FFF2-40B4-BE49-F238E27FC236}">
                <a16:creationId xmlns="" xmlns:a16="http://schemas.microsoft.com/office/drawing/2014/main" id="{00000000-0008-0000-2600-0000C0000000}"/>
              </a:ext>
            </a:extLst>
          </xdr:cNvPr>
          <xdr:cNvSpPr/>
        </xdr:nvSpPr>
        <xdr:spPr bwMode="auto">
          <a:xfrm>
            <a:off x="11693796" y="3625846"/>
            <a:ext cx="44721" cy="28742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193" name="TextBox 328">
            <a:extLst>
              <a:ext uri="{FF2B5EF4-FFF2-40B4-BE49-F238E27FC236}">
                <a16:creationId xmlns="" xmlns:a16="http://schemas.microsoft.com/office/drawing/2014/main" id="{00000000-0008-0000-2600-0000C1000000}"/>
              </a:ext>
            </a:extLst>
          </xdr:cNvPr>
          <xdr:cNvSpPr txBox="1"/>
        </xdr:nvSpPr>
        <xdr:spPr>
          <a:xfrm>
            <a:off x="10377721" y="4617445"/>
            <a:ext cx="1839951" cy="596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GB" sz="1000" b="1"/>
              <a:t>Crochets sur dalots amovibles avec des fers de 8mm</a:t>
            </a:r>
          </a:p>
        </xdr:txBody>
      </xdr:sp>
    </xdr:grpSp>
    <xdr:clientData/>
  </xdr:twoCellAnchor>
  <xdr:twoCellAnchor>
    <xdr:from>
      <xdr:col>13</xdr:col>
      <xdr:colOff>50800</xdr:colOff>
      <xdr:row>120</xdr:row>
      <xdr:rowOff>44450</xdr:rowOff>
    </xdr:from>
    <xdr:to>
      <xdr:col>13</xdr:col>
      <xdr:colOff>50800</xdr:colOff>
      <xdr:row>123</xdr:row>
      <xdr:rowOff>6350</xdr:rowOff>
    </xdr:to>
    <xdr:cxnSp macro="">
      <xdr:nvCxnSpPr>
        <xdr:cNvPr id="888313" name="Connecteur droit 193">
          <a:extLst>
            <a:ext uri="{FF2B5EF4-FFF2-40B4-BE49-F238E27FC236}">
              <a16:creationId xmlns="" xmlns:a16="http://schemas.microsoft.com/office/drawing/2014/main" id="{00000000-0008-0000-2600-0000F98D0D00}"/>
            </a:ext>
          </a:extLst>
        </xdr:cNvPr>
        <xdr:cNvCxnSpPr>
          <a:cxnSpLocks noChangeShapeType="1"/>
        </xdr:cNvCxnSpPr>
      </xdr:nvCxnSpPr>
      <xdr:spPr bwMode="auto">
        <a:xfrm rot="5400000">
          <a:off x="1409700" y="12522200"/>
          <a:ext cx="26670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43</xdr:col>
      <xdr:colOff>19050</xdr:colOff>
      <xdr:row>122</xdr:row>
      <xdr:rowOff>6350</xdr:rowOff>
    </xdr:from>
    <xdr:to>
      <xdr:col>49</xdr:col>
      <xdr:colOff>6350</xdr:colOff>
      <xdr:row>122</xdr:row>
      <xdr:rowOff>6350</xdr:rowOff>
    </xdr:to>
    <xdr:sp macro="" textlink="">
      <xdr:nvSpPr>
        <xdr:cNvPr id="888314" name="Line 377">
          <a:extLst>
            <a:ext uri="{FF2B5EF4-FFF2-40B4-BE49-F238E27FC236}">
              <a16:creationId xmlns="" xmlns:a16="http://schemas.microsoft.com/office/drawing/2014/main" id="{00000000-0008-0000-2600-0000FA8D0D00}"/>
            </a:ext>
          </a:extLst>
        </xdr:cNvPr>
        <xdr:cNvSpPr>
          <a:spLocks noChangeShapeType="1"/>
        </xdr:cNvSpPr>
      </xdr:nvSpPr>
      <xdr:spPr bwMode="auto">
        <a:xfrm>
          <a:off x="4940300" y="12553950"/>
          <a:ext cx="673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49</xdr:col>
      <xdr:colOff>31750</xdr:colOff>
      <xdr:row>120</xdr:row>
      <xdr:rowOff>57150</xdr:rowOff>
    </xdr:from>
    <xdr:to>
      <xdr:col>49</xdr:col>
      <xdr:colOff>31750</xdr:colOff>
      <xdr:row>123</xdr:row>
      <xdr:rowOff>19050</xdr:rowOff>
    </xdr:to>
    <xdr:cxnSp macro="">
      <xdr:nvCxnSpPr>
        <xdr:cNvPr id="888315" name="Connecteur droit 195">
          <a:extLst>
            <a:ext uri="{FF2B5EF4-FFF2-40B4-BE49-F238E27FC236}">
              <a16:creationId xmlns="" xmlns:a16="http://schemas.microsoft.com/office/drawing/2014/main" id="{00000000-0008-0000-2600-0000FB8D0D00}"/>
            </a:ext>
          </a:extLst>
        </xdr:cNvPr>
        <xdr:cNvCxnSpPr>
          <a:cxnSpLocks noChangeShapeType="1"/>
        </xdr:cNvCxnSpPr>
      </xdr:nvCxnSpPr>
      <xdr:spPr bwMode="auto">
        <a:xfrm rot="5400000">
          <a:off x="5505450" y="12534900"/>
          <a:ext cx="26670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46</xdr:col>
      <xdr:colOff>61596</xdr:colOff>
      <xdr:row>36</xdr:row>
      <xdr:rowOff>20320</xdr:rowOff>
    </xdr:from>
    <xdr:to>
      <xdr:col>55</xdr:col>
      <xdr:colOff>931</xdr:colOff>
      <xdr:row>40</xdr:row>
      <xdr:rowOff>476</xdr:rowOff>
    </xdr:to>
    <xdr:sp macro="" textlink="">
      <xdr:nvSpPr>
        <xdr:cNvPr id="197" name="Text Box 479">
          <a:extLst>
            <a:ext uri="{FF2B5EF4-FFF2-40B4-BE49-F238E27FC236}">
              <a16:creationId xmlns="" xmlns:a16="http://schemas.microsoft.com/office/drawing/2014/main" id="{00000000-0008-0000-2600-0000C5000000}"/>
            </a:ext>
          </a:extLst>
        </xdr:cNvPr>
        <xdr:cNvSpPr txBox="1">
          <a:spLocks noChangeArrowheads="1"/>
        </xdr:cNvSpPr>
      </xdr:nvSpPr>
      <xdr:spPr bwMode="auto">
        <a:xfrm>
          <a:off x="5314951" y="4057650"/>
          <a:ext cx="1019174" cy="3905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182</a:t>
          </a:r>
        </a:p>
      </xdr:txBody>
    </xdr:sp>
    <xdr:clientData/>
  </xdr:twoCellAnchor>
  <xdr:twoCellAnchor editAs="oneCell">
    <xdr:from>
      <xdr:col>28</xdr:col>
      <xdr:colOff>56516</xdr:colOff>
      <xdr:row>36</xdr:row>
      <xdr:rowOff>635</xdr:rowOff>
    </xdr:from>
    <xdr:to>
      <xdr:col>40</xdr:col>
      <xdr:colOff>3777</xdr:colOff>
      <xdr:row>39</xdr:row>
      <xdr:rowOff>159</xdr:rowOff>
    </xdr:to>
    <xdr:sp macro="" textlink="">
      <xdr:nvSpPr>
        <xdr:cNvPr id="198" name="Text Box 479">
          <a:extLst>
            <a:ext uri="{FF2B5EF4-FFF2-40B4-BE49-F238E27FC236}">
              <a16:creationId xmlns="" xmlns:a16="http://schemas.microsoft.com/office/drawing/2014/main" id="{00000000-0008-0000-2600-0000C6000000}"/>
            </a:ext>
          </a:extLst>
        </xdr:cNvPr>
        <xdr:cNvSpPr txBox="1">
          <a:spLocks noChangeArrowheads="1"/>
        </xdr:cNvSpPr>
      </xdr:nvSpPr>
      <xdr:spPr bwMode="auto">
        <a:xfrm>
          <a:off x="3305176" y="4038600"/>
          <a:ext cx="1333499" cy="3048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43</a:t>
          </a:r>
        </a:p>
      </xdr:txBody>
    </xdr:sp>
    <xdr:clientData/>
  </xdr:twoCellAnchor>
  <xdr:twoCellAnchor>
    <xdr:from>
      <xdr:col>39</xdr:col>
      <xdr:colOff>19050</xdr:colOff>
      <xdr:row>135</xdr:row>
      <xdr:rowOff>44450</xdr:rowOff>
    </xdr:from>
    <xdr:to>
      <xdr:col>39</xdr:col>
      <xdr:colOff>19050</xdr:colOff>
      <xdr:row>142</xdr:row>
      <xdr:rowOff>0</xdr:rowOff>
    </xdr:to>
    <xdr:cxnSp macro="">
      <xdr:nvCxnSpPr>
        <xdr:cNvPr id="888318" name="Connecteur droit avec flèche 198">
          <a:extLst>
            <a:ext uri="{FF2B5EF4-FFF2-40B4-BE49-F238E27FC236}">
              <a16:creationId xmlns="" xmlns:a16="http://schemas.microsoft.com/office/drawing/2014/main" id="{00000000-0008-0000-2600-0000FE8D0D00}"/>
            </a:ext>
          </a:extLst>
        </xdr:cNvPr>
        <xdr:cNvCxnSpPr>
          <a:cxnSpLocks noChangeShapeType="1"/>
        </xdr:cNvCxnSpPr>
      </xdr:nvCxnSpPr>
      <xdr:spPr bwMode="auto">
        <a:xfrm rot="5400000">
          <a:off x="4149725" y="14246225"/>
          <a:ext cx="66675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38</xdr:col>
      <xdr:colOff>57150</xdr:colOff>
      <xdr:row>135</xdr:row>
      <xdr:rowOff>38100</xdr:rowOff>
    </xdr:from>
    <xdr:to>
      <xdr:col>40</xdr:col>
      <xdr:colOff>57150</xdr:colOff>
      <xdr:row>135</xdr:row>
      <xdr:rowOff>38100</xdr:rowOff>
    </xdr:to>
    <xdr:cxnSp macro="">
      <xdr:nvCxnSpPr>
        <xdr:cNvPr id="888319" name="Connecteur droit 199">
          <a:extLst>
            <a:ext uri="{FF2B5EF4-FFF2-40B4-BE49-F238E27FC236}">
              <a16:creationId xmlns="" xmlns:a16="http://schemas.microsoft.com/office/drawing/2014/main" id="{00000000-0008-0000-2600-0000FF8D0D00}"/>
            </a:ext>
          </a:extLst>
        </xdr:cNvPr>
        <xdr:cNvCxnSpPr>
          <a:cxnSpLocks noChangeShapeType="1"/>
        </xdr:cNvCxnSpPr>
      </xdr:nvCxnSpPr>
      <xdr:spPr bwMode="auto">
        <a:xfrm rot="10800000">
          <a:off x="4406900" y="13906500"/>
          <a:ext cx="22860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43</xdr:col>
      <xdr:colOff>19050</xdr:colOff>
      <xdr:row>125</xdr:row>
      <xdr:rowOff>38100</xdr:rowOff>
    </xdr:from>
    <xdr:to>
      <xdr:col>50</xdr:col>
      <xdr:colOff>31750</xdr:colOff>
      <xdr:row>131</xdr:row>
      <xdr:rowOff>6350</xdr:rowOff>
    </xdr:to>
    <xdr:cxnSp macro="">
      <xdr:nvCxnSpPr>
        <xdr:cNvPr id="888320" name="Connecteur droit avec flèche 200">
          <a:extLst>
            <a:ext uri="{FF2B5EF4-FFF2-40B4-BE49-F238E27FC236}">
              <a16:creationId xmlns="" xmlns:a16="http://schemas.microsoft.com/office/drawing/2014/main" id="{00000000-0008-0000-2600-0000008E0D00}"/>
            </a:ext>
          </a:extLst>
        </xdr:cNvPr>
        <xdr:cNvCxnSpPr>
          <a:cxnSpLocks noChangeShapeType="1"/>
          <a:endCxn id="888223" idx="3"/>
        </xdr:cNvCxnSpPr>
      </xdr:nvCxnSpPr>
      <xdr:spPr bwMode="auto">
        <a:xfrm rot="10800000">
          <a:off x="4940300" y="12890500"/>
          <a:ext cx="812800" cy="57785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43</xdr:col>
      <xdr:colOff>19050</xdr:colOff>
      <xdr:row>131</xdr:row>
      <xdr:rowOff>31750</xdr:rowOff>
    </xdr:from>
    <xdr:to>
      <xdr:col>50</xdr:col>
      <xdr:colOff>31750</xdr:colOff>
      <xdr:row>134</xdr:row>
      <xdr:rowOff>69850</xdr:rowOff>
    </xdr:to>
    <xdr:cxnSp macro="">
      <xdr:nvCxnSpPr>
        <xdr:cNvPr id="888321" name="Connecteur droit avec flèche 201">
          <a:extLst>
            <a:ext uri="{FF2B5EF4-FFF2-40B4-BE49-F238E27FC236}">
              <a16:creationId xmlns="" xmlns:a16="http://schemas.microsoft.com/office/drawing/2014/main" id="{00000000-0008-0000-2600-0000018E0D00}"/>
            </a:ext>
          </a:extLst>
        </xdr:cNvPr>
        <xdr:cNvCxnSpPr>
          <a:cxnSpLocks noChangeShapeType="1"/>
          <a:endCxn id="888221" idx="3"/>
        </xdr:cNvCxnSpPr>
      </xdr:nvCxnSpPr>
      <xdr:spPr bwMode="auto">
        <a:xfrm rot="10800000" flipV="1">
          <a:off x="4940300" y="13493750"/>
          <a:ext cx="812800" cy="3429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49</xdr:col>
      <xdr:colOff>56515</xdr:colOff>
      <xdr:row>130</xdr:row>
      <xdr:rowOff>67945</xdr:rowOff>
    </xdr:from>
    <xdr:to>
      <xdr:col>63</xdr:col>
      <xdr:colOff>61796</xdr:colOff>
      <xdr:row>132</xdr:row>
      <xdr:rowOff>67564</xdr:rowOff>
    </xdr:to>
    <xdr:sp macro="" textlink="">
      <xdr:nvSpPr>
        <xdr:cNvPr id="203" name="Text Box 388">
          <a:extLst>
            <a:ext uri="{FF2B5EF4-FFF2-40B4-BE49-F238E27FC236}">
              <a16:creationId xmlns="" xmlns:a16="http://schemas.microsoft.com/office/drawing/2014/main" id="{00000000-0008-0000-2600-0000CB000000}"/>
            </a:ext>
          </a:extLst>
        </xdr:cNvPr>
        <xdr:cNvSpPr txBox="1">
          <a:spLocks noChangeArrowheads="1"/>
        </xdr:cNvSpPr>
      </xdr:nvSpPr>
      <xdr:spPr bwMode="auto">
        <a:xfrm>
          <a:off x="5705475" y="13896975"/>
          <a:ext cx="1552575" cy="2286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Trous</a:t>
          </a:r>
          <a:r>
            <a:rPr lang="fr-FR" sz="1000" b="1" i="0" strike="noStrike" baseline="0">
              <a:solidFill>
                <a:srgbClr val="000000"/>
              </a:solidFill>
              <a:latin typeface="Arial"/>
              <a:cs typeface="Arial"/>
            </a:rPr>
            <a:t> pour barbacanes</a:t>
          </a:r>
          <a:endParaRPr lang="fr-FR" sz="1000" b="1" i="0" strike="noStrike">
            <a:solidFill>
              <a:srgbClr val="000000"/>
            </a:solidFill>
            <a:latin typeface="Arial"/>
            <a:cs typeface="Arial"/>
          </a:endParaRPr>
        </a:p>
      </xdr:txBody>
    </xdr:sp>
    <xdr:clientData/>
  </xdr:twoCellAnchor>
  <xdr:twoCellAnchor>
    <xdr:from>
      <xdr:col>35</xdr:col>
      <xdr:colOff>57785</xdr:colOff>
      <xdr:row>116</xdr:row>
      <xdr:rowOff>64135</xdr:rowOff>
    </xdr:from>
    <xdr:to>
      <xdr:col>36</xdr:col>
      <xdr:colOff>72232</xdr:colOff>
      <xdr:row>118</xdr:row>
      <xdr:rowOff>61010</xdr:rowOff>
    </xdr:to>
    <xdr:sp macro="" textlink="">
      <xdr:nvSpPr>
        <xdr:cNvPr id="204" name="Arc plein 203">
          <a:extLst>
            <a:ext uri="{FF2B5EF4-FFF2-40B4-BE49-F238E27FC236}">
              <a16:creationId xmlns="" xmlns:a16="http://schemas.microsoft.com/office/drawing/2014/main" id="{00000000-0008-0000-2600-0000CC000000}"/>
            </a:ext>
          </a:extLst>
        </xdr:cNvPr>
        <xdr:cNvSpPr/>
      </xdr:nvSpPr>
      <xdr:spPr bwMode="auto">
        <a:xfrm>
          <a:off x="4114800" y="12458700"/>
          <a:ext cx="123825" cy="180975"/>
        </a:xfrm>
        <a:prstGeom prst="blockArc">
          <a:avLst/>
        </a:prstGeom>
        <a:solidFill>
          <a:schemeClr val="tx1">
            <a:lumMod val="65000"/>
            <a:lumOff val="3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p>
      </xdr:txBody>
    </xdr:sp>
    <xdr:clientData/>
  </xdr:twoCellAnchor>
  <xdr:twoCellAnchor>
    <xdr:from>
      <xdr:col>40</xdr:col>
      <xdr:colOff>57785</xdr:colOff>
      <xdr:row>116</xdr:row>
      <xdr:rowOff>64135</xdr:rowOff>
    </xdr:from>
    <xdr:to>
      <xdr:col>41</xdr:col>
      <xdr:colOff>57188</xdr:colOff>
      <xdr:row>118</xdr:row>
      <xdr:rowOff>61010</xdr:rowOff>
    </xdr:to>
    <xdr:sp macro="" textlink="">
      <xdr:nvSpPr>
        <xdr:cNvPr id="205" name="Arc plein 204">
          <a:extLst>
            <a:ext uri="{FF2B5EF4-FFF2-40B4-BE49-F238E27FC236}">
              <a16:creationId xmlns="" xmlns:a16="http://schemas.microsoft.com/office/drawing/2014/main" id="{00000000-0008-0000-2600-0000CD000000}"/>
            </a:ext>
          </a:extLst>
        </xdr:cNvPr>
        <xdr:cNvSpPr/>
      </xdr:nvSpPr>
      <xdr:spPr bwMode="auto">
        <a:xfrm>
          <a:off x="4667250" y="12458700"/>
          <a:ext cx="123825" cy="180975"/>
        </a:xfrm>
        <a:prstGeom prst="blockArc">
          <a:avLst/>
        </a:prstGeom>
        <a:solidFill>
          <a:schemeClr val="tx1">
            <a:lumMod val="65000"/>
            <a:lumOff val="3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p>
      </xdr:txBody>
    </xdr:sp>
    <xdr:clientData/>
  </xdr:twoCellAnchor>
  <xdr:twoCellAnchor>
    <xdr:from>
      <xdr:col>122</xdr:col>
      <xdr:colOff>82550</xdr:colOff>
      <xdr:row>88</xdr:row>
      <xdr:rowOff>6350</xdr:rowOff>
    </xdr:from>
    <xdr:to>
      <xdr:col>122</xdr:col>
      <xdr:colOff>95250</xdr:colOff>
      <xdr:row>93</xdr:row>
      <xdr:rowOff>69850</xdr:rowOff>
    </xdr:to>
    <xdr:cxnSp macro="">
      <xdr:nvCxnSpPr>
        <xdr:cNvPr id="888325" name="Connecteur droit avec flèche 205">
          <a:extLst>
            <a:ext uri="{FF2B5EF4-FFF2-40B4-BE49-F238E27FC236}">
              <a16:creationId xmlns="" xmlns:a16="http://schemas.microsoft.com/office/drawing/2014/main" id="{00000000-0008-0000-2600-0000058E0D00}"/>
            </a:ext>
          </a:extLst>
        </xdr:cNvPr>
        <xdr:cNvCxnSpPr>
          <a:cxnSpLocks noChangeShapeType="1"/>
        </xdr:cNvCxnSpPr>
      </xdr:nvCxnSpPr>
      <xdr:spPr bwMode="auto">
        <a:xfrm rot="5400000">
          <a:off x="12795250" y="9378950"/>
          <a:ext cx="571500" cy="1270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121</xdr:col>
      <xdr:colOff>63500</xdr:colOff>
      <xdr:row>88</xdr:row>
      <xdr:rowOff>6350</xdr:rowOff>
    </xdr:from>
    <xdr:to>
      <xdr:col>124</xdr:col>
      <xdr:colOff>76200</xdr:colOff>
      <xdr:row>88</xdr:row>
      <xdr:rowOff>6350</xdr:rowOff>
    </xdr:to>
    <xdr:cxnSp macro="">
      <xdr:nvCxnSpPr>
        <xdr:cNvPr id="888326" name="Connecteur droit 206">
          <a:extLst>
            <a:ext uri="{FF2B5EF4-FFF2-40B4-BE49-F238E27FC236}">
              <a16:creationId xmlns="" xmlns:a16="http://schemas.microsoft.com/office/drawing/2014/main" id="{00000000-0008-0000-2600-0000068E0D00}"/>
            </a:ext>
          </a:extLst>
        </xdr:cNvPr>
        <xdr:cNvCxnSpPr>
          <a:cxnSpLocks noChangeShapeType="1"/>
        </xdr:cNvCxnSpPr>
      </xdr:nvCxnSpPr>
      <xdr:spPr bwMode="auto">
        <a:xfrm rot="16200000" flipV="1">
          <a:off x="13122275" y="8912225"/>
          <a:ext cx="0" cy="3746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117</xdr:col>
      <xdr:colOff>96520</xdr:colOff>
      <xdr:row>84</xdr:row>
      <xdr:rowOff>64132</xdr:rowOff>
    </xdr:from>
    <xdr:to>
      <xdr:col>164</xdr:col>
      <xdr:colOff>294678</xdr:colOff>
      <xdr:row>90</xdr:row>
      <xdr:rowOff>1064</xdr:rowOff>
    </xdr:to>
    <xdr:sp macro="" textlink="">
      <xdr:nvSpPr>
        <xdr:cNvPr id="208" name="Text Box 372">
          <a:extLst>
            <a:ext uri="{FF2B5EF4-FFF2-40B4-BE49-F238E27FC236}">
              <a16:creationId xmlns="" xmlns:a16="http://schemas.microsoft.com/office/drawing/2014/main" id="{00000000-0008-0000-2600-0000D0000000}"/>
            </a:ext>
          </a:extLst>
        </xdr:cNvPr>
        <xdr:cNvSpPr txBox="1">
          <a:spLocks noChangeArrowheads="1"/>
        </xdr:cNvSpPr>
      </xdr:nvSpPr>
      <xdr:spPr bwMode="auto">
        <a:xfrm flipV="1">
          <a:off x="12544425" y="9115422"/>
          <a:ext cx="9429750" cy="581028"/>
        </a:xfrm>
        <a:prstGeom prst="rect">
          <a:avLst/>
        </a:prstGeom>
        <a:noFill/>
        <a:ln w="9525">
          <a:noFill/>
          <a:miter lim="800000"/>
          <a:headEnd/>
          <a:tailEnd/>
        </a:ln>
      </xdr:spPr>
      <xdr:txBody>
        <a:bodyPr vertOverflow="clip" wrap="square" lIns="27432" tIns="22860" rIns="0" bIns="0" anchor="t" upright="1"/>
        <a:lstStyle/>
        <a:p>
          <a:pPr algn="ctr" rtl="0">
            <a:defRPr sz="1000"/>
          </a:pPr>
          <a:r>
            <a:rPr lang="fr-FR" sz="900" b="1" i="1" strike="noStrike">
              <a:solidFill>
                <a:schemeClr val="accent2">
                  <a:lumMod val="50000"/>
                </a:schemeClr>
              </a:solidFill>
              <a:latin typeface="Arial"/>
              <a:cs typeface="Arial"/>
            </a:rPr>
            <a:t>NB:</a:t>
          </a:r>
          <a:r>
            <a:rPr lang="fr-FR" sz="900" b="1" i="1" strike="noStrike" baseline="0">
              <a:solidFill>
                <a:schemeClr val="accent2">
                  <a:lumMod val="50000"/>
                </a:schemeClr>
              </a:solidFill>
              <a:latin typeface="Arial"/>
              <a:cs typeface="Arial"/>
            </a:rPr>
            <a:t> DEPASSEMENT TUYAU DE LA TOITURE:</a:t>
          </a:r>
          <a:r>
            <a:rPr lang="fr-FR" sz="900" b="1" i="1" strike="noStrike">
              <a:solidFill>
                <a:schemeClr val="accent2">
                  <a:lumMod val="50000"/>
                </a:schemeClr>
              </a:solidFill>
              <a:latin typeface="Arial"/>
              <a:cs typeface="Arial"/>
            </a:rPr>
            <a:t>50cm</a:t>
          </a:r>
        </a:p>
      </xdr:txBody>
    </xdr:sp>
    <xdr:clientData/>
  </xdr:twoCellAnchor>
  <xdr:twoCellAnchor>
    <xdr:from>
      <xdr:col>126</xdr:col>
      <xdr:colOff>95250</xdr:colOff>
      <xdr:row>85</xdr:row>
      <xdr:rowOff>82550</xdr:rowOff>
    </xdr:from>
    <xdr:to>
      <xdr:col>137</xdr:col>
      <xdr:colOff>120650</xdr:colOff>
      <xdr:row>91</xdr:row>
      <xdr:rowOff>19050</xdr:rowOff>
    </xdr:to>
    <xdr:cxnSp macro="">
      <xdr:nvCxnSpPr>
        <xdr:cNvPr id="888328" name="Connecteur droit avec flèche 208">
          <a:extLst>
            <a:ext uri="{FF2B5EF4-FFF2-40B4-BE49-F238E27FC236}">
              <a16:creationId xmlns="" xmlns:a16="http://schemas.microsoft.com/office/drawing/2014/main" id="{00000000-0008-0000-2600-0000088E0D00}"/>
            </a:ext>
          </a:extLst>
        </xdr:cNvPr>
        <xdr:cNvCxnSpPr>
          <a:cxnSpLocks noChangeShapeType="1"/>
        </xdr:cNvCxnSpPr>
      </xdr:nvCxnSpPr>
      <xdr:spPr bwMode="auto">
        <a:xfrm>
          <a:off x="13569950" y="8870950"/>
          <a:ext cx="1466850" cy="5461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72</xdr:col>
      <xdr:colOff>31750</xdr:colOff>
      <xdr:row>9</xdr:row>
      <xdr:rowOff>31750</xdr:rowOff>
    </xdr:from>
    <xdr:to>
      <xdr:col>82</xdr:col>
      <xdr:colOff>0</xdr:colOff>
      <xdr:row>14</xdr:row>
      <xdr:rowOff>57150</xdr:rowOff>
    </xdr:to>
    <xdr:grpSp>
      <xdr:nvGrpSpPr>
        <xdr:cNvPr id="888329" name="Groupe 209">
          <a:extLst>
            <a:ext uri="{FF2B5EF4-FFF2-40B4-BE49-F238E27FC236}">
              <a16:creationId xmlns="" xmlns:a16="http://schemas.microsoft.com/office/drawing/2014/main" id="{00000000-0008-0000-2600-0000098E0D00}"/>
            </a:ext>
          </a:extLst>
        </xdr:cNvPr>
        <xdr:cNvGrpSpPr>
          <a:grpSpLocks/>
        </xdr:cNvGrpSpPr>
      </xdr:nvGrpSpPr>
      <xdr:grpSpPr bwMode="auto">
        <a:xfrm>
          <a:off x="8248650" y="1098550"/>
          <a:ext cx="1111250" cy="533400"/>
          <a:chOff x="7810500" y="1704976"/>
          <a:chExt cx="1104900" cy="514350"/>
        </a:xfrm>
      </xdr:grpSpPr>
      <xdr:sp macro="" textlink="">
        <xdr:nvSpPr>
          <xdr:cNvPr id="211" name="Ellipse 210">
            <a:extLst>
              <a:ext uri="{FF2B5EF4-FFF2-40B4-BE49-F238E27FC236}">
                <a16:creationId xmlns="" xmlns:a16="http://schemas.microsoft.com/office/drawing/2014/main" id="{00000000-0008-0000-2600-0000D3000000}"/>
              </a:ext>
            </a:extLst>
          </xdr:cNvPr>
          <xdr:cNvSpPr/>
        </xdr:nvSpPr>
        <xdr:spPr bwMode="auto">
          <a:xfrm>
            <a:off x="7810500" y="1821317"/>
            <a:ext cx="359882" cy="324530"/>
          </a:xfrm>
          <a:prstGeom prst="ellipse">
            <a:avLst/>
          </a:prstGeom>
          <a:solidFill>
            <a:schemeClr val="accent2">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212" name="Organigramme : Délai 211">
            <a:extLst>
              <a:ext uri="{FF2B5EF4-FFF2-40B4-BE49-F238E27FC236}">
                <a16:creationId xmlns="" xmlns:a16="http://schemas.microsoft.com/office/drawing/2014/main" id="{00000000-0008-0000-2600-0000D4000000}"/>
              </a:ext>
            </a:extLst>
          </xdr:cNvPr>
          <xdr:cNvSpPr/>
        </xdr:nvSpPr>
        <xdr:spPr bwMode="auto">
          <a:xfrm>
            <a:off x="7999911" y="1821317"/>
            <a:ext cx="814469" cy="318407"/>
          </a:xfrm>
          <a:prstGeom prst="flowChartDelay">
            <a:avLst/>
          </a:prstGeom>
          <a:solidFill>
            <a:schemeClr val="accent2">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213" name="Ellipse 212">
            <a:extLst>
              <a:ext uri="{FF2B5EF4-FFF2-40B4-BE49-F238E27FC236}">
                <a16:creationId xmlns="" xmlns:a16="http://schemas.microsoft.com/office/drawing/2014/main" id="{00000000-0008-0000-2600-0000D5000000}"/>
              </a:ext>
            </a:extLst>
          </xdr:cNvPr>
          <xdr:cNvSpPr/>
        </xdr:nvSpPr>
        <xdr:spPr bwMode="auto">
          <a:xfrm>
            <a:off x="8403989" y="1704976"/>
            <a:ext cx="511411" cy="514350"/>
          </a:xfrm>
          <a:prstGeom prst="ellipse">
            <a:avLst/>
          </a:prstGeom>
          <a:solidFill>
            <a:schemeClr val="accent1">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grpSp>
    <xdr:clientData/>
  </xdr:twoCellAnchor>
  <xdr:twoCellAnchor>
    <xdr:from>
      <xdr:col>72</xdr:col>
      <xdr:colOff>6350</xdr:colOff>
      <xdr:row>8</xdr:row>
      <xdr:rowOff>6350</xdr:rowOff>
    </xdr:from>
    <xdr:to>
      <xdr:col>82</xdr:col>
      <xdr:colOff>31750</xdr:colOff>
      <xdr:row>8</xdr:row>
      <xdr:rowOff>6350</xdr:rowOff>
    </xdr:to>
    <xdr:cxnSp macro="">
      <xdr:nvCxnSpPr>
        <xdr:cNvPr id="888330" name="Connecteur droit avec flèche 213">
          <a:extLst>
            <a:ext uri="{FF2B5EF4-FFF2-40B4-BE49-F238E27FC236}">
              <a16:creationId xmlns="" xmlns:a16="http://schemas.microsoft.com/office/drawing/2014/main" id="{00000000-0008-0000-2600-00000A8E0D00}"/>
            </a:ext>
          </a:extLst>
        </xdr:cNvPr>
        <xdr:cNvCxnSpPr>
          <a:cxnSpLocks noChangeShapeType="1"/>
        </xdr:cNvCxnSpPr>
      </xdr:nvCxnSpPr>
      <xdr:spPr bwMode="auto">
        <a:xfrm>
          <a:off x="8242300" y="971550"/>
          <a:ext cx="11684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76</xdr:col>
      <xdr:colOff>0</xdr:colOff>
      <xdr:row>6</xdr:row>
      <xdr:rowOff>0</xdr:rowOff>
    </xdr:from>
    <xdr:to>
      <xdr:col>80</xdr:col>
      <xdr:colOff>58045</xdr:colOff>
      <xdr:row>8</xdr:row>
      <xdr:rowOff>76935</xdr:rowOff>
    </xdr:to>
    <xdr:sp macro="" textlink="">
      <xdr:nvSpPr>
        <xdr:cNvPr id="215" name="TextBox 311">
          <a:extLst>
            <a:ext uri="{FF2B5EF4-FFF2-40B4-BE49-F238E27FC236}">
              <a16:creationId xmlns="" xmlns:a16="http://schemas.microsoft.com/office/drawing/2014/main" id="{00000000-0008-0000-2600-0000D7000000}"/>
            </a:ext>
          </a:extLst>
        </xdr:cNvPr>
        <xdr:cNvSpPr txBox="1"/>
      </xdr:nvSpPr>
      <xdr:spPr>
        <a:xfrm>
          <a:off x="8724900" y="885825"/>
          <a:ext cx="51435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28</a:t>
          </a:r>
        </a:p>
      </xdr:txBody>
    </xdr:sp>
    <xdr:clientData/>
  </xdr:twoCellAnchor>
  <xdr:twoCellAnchor>
    <xdr:from>
      <xdr:col>77</xdr:col>
      <xdr:colOff>50800</xdr:colOff>
      <xdr:row>12</xdr:row>
      <xdr:rowOff>6350</xdr:rowOff>
    </xdr:from>
    <xdr:to>
      <xdr:col>82</xdr:col>
      <xdr:colOff>6350</xdr:colOff>
      <xdr:row>12</xdr:row>
      <xdr:rowOff>19050</xdr:rowOff>
    </xdr:to>
    <xdr:cxnSp macro="">
      <xdr:nvCxnSpPr>
        <xdr:cNvPr id="888332" name="Connecteur droit avec flèche 215">
          <a:extLst>
            <a:ext uri="{FF2B5EF4-FFF2-40B4-BE49-F238E27FC236}">
              <a16:creationId xmlns="" xmlns:a16="http://schemas.microsoft.com/office/drawing/2014/main" id="{00000000-0008-0000-2600-00000C8E0D00}"/>
            </a:ext>
          </a:extLst>
        </xdr:cNvPr>
        <xdr:cNvCxnSpPr>
          <a:cxnSpLocks noChangeShapeType="1"/>
          <a:stCxn id="213" idx="2"/>
        </xdr:cNvCxnSpPr>
      </xdr:nvCxnSpPr>
      <xdr:spPr bwMode="auto">
        <a:xfrm rot="10800000" flipH="1" flipV="1">
          <a:off x="8858250" y="1377950"/>
          <a:ext cx="527050" cy="1270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77</xdr:col>
      <xdr:colOff>74295</xdr:colOff>
      <xdr:row>10</xdr:row>
      <xdr:rowOff>635</xdr:rowOff>
    </xdr:from>
    <xdr:to>
      <xdr:col>82</xdr:col>
      <xdr:colOff>19957</xdr:colOff>
      <xdr:row>13</xdr:row>
      <xdr:rowOff>159</xdr:rowOff>
    </xdr:to>
    <xdr:sp macro="" textlink="">
      <xdr:nvSpPr>
        <xdr:cNvPr id="217" name="TextBox 311">
          <a:extLst>
            <a:ext uri="{FF2B5EF4-FFF2-40B4-BE49-F238E27FC236}">
              <a16:creationId xmlns="" xmlns:a16="http://schemas.microsoft.com/office/drawing/2014/main" id="{00000000-0008-0000-2600-0000D9000000}"/>
            </a:ext>
          </a:extLst>
        </xdr:cNvPr>
        <xdr:cNvSpPr txBox="1"/>
      </xdr:nvSpPr>
      <xdr:spPr>
        <a:xfrm>
          <a:off x="8924925" y="1314450"/>
          <a:ext cx="5143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D=15</a:t>
          </a:r>
        </a:p>
      </xdr:txBody>
    </xdr:sp>
    <xdr:clientData/>
  </xdr:twoCellAnchor>
  <xdr:twoCellAnchor>
    <xdr:from>
      <xdr:col>71</xdr:col>
      <xdr:colOff>0</xdr:colOff>
      <xdr:row>10</xdr:row>
      <xdr:rowOff>69850</xdr:rowOff>
    </xdr:from>
    <xdr:to>
      <xdr:col>71</xdr:col>
      <xdr:colOff>6350</xdr:colOff>
      <xdr:row>14</xdr:row>
      <xdr:rowOff>6350</xdr:rowOff>
    </xdr:to>
    <xdr:cxnSp macro="">
      <xdr:nvCxnSpPr>
        <xdr:cNvPr id="888334" name="Connecteur droit avec flèche 217">
          <a:extLst>
            <a:ext uri="{FF2B5EF4-FFF2-40B4-BE49-F238E27FC236}">
              <a16:creationId xmlns="" xmlns:a16="http://schemas.microsoft.com/office/drawing/2014/main" id="{00000000-0008-0000-2600-00000E8E0D00}"/>
            </a:ext>
          </a:extLst>
        </xdr:cNvPr>
        <xdr:cNvCxnSpPr>
          <a:cxnSpLocks noChangeShapeType="1"/>
        </xdr:cNvCxnSpPr>
      </xdr:nvCxnSpPr>
      <xdr:spPr bwMode="auto">
        <a:xfrm rot="5400000">
          <a:off x="7953375" y="1406525"/>
          <a:ext cx="342900" cy="635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68</xdr:col>
      <xdr:colOff>60960</xdr:colOff>
      <xdr:row>11</xdr:row>
      <xdr:rowOff>24765</xdr:rowOff>
    </xdr:from>
    <xdr:to>
      <xdr:col>72</xdr:col>
      <xdr:colOff>94647</xdr:colOff>
      <xdr:row>14</xdr:row>
      <xdr:rowOff>174</xdr:rowOff>
    </xdr:to>
    <xdr:sp macro="" textlink="">
      <xdr:nvSpPr>
        <xdr:cNvPr id="219" name="TextBox 311">
          <a:extLst>
            <a:ext uri="{FF2B5EF4-FFF2-40B4-BE49-F238E27FC236}">
              <a16:creationId xmlns="" xmlns:a16="http://schemas.microsoft.com/office/drawing/2014/main" id="{00000000-0008-0000-2600-0000DB000000}"/>
            </a:ext>
          </a:extLst>
        </xdr:cNvPr>
        <xdr:cNvSpPr txBox="1"/>
      </xdr:nvSpPr>
      <xdr:spPr>
        <a:xfrm>
          <a:off x="7848600" y="1419225"/>
          <a:ext cx="5143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7,5</a:t>
          </a:r>
        </a:p>
      </xdr:txBody>
    </xdr:sp>
    <xdr:clientData/>
  </xdr:twoCellAnchor>
  <xdr:twoCellAnchor>
    <xdr:from>
      <xdr:col>72</xdr:col>
      <xdr:colOff>50800</xdr:colOff>
      <xdr:row>16</xdr:row>
      <xdr:rowOff>69850</xdr:rowOff>
    </xdr:from>
    <xdr:to>
      <xdr:col>78</xdr:col>
      <xdr:colOff>0</xdr:colOff>
      <xdr:row>16</xdr:row>
      <xdr:rowOff>69850</xdr:rowOff>
    </xdr:to>
    <xdr:cxnSp macro="">
      <xdr:nvCxnSpPr>
        <xdr:cNvPr id="888336" name="Connecteur droit avec flèche 219">
          <a:extLst>
            <a:ext uri="{FF2B5EF4-FFF2-40B4-BE49-F238E27FC236}">
              <a16:creationId xmlns="" xmlns:a16="http://schemas.microsoft.com/office/drawing/2014/main" id="{00000000-0008-0000-2600-0000108E0D00}"/>
            </a:ext>
          </a:extLst>
        </xdr:cNvPr>
        <xdr:cNvCxnSpPr>
          <a:cxnSpLocks noChangeShapeType="1"/>
        </xdr:cNvCxnSpPr>
      </xdr:nvCxnSpPr>
      <xdr:spPr bwMode="auto">
        <a:xfrm>
          <a:off x="8286750" y="1847850"/>
          <a:ext cx="6350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74</xdr:col>
      <xdr:colOff>60960</xdr:colOff>
      <xdr:row>14</xdr:row>
      <xdr:rowOff>64135</xdr:rowOff>
    </xdr:from>
    <xdr:to>
      <xdr:col>78</xdr:col>
      <xdr:colOff>94647</xdr:colOff>
      <xdr:row>17</xdr:row>
      <xdr:rowOff>28279</xdr:rowOff>
    </xdr:to>
    <xdr:sp macro="" textlink="">
      <xdr:nvSpPr>
        <xdr:cNvPr id="221" name="TextBox 311">
          <a:extLst>
            <a:ext uri="{FF2B5EF4-FFF2-40B4-BE49-F238E27FC236}">
              <a16:creationId xmlns="" xmlns:a16="http://schemas.microsoft.com/office/drawing/2014/main" id="{00000000-0008-0000-2600-0000DD000000}"/>
            </a:ext>
          </a:extLst>
        </xdr:cNvPr>
        <xdr:cNvSpPr txBox="1"/>
      </xdr:nvSpPr>
      <xdr:spPr>
        <a:xfrm>
          <a:off x="8534400" y="1800225"/>
          <a:ext cx="5143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13</a:t>
          </a:r>
        </a:p>
      </xdr:txBody>
    </xdr:sp>
    <xdr:clientData/>
  </xdr:twoCellAnchor>
  <xdr:twoCellAnchor>
    <xdr:from>
      <xdr:col>84</xdr:col>
      <xdr:colOff>6350</xdr:colOff>
      <xdr:row>9</xdr:row>
      <xdr:rowOff>44450</xdr:rowOff>
    </xdr:from>
    <xdr:to>
      <xdr:col>84</xdr:col>
      <xdr:colOff>6350</xdr:colOff>
      <xdr:row>14</xdr:row>
      <xdr:rowOff>31750</xdr:rowOff>
    </xdr:to>
    <xdr:cxnSp macro="">
      <xdr:nvCxnSpPr>
        <xdr:cNvPr id="888338" name="Connecteur droit avec flèche 221">
          <a:extLst>
            <a:ext uri="{FF2B5EF4-FFF2-40B4-BE49-F238E27FC236}">
              <a16:creationId xmlns="" xmlns:a16="http://schemas.microsoft.com/office/drawing/2014/main" id="{00000000-0008-0000-2600-0000128E0D00}"/>
            </a:ext>
          </a:extLst>
        </xdr:cNvPr>
        <xdr:cNvCxnSpPr>
          <a:cxnSpLocks noChangeShapeType="1"/>
        </xdr:cNvCxnSpPr>
      </xdr:nvCxnSpPr>
      <xdr:spPr bwMode="auto">
        <a:xfrm rot="16200000" flipH="1">
          <a:off x="9366250" y="1358900"/>
          <a:ext cx="4953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83</xdr:col>
      <xdr:colOff>56515</xdr:colOff>
      <xdr:row>10</xdr:row>
      <xdr:rowOff>64135</xdr:rowOff>
    </xdr:from>
    <xdr:to>
      <xdr:col>88</xdr:col>
      <xdr:colOff>774</xdr:colOff>
      <xdr:row>13</xdr:row>
      <xdr:rowOff>59051</xdr:rowOff>
    </xdr:to>
    <xdr:sp macro="" textlink="">
      <xdr:nvSpPr>
        <xdr:cNvPr id="223" name="TextBox 311">
          <a:extLst>
            <a:ext uri="{FF2B5EF4-FFF2-40B4-BE49-F238E27FC236}">
              <a16:creationId xmlns="" xmlns:a16="http://schemas.microsoft.com/office/drawing/2014/main" id="{00000000-0008-0000-2600-0000DF000000}"/>
            </a:ext>
          </a:extLst>
        </xdr:cNvPr>
        <xdr:cNvSpPr txBox="1"/>
      </xdr:nvSpPr>
      <xdr:spPr>
        <a:xfrm>
          <a:off x="9591675" y="1362075"/>
          <a:ext cx="5143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15</a:t>
          </a:r>
        </a:p>
      </xdr:txBody>
    </xdr:sp>
    <xdr:clientData/>
  </xdr:twoCellAnchor>
  <xdr:twoCellAnchor>
    <xdr:from>
      <xdr:col>41</xdr:col>
      <xdr:colOff>60960</xdr:colOff>
      <xdr:row>26</xdr:row>
      <xdr:rowOff>75565</xdr:rowOff>
    </xdr:from>
    <xdr:to>
      <xdr:col>43</xdr:col>
      <xdr:colOff>60960</xdr:colOff>
      <xdr:row>31</xdr:row>
      <xdr:rowOff>3425</xdr:rowOff>
    </xdr:to>
    <xdr:grpSp>
      <xdr:nvGrpSpPr>
        <xdr:cNvPr id="374" name="Groupe 223">
          <a:extLst>
            <a:ext uri="{FF2B5EF4-FFF2-40B4-BE49-F238E27FC236}">
              <a16:creationId xmlns="" xmlns:a16="http://schemas.microsoft.com/office/drawing/2014/main" id="{00000000-0008-0000-2600-000076010000}"/>
            </a:ext>
          </a:extLst>
        </xdr:cNvPr>
        <xdr:cNvGrpSpPr/>
      </xdr:nvGrpSpPr>
      <xdr:grpSpPr>
        <a:xfrm rot="16200000">
          <a:off x="4630930" y="2973195"/>
          <a:ext cx="435860" cy="228600"/>
          <a:chOff x="7810500" y="1704976"/>
          <a:chExt cx="1104900" cy="514350"/>
        </a:xfrm>
        <a:solidFill>
          <a:schemeClr val="tx2">
            <a:lumMod val="60000"/>
            <a:lumOff val="40000"/>
          </a:schemeClr>
        </a:solidFill>
      </xdr:grpSpPr>
      <xdr:sp macro="" textlink="">
        <xdr:nvSpPr>
          <xdr:cNvPr id="225" name="Ellipse 224">
            <a:extLst>
              <a:ext uri="{FF2B5EF4-FFF2-40B4-BE49-F238E27FC236}">
                <a16:creationId xmlns="" xmlns:a16="http://schemas.microsoft.com/office/drawing/2014/main" id="{00000000-0008-0000-2600-0000E1000000}"/>
              </a:ext>
            </a:extLst>
          </xdr:cNvPr>
          <xdr:cNvSpPr/>
        </xdr:nvSpPr>
        <xdr:spPr bwMode="auto">
          <a:xfrm>
            <a:off x="9876800" y="1382080"/>
            <a:ext cx="248504" cy="342900"/>
          </a:xfrm>
          <a:prstGeom prst="ellipse">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226" name="Organigramme : Délai 225">
            <a:extLst>
              <a:ext uri="{FF2B5EF4-FFF2-40B4-BE49-F238E27FC236}">
                <a16:creationId xmlns="" xmlns:a16="http://schemas.microsoft.com/office/drawing/2014/main" id="{00000000-0008-0000-2600-0000E2000000}"/>
              </a:ext>
            </a:extLst>
          </xdr:cNvPr>
          <xdr:cNvSpPr/>
        </xdr:nvSpPr>
        <xdr:spPr bwMode="auto">
          <a:xfrm>
            <a:off x="10063178" y="1382080"/>
            <a:ext cx="543602" cy="328613"/>
          </a:xfrm>
          <a:prstGeom prst="flowChartDelay">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227" name="Ellipse 226">
            <a:extLst>
              <a:ext uri="{FF2B5EF4-FFF2-40B4-BE49-F238E27FC236}">
                <a16:creationId xmlns="" xmlns:a16="http://schemas.microsoft.com/office/drawing/2014/main" id="{00000000-0008-0000-2600-0000E3000000}"/>
              </a:ext>
            </a:extLst>
          </xdr:cNvPr>
          <xdr:cNvSpPr/>
        </xdr:nvSpPr>
        <xdr:spPr bwMode="auto">
          <a:xfrm>
            <a:off x="10296150" y="1282067"/>
            <a:ext cx="403819" cy="514350"/>
          </a:xfrm>
          <a:prstGeom prst="ellipse">
            <a:avLst/>
          </a:prstGeom>
          <a:solidFill>
            <a:schemeClr val="accent1">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grpSp>
    <xdr:clientData/>
  </xdr:twoCellAnchor>
  <xdr:twoCellAnchor editAs="oneCell">
    <xdr:from>
      <xdr:col>31</xdr:col>
      <xdr:colOff>94617</xdr:colOff>
      <xdr:row>24</xdr:row>
      <xdr:rowOff>64137</xdr:rowOff>
    </xdr:from>
    <xdr:to>
      <xdr:col>43</xdr:col>
      <xdr:colOff>658</xdr:colOff>
      <xdr:row>27</xdr:row>
      <xdr:rowOff>98616</xdr:rowOff>
    </xdr:to>
    <xdr:sp macro="" textlink="">
      <xdr:nvSpPr>
        <xdr:cNvPr id="228" name="Text Box 507">
          <a:extLst>
            <a:ext uri="{FF2B5EF4-FFF2-40B4-BE49-F238E27FC236}">
              <a16:creationId xmlns="" xmlns:a16="http://schemas.microsoft.com/office/drawing/2014/main" id="{00000000-0008-0000-2600-0000E4000000}"/>
            </a:ext>
          </a:extLst>
        </xdr:cNvPr>
        <xdr:cNvSpPr txBox="1">
          <a:spLocks noChangeArrowheads="1"/>
        </xdr:cNvSpPr>
      </xdr:nvSpPr>
      <xdr:spPr bwMode="auto">
        <a:xfrm>
          <a:off x="3676652" y="2828927"/>
          <a:ext cx="1285873" cy="36194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FFFF00"/>
              </a:solidFill>
              <a:latin typeface="Arial"/>
              <a:cs typeface="Arial"/>
            </a:rPr>
            <a:t>25</a:t>
          </a:r>
        </a:p>
      </xdr:txBody>
    </xdr:sp>
    <xdr:clientData/>
  </xdr:twoCellAnchor>
  <xdr:twoCellAnchor>
    <xdr:from>
      <xdr:col>29</xdr:col>
      <xdr:colOff>6350</xdr:colOff>
      <xdr:row>27</xdr:row>
      <xdr:rowOff>69850</xdr:rowOff>
    </xdr:from>
    <xdr:to>
      <xdr:col>32</xdr:col>
      <xdr:colOff>19050</xdr:colOff>
      <xdr:row>28</xdr:row>
      <xdr:rowOff>0</xdr:rowOff>
    </xdr:to>
    <xdr:cxnSp macro="">
      <xdr:nvCxnSpPr>
        <xdr:cNvPr id="888342" name="Connecteur droit avec flèche 228">
          <a:extLst>
            <a:ext uri="{FF2B5EF4-FFF2-40B4-BE49-F238E27FC236}">
              <a16:creationId xmlns="" xmlns:a16="http://schemas.microsoft.com/office/drawing/2014/main" id="{00000000-0008-0000-2600-0000168E0D00}"/>
            </a:ext>
          </a:extLst>
        </xdr:cNvPr>
        <xdr:cNvCxnSpPr>
          <a:cxnSpLocks noChangeShapeType="1"/>
        </xdr:cNvCxnSpPr>
      </xdr:nvCxnSpPr>
      <xdr:spPr bwMode="auto">
        <a:xfrm flipV="1">
          <a:off x="3327400" y="2965450"/>
          <a:ext cx="355600" cy="3175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20</xdr:col>
      <xdr:colOff>0</xdr:colOff>
      <xdr:row>118</xdr:row>
      <xdr:rowOff>38100</xdr:rowOff>
    </xdr:from>
    <xdr:to>
      <xdr:col>26</xdr:col>
      <xdr:colOff>0</xdr:colOff>
      <xdr:row>118</xdr:row>
      <xdr:rowOff>38100</xdr:rowOff>
    </xdr:to>
    <xdr:cxnSp macro="">
      <xdr:nvCxnSpPr>
        <xdr:cNvPr id="888343" name="Connecteur droit 229">
          <a:extLst>
            <a:ext uri="{FF2B5EF4-FFF2-40B4-BE49-F238E27FC236}">
              <a16:creationId xmlns="" xmlns:a16="http://schemas.microsoft.com/office/drawing/2014/main" id="{00000000-0008-0000-2600-0000178E0D00}"/>
            </a:ext>
          </a:extLst>
        </xdr:cNvPr>
        <xdr:cNvCxnSpPr>
          <a:cxnSpLocks noChangeShapeType="1"/>
        </xdr:cNvCxnSpPr>
      </xdr:nvCxnSpPr>
      <xdr:spPr bwMode="auto">
        <a:xfrm rot="10800000" flipH="1">
          <a:off x="2292350" y="12179300"/>
          <a:ext cx="6858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20</xdr:col>
      <xdr:colOff>56515</xdr:colOff>
      <xdr:row>117</xdr:row>
      <xdr:rowOff>27940</xdr:rowOff>
    </xdr:from>
    <xdr:to>
      <xdr:col>21</xdr:col>
      <xdr:colOff>2682</xdr:colOff>
      <xdr:row>118</xdr:row>
      <xdr:rowOff>68640</xdr:rowOff>
    </xdr:to>
    <xdr:sp macro="" textlink="">
      <xdr:nvSpPr>
        <xdr:cNvPr id="231" name="Ellipse 230">
          <a:extLst>
            <a:ext uri="{FF2B5EF4-FFF2-40B4-BE49-F238E27FC236}">
              <a16:creationId xmlns="" xmlns:a16="http://schemas.microsoft.com/office/drawing/2014/main" id="{00000000-0008-0000-2600-0000E7000000}"/>
            </a:ext>
          </a:extLst>
        </xdr:cNvPr>
        <xdr:cNvSpPr/>
      </xdr:nvSpPr>
      <xdr:spPr bwMode="auto">
        <a:xfrm>
          <a:off x="2390775" y="12582525"/>
          <a:ext cx="45719" cy="57150"/>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30</xdr:col>
      <xdr:colOff>635</xdr:colOff>
      <xdr:row>117</xdr:row>
      <xdr:rowOff>27940</xdr:rowOff>
    </xdr:from>
    <xdr:to>
      <xdr:col>30</xdr:col>
      <xdr:colOff>59370</xdr:colOff>
      <xdr:row>118</xdr:row>
      <xdr:rowOff>27931</xdr:rowOff>
    </xdr:to>
    <xdr:sp macro="" textlink="">
      <xdr:nvSpPr>
        <xdr:cNvPr id="232" name="Ellipse 231">
          <a:extLst>
            <a:ext uri="{FF2B5EF4-FFF2-40B4-BE49-F238E27FC236}">
              <a16:creationId xmlns="" xmlns:a16="http://schemas.microsoft.com/office/drawing/2014/main" id="{00000000-0008-0000-2600-0000E8000000}"/>
            </a:ext>
          </a:extLst>
        </xdr:cNvPr>
        <xdr:cNvSpPr/>
      </xdr:nvSpPr>
      <xdr:spPr bwMode="auto">
        <a:xfrm>
          <a:off x="3476625" y="12592050"/>
          <a:ext cx="45719" cy="57150"/>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28</xdr:col>
      <xdr:colOff>56515</xdr:colOff>
      <xdr:row>117</xdr:row>
      <xdr:rowOff>27940</xdr:rowOff>
    </xdr:from>
    <xdr:to>
      <xdr:col>29</xdr:col>
      <xdr:colOff>2682</xdr:colOff>
      <xdr:row>118</xdr:row>
      <xdr:rowOff>27931</xdr:rowOff>
    </xdr:to>
    <xdr:sp macro="" textlink="">
      <xdr:nvSpPr>
        <xdr:cNvPr id="233" name="Ellipse 232">
          <a:extLst>
            <a:ext uri="{FF2B5EF4-FFF2-40B4-BE49-F238E27FC236}">
              <a16:creationId xmlns="" xmlns:a16="http://schemas.microsoft.com/office/drawing/2014/main" id="{00000000-0008-0000-2600-0000E9000000}"/>
            </a:ext>
          </a:extLst>
        </xdr:cNvPr>
        <xdr:cNvSpPr/>
      </xdr:nvSpPr>
      <xdr:spPr bwMode="auto">
        <a:xfrm>
          <a:off x="3305175" y="12592050"/>
          <a:ext cx="45719" cy="57150"/>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23</xdr:col>
      <xdr:colOff>56515</xdr:colOff>
      <xdr:row>117</xdr:row>
      <xdr:rowOff>27940</xdr:rowOff>
    </xdr:from>
    <xdr:to>
      <xdr:col>24</xdr:col>
      <xdr:colOff>2682</xdr:colOff>
      <xdr:row>118</xdr:row>
      <xdr:rowOff>68640</xdr:rowOff>
    </xdr:to>
    <xdr:sp macro="" textlink="">
      <xdr:nvSpPr>
        <xdr:cNvPr id="234" name="Ellipse 233">
          <a:extLst>
            <a:ext uri="{FF2B5EF4-FFF2-40B4-BE49-F238E27FC236}">
              <a16:creationId xmlns="" xmlns:a16="http://schemas.microsoft.com/office/drawing/2014/main" id="{00000000-0008-0000-2600-0000EA000000}"/>
            </a:ext>
          </a:extLst>
        </xdr:cNvPr>
        <xdr:cNvSpPr/>
      </xdr:nvSpPr>
      <xdr:spPr bwMode="auto">
        <a:xfrm>
          <a:off x="2733675" y="12582525"/>
          <a:ext cx="45719" cy="57150"/>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25</xdr:col>
      <xdr:colOff>61595</xdr:colOff>
      <xdr:row>117</xdr:row>
      <xdr:rowOff>29210</xdr:rowOff>
    </xdr:from>
    <xdr:to>
      <xdr:col>25</xdr:col>
      <xdr:colOff>57531</xdr:colOff>
      <xdr:row>118</xdr:row>
      <xdr:rowOff>62940</xdr:rowOff>
    </xdr:to>
    <xdr:sp macro="" textlink="">
      <xdr:nvSpPr>
        <xdr:cNvPr id="235" name="Ellipse 234">
          <a:extLst>
            <a:ext uri="{FF2B5EF4-FFF2-40B4-BE49-F238E27FC236}">
              <a16:creationId xmlns="" xmlns:a16="http://schemas.microsoft.com/office/drawing/2014/main" id="{00000000-0008-0000-2600-0000EB000000}"/>
            </a:ext>
          </a:extLst>
        </xdr:cNvPr>
        <xdr:cNvSpPr/>
      </xdr:nvSpPr>
      <xdr:spPr bwMode="auto">
        <a:xfrm>
          <a:off x="2914650" y="12573000"/>
          <a:ext cx="45719" cy="57150"/>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22</xdr:col>
      <xdr:colOff>20320</xdr:colOff>
      <xdr:row>117</xdr:row>
      <xdr:rowOff>27940</xdr:rowOff>
    </xdr:from>
    <xdr:to>
      <xdr:col>22</xdr:col>
      <xdr:colOff>59528</xdr:colOff>
      <xdr:row>118</xdr:row>
      <xdr:rowOff>68640</xdr:rowOff>
    </xdr:to>
    <xdr:sp macro="" textlink="">
      <xdr:nvSpPr>
        <xdr:cNvPr id="236" name="Ellipse 235">
          <a:extLst>
            <a:ext uri="{FF2B5EF4-FFF2-40B4-BE49-F238E27FC236}">
              <a16:creationId xmlns="" xmlns:a16="http://schemas.microsoft.com/office/drawing/2014/main" id="{00000000-0008-0000-2600-0000EC000000}"/>
            </a:ext>
          </a:extLst>
        </xdr:cNvPr>
        <xdr:cNvSpPr/>
      </xdr:nvSpPr>
      <xdr:spPr bwMode="auto">
        <a:xfrm>
          <a:off x="2581275" y="12582525"/>
          <a:ext cx="45719" cy="57150"/>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33</xdr:col>
      <xdr:colOff>60960</xdr:colOff>
      <xdr:row>117</xdr:row>
      <xdr:rowOff>27940</xdr:rowOff>
    </xdr:from>
    <xdr:to>
      <xdr:col>33</xdr:col>
      <xdr:colOff>83036</xdr:colOff>
      <xdr:row>118</xdr:row>
      <xdr:rowOff>27931</xdr:rowOff>
    </xdr:to>
    <xdr:sp macro="" textlink="">
      <xdr:nvSpPr>
        <xdr:cNvPr id="237" name="Ellipse 236">
          <a:extLst>
            <a:ext uri="{FF2B5EF4-FFF2-40B4-BE49-F238E27FC236}">
              <a16:creationId xmlns="" xmlns:a16="http://schemas.microsoft.com/office/drawing/2014/main" id="{00000000-0008-0000-2600-0000ED000000}"/>
            </a:ext>
          </a:extLst>
        </xdr:cNvPr>
        <xdr:cNvSpPr/>
      </xdr:nvSpPr>
      <xdr:spPr bwMode="auto">
        <a:xfrm>
          <a:off x="3848100" y="12592050"/>
          <a:ext cx="45719" cy="57150"/>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31</xdr:col>
      <xdr:colOff>94615</xdr:colOff>
      <xdr:row>117</xdr:row>
      <xdr:rowOff>27940</xdr:rowOff>
    </xdr:from>
    <xdr:to>
      <xdr:col>32</xdr:col>
      <xdr:colOff>26208</xdr:colOff>
      <xdr:row>118</xdr:row>
      <xdr:rowOff>27931</xdr:rowOff>
    </xdr:to>
    <xdr:sp macro="" textlink="">
      <xdr:nvSpPr>
        <xdr:cNvPr id="238" name="Ellipse 237">
          <a:extLst>
            <a:ext uri="{FF2B5EF4-FFF2-40B4-BE49-F238E27FC236}">
              <a16:creationId xmlns="" xmlns:a16="http://schemas.microsoft.com/office/drawing/2014/main" id="{00000000-0008-0000-2600-0000EE000000}"/>
            </a:ext>
          </a:extLst>
        </xdr:cNvPr>
        <xdr:cNvSpPr/>
      </xdr:nvSpPr>
      <xdr:spPr bwMode="auto">
        <a:xfrm>
          <a:off x="3676650" y="12592050"/>
          <a:ext cx="45719" cy="57150"/>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28</xdr:col>
      <xdr:colOff>6350</xdr:colOff>
      <xdr:row>118</xdr:row>
      <xdr:rowOff>38100</xdr:rowOff>
    </xdr:from>
    <xdr:to>
      <xdr:col>34</xdr:col>
      <xdr:colOff>6350</xdr:colOff>
      <xdr:row>118</xdr:row>
      <xdr:rowOff>38100</xdr:rowOff>
    </xdr:to>
    <xdr:cxnSp macro="">
      <xdr:nvCxnSpPr>
        <xdr:cNvPr id="888352" name="Connecteur droit 238">
          <a:extLst>
            <a:ext uri="{FF2B5EF4-FFF2-40B4-BE49-F238E27FC236}">
              <a16:creationId xmlns="" xmlns:a16="http://schemas.microsoft.com/office/drawing/2014/main" id="{00000000-0008-0000-2600-0000208E0D00}"/>
            </a:ext>
          </a:extLst>
        </xdr:cNvPr>
        <xdr:cNvCxnSpPr>
          <a:cxnSpLocks noChangeShapeType="1"/>
        </xdr:cNvCxnSpPr>
      </xdr:nvCxnSpPr>
      <xdr:spPr bwMode="auto">
        <a:xfrm rot="10800000" flipH="1">
          <a:off x="3213100" y="12179300"/>
          <a:ext cx="6858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34</xdr:col>
      <xdr:colOff>63500</xdr:colOff>
      <xdr:row>118</xdr:row>
      <xdr:rowOff>19050</xdr:rowOff>
    </xdr:from>
    <xdr:to>
      <xdr:col>43</xdr:col>
      <xdr:colOff>19050</xdr:colOff>
      <xdr:row>118</xdr:row>
      <xdr:rowOff>19050</xdr:rowOff>
    </xdr:to>
    <xdr:cxnSp macro="">
      <xdr:nvCxnSpPr>
        <xdr:cNvPr id="888353" name="Connecteur droit 239">
          <a:extLst>
            <a:ext uri="{FF2B5EF4-FFF2-40B4-BE49-F238E27FC236}">
              <a16:creationId xmlns="" xmlns:a16="http://schemas.microsoft.com/office/drawing/2014/main" id="{00000000-0008-0000-2600-0000218E0D00}"/>
            </a:ext>
          </a:extLst>
        </xdr:cNvPr>
        <xdr:cNvCxnSpPr>
          <a:cxnSpLocks noChangeShapeType="1"/>
        </xdr:cNvCxnSpPr>
      </xdr:nvCxnSpPr>
      <xdr:spPr bwMode="auto">
        <a:xfrm>
          <a:off x="3956050" y="12160250"/>
          <a:ext cx="98425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39</xdr:col>
      <xdr:colOff>74295</xdr:colOff>
      <xdr:row>117</xdr:row>
      <xdr:rowOff>29210</xdr:rowOff>
    </xdr:from>
    <xdr:to>
      <xdr:col>40</xdr:col>
      <xdr:colOff>57694</xdr:colOff>
      <xdr:row>118</xdr:row>
      <xdr:rowOff>62940</xdr:rowOff>
    </xdr:to>
    <xdr:sp macro="" textlink="">
      <xdr:nvSpPr>
        <xdr:cNvPr id="241" name="Ellipse 240">
          <a:extLst>
            <a:ext uri="{FF2B5EF4-FFF2-40B4-BE49-F238E27FC236}">
              <a16:creationId xmlns="" xmlns:a16="http://schemas.microsoft.com/office/drawing/2014/main" id="{00000000-0008-0000-2600-0000F1000000}"/>
            </a:ext>
          </a:extLst>
        </xdr:cNvPr>
        <xdr:cNvSpPr/>
      </xdr:nvSpPr>
      <xdr:spPr bwMode="auto">
        <a:xfrm>
          <a:off x="4581525" y="12573000"/>
          <a:ext cx="45719" cy="57150"/>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35</xdr:col>
      <xdr:colOff>94615</xdr:colOff>
      <xdr:row>117</xdr:row>
      <xdr:rowOff>29210</xdr:rowOff>
    </xdr:from>
    <xdr:to>
      <xdr:col>36</xdr:col>
      <xdr:colOff>26208</xdr:colOff>
      <xdr:row>118</xdr:row>
      <xdr:rowOff>62940</xdr:rowOff>
    </xdr:to>
    <xdr:sp macro="" textlink="">
      <xdr:nvSpPr>
        <xdr:cNvPr id="242" name="Ellipse 241">
          <a:extLst>
            <a:ext uri="{FF2B5EF4-FFF2-40B4-BE49-F238E27FC236}">
              <a16:creationId xmlns="" xmlns:a16="http://schemas.microsoft.com/office/drawing/2014/main" id="{00000000-0008-0000-2600-0000F2000000}"/>
            </a:ext>
          </a:extLst>
        </xdr:cNvPr>
        <xdr:cNvSpPr/>
      </xdr:nvSpPr>
      <xdr:spPr bwMode="auto">
        <a:xfrm>
          <a:off x="4133850" y="12573000"/>
          <a:ext cx="45719" cy="57150"/>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41</xdr:col>
      <xdr:colOff>74295</xdr:colOff>
      <xdr:row>117</xdr:row>
      <xdr:rowOff>27940</xdr:rowOff>
    </xdr:from>
    <xdr:to>
      <xdr:col>42</xdr:col>
      <xdr:colOff>57694</xdr:colOff>
      <xdr:row>118</xdr:row>
      <xdr:rowOff>68640</xdr:rowOff>
    </xdr:to>
    <xdr:sp macro="" textlink="">
      <xdr:nvSpPr>
        <xdr:cNvPr id="243" name="Ellipse 242">
          <a:extLst>
            <a:ext uri="{FF2B5EF4-FFF2-40B4-BE49-F238E27FC236}">
              <a16:creationId xmlns="" xmlns:a16="http://schemas.microsoft.com/office/drawing/2014/main" id="{00000000-0008-0000-2600-0000F3000000}"/>
            </a:ext>
          </a:extLst>
        </xdr:cNvPr>
        <xdr:cNvSpPr/>
      </xdr:nvSpPr>
      <xdr:spPr bwMode="auto">
        <a:xfrm>
          <a:off x="4810125" y="12582525"/>
          <a:ext cx="45719" cy="57150"/>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37</xdr:col>
      <xdr:colOff>94615</xdr:colOff>
      <xdr:row>117</xdr:row>
      <xdr:rowOff>27940</xdr:rowOff>
    </xdr:from>
    <xdr:to>
      <xdr:col>38</xdr:col>
      <xdr:colOff>59273</xdr:colOff>
      <xdr:row>118</xdr:row>
      <xdr:rowOff>68640</xdr:rowOff>
    </xdr:to>
    <xdr:sp macro="" textlink="">
      <xdr:nvSpPr>
        <xdr:cNvPr id="244" name="Ellipse 243">
          <a:extLst>
            <a:ext uri="{FF2B5EF4-FFF2-40B4-BE49-F238E27FC236}">
              <a16:creationId xmlns="" xmlns:a16="http://schemas.microsoft.com/office/drawing/2014/main" id="{00000000-0008-0000-2600-0000F4000000}"/>
            </a:ext>
          </a:extLst>
        </xdr:cNvPr>
        <xdr:cNvSpPr/>
      </xdr:nvSpPr>
      <xdr:spPr bwMode="auto">
        <a:xfrm>
          <a:off x="4371975" y="12582525"/>
          <a:ext cx="45719" cy="57150"/>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15</xdr:col>
      <xdr:colOff>6350</xdr:colOff>
      <xdr:row>114</xdr:row>
      <xdr:rowOff>0</xdr:rowOff>
    </xdr:from>
    <xdr:to>
      <xdr:col>22</xdr:col>
      <xdr:colOff>57150</xdr:colOff>
      <xdr:row>118</xdr:row>
      <xdr:rowOff>6350</xdr:rowOff>
    </xdr:to>
    <xdr:cxnSp macro="">
      <xdr:nvCxnSpPr>
        <xdr:cNvPr id="888358" name="Connecteur droit avec flèche 244">
          <a:extLst>
            <a:ext uri="{FF2B5EF4-FFF2-40B4-BE49-F238E27FC236}">
              <a16:creationId xmlns="" xmlns:a16="http://schemas.microsoft.com/office/drawing/2014/main" id="{00000000-0008-0000-2600-0000268E0D00}"/>
            </a:ext>
          </a:extLst>
        </xdr:cNvPr>
        <xdr:cNvCxnSpPr>
          <a:cxnSpLocks noChangeShapeType="1"/>
        </xdr:cNvCxnSpPr>
      </xdr:nvCxnSpPr>
      <xdr:spPr bwMode="auto">
        <a:xfrm>
          <a:off x="1727200" y="11734800"/>
          <a:ext cx="850900" cy="41275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4</xdr:col>
      <xdr:colOff>56516</xdr:colOff>
      <xdr:row>111</xdr:row>
      <xdr:rowOff>0</xdr:rowOff>
    </xdr:from>
    <xdr:to>
      <xdr:col>56</xdr:col>
      <xdr:colOff>648</xdr:colOff>
      <xdr:row>121</xdr:row>
      <xdr:rowOff>24797</xdr:rowOff>
    </xdr:to>
    <xdr:sp macro="" textlink="">
      <xdr:nvSpPr>
        <xdr:cNvPr id="246" name="Text Box 421">
          <a:extLst>
            <a:ext uri="{FF2B5EF4-FFF2-40B4-BE49-F238E27FC236}">
              <a16:creationId xmlns="" xmlns:a16="http://schemas.microsoft.com/office/drawing/2014/main" id="{00000000-0008-0000-2600-0000F6000000}"/>
            </a:ext>
          </a:extLst>
        </xdr:cNvPr>
        <xdr:cNvSpPr txBox="1">
          <a:spLocks noChangeArrowheads="1"/>
        </xdr:cNvSpPr>
      </xdr:nvSpPr>
      <xdr:spPr bwMode="auto">
        <a:xfrm>
          <a:off x="561976" y="11887200"/>
          <a:ext cx="5886450" cy="10668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Plancher d'épaisseur 8cm</a:t>
          </a:r>
          <a:r>
            <a:rPr lang="fr-FR" sz="1000" b="0" i="0" strike="noStrike" baseline="0">
              <a:solidFill>
                <a:srgbClr val="000000"/>
              </a:solidFill>
              <a:latin typeface="Arial"/>
              <a:cs typeface="Arial"/>
            </a:rPr>
            <a:t> avec </a:t>
          </a:r>
          <a:r>
            <a:rPr lang="fr-FR" sz="1000" b="0" i="0" strike="noStrike">
              <a:solidFill>
                <a:srgbClr val="000000"/>
              </a:solidFill>
              <a:latin typeface="Arial"/>
              <a:cs typeface="Arial"/>
            </a:rPr>
            <a:t>Fers</a:t>
          </a:r>
          <a:r>
            <a:rPr lang="fr-FR" sz="1000" b="0" i="0" strike="noStrike" baseline="0">
              <a:solidFill>
                <a:srgbClr val="000000"/>
              </a:solidFill>
              <a:latin typeface="Arial"/>
              <a:cs typeface="Arial"/>
            </a:rPr>
            <a:t> de 10mm, espacement:18cm</a:t>
          </a:r>
          <a:endParaRPr lang="fr-FR" sz="1000" b="0" i="0" strike="noStrike">
            <a:solidFill>
              <a:srgbClr val="000000"/>
            </a:solidFill>
            <a:latin typeface="Arial"/>
            <a:cs typeface="Arial"/>
          </a:endParaRPr>
        </a:p>
      </xdr:txBody>
    </xdr:sp>
    <xdr:clientData/>
  </xdr:twoCellAnchor>
  <xdr:twoCellAnchor>
    <xdr:from>
      <xdr:col>77</xdr:col>
      <xdr:colOff>50800</xdr:colOff>
      <xdr:row>10</xdr:row>
      <xdr:rowOff>57150</xdr:rowOff>
    </xdr:from>
    <xdr:to>
      <xdr:col>77</xdr:col>
      <xdr:colOff>57150</xdr:colOff>
      <xdr:row>13</xdr:row>
      <xdr:rowOff>69850</xdr:rowOff>
    </xdr:to>
    <xdr:cxnSp macro="">
      <xdr:nvCxnSpPr>
        <xdr:cNvPr id="888360" name="Connecteur droit avec flèche 246">
          <a:extLst>
            <a:ext uri="{FF2B5EF4-FFF2-40B4-BE49-F238E27FC236}">
              <a16:creationId xmlns="" xmlns:a16="http://schemas.microsoft.com/office/drawing/2014/main" id="{00000000-0008-0000-2600-0000288E0D00}"/>
            </a:ext>
          </a:extLst>
        </xdr:cNvPr>
        <xdr:cNvCxnSpPr>
          <a:cxnSpLocks noChangeShapeType="1"/>
        </xdr:cNvCxnSpPr>
      </xdr:nvCxnSpPr>
      <xdr:spPr bwMode="auto">
        <a:xfrm rot="5400000">
          <a:off x="8702675" y="1381125"/>
          <a:ext cx="317500" cy="635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74</xdr:col>
      <xdr:colOff>94615</xdr:colOff>
      <xdr:row>10</xdr:row>
      <xdr:rowOff>75565</xdr:rowOff>
    </xdr:from>
    <xdr:to>
      <xdr:col>79</xdr:col>
      <xdr:colOff>60993</xdr:colOff>
      <xdr:row>13</xdr:row>
      <xdr:rowOff>28807</xdr:rowOff>
    </xdr:to>
    <xdr:sp macro="" textlink="">
      <xdr:nvSpPr>
        <xdr:cNvPr id="248" name="TextBox 311">
          <a:extLst>
            <a:ext uri="{FF2B5EF4-FFF2-40B4-BE49-F238E27FC236}">
              <a16:creationId xmlns="" xmlns:a16="http://schemas.microsoft.com/office/drawing/2014/main" id="{00000000-0008-0000-2600-0000F8000000}"/>
            </a:ext>
          </a:extLst>
        </xdr:cNvPr>
        <xdr:cNvSpPr txBox="1"/>
      </xdr:nvSpPr>
      <xdr:spPr>
        <a:xfrm>
          <a:off x="8591550" y="1390650"/>
          <a:ext cx="5143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7,5</a:t>
          </a:r>
        </a:p>
      </xdr:txBody>
    </xdr:sp>
    <xdr:clientData/>
  </xdr:twoCellAnchor>
  <xdr:twoCellAnchor>
    <xdr:from>
      <xdr:col>72</xdr:col>
      <xdr:colOff>38100</xdr:colOff>
      <xdr:row>13</xdr:row>
      <xdr:rowOff>57150</xdr:rowOff>
    </xdr:from>
    <xdr:to>
      <xdr:col>72</xdr:col>
      <xdr:colOff>38100</xdr:colOff>
      <xdr:row>18</xdr:row>
      <xdr:rowOff>19050</xdr:rowOff>
    </xdr:to>
    <xdr:cxnSp macro="">
      <xdr:nvCxnSpPr>
        <xdr:cNvPr id="888362" name="Connecteur droit 248">
          <a:extLst>
            <a:ext uri="{FF2B5EF4-FFF2-40B4-BE49-F238E27FC236}">
              <a16:creationId xmlns="" xmlns:a16="http://schemas.microsoft.com/office/drawing/2014/main" id="{00000000-0008-0000-2600-00002A8E0D00}"/>
            </a:ext>
          </a:extLst>
        </xdr:cNvPr>
        <xdr:cNvCxnSpPr>
          <a:cxnSpLocks noChangeShapeType="1"/>
        </xdr:cNvCxnSpPr>
      </xdr:nvCxnSpPr>
      <xdr:spPr bwMode="auto">
        <a:xfrm rot="5400000">
          <a:off x="8039100" y="1765300"/>
          <a:ext cx="46990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78</xdr:col>
      <xdr:colOff>6350</xdr:colOff>
      <xdr:row>14</xdr:row>
      <xdr:rowOff>6350</xdr:rowOff>
    </xdr:from>
    <xdr:to>
      <xdr:col>78</xdr:col>
      <xdr:colOff>6350</xdr:colOff>
      <xdr:row>18</xdr:row>
      <xdr:rowOff>57150</xdr:rowOff>
    </xdr:to>
    <xdr:cxnSp macro="">
      <xdr:nvCxnSpPr>
        <xdr:cNvPr id="888363" name="Connecteur droit 249">
          <a:extLst>
            <a:ext uri="{FF2B5EF4-FFF2-40B4-BE49-F238E27FC236}">
              <a16:creationId xmlns="" xmlns:a16="http://schemas.microsoft.com/office/drawing/2014/main" id="{00000000-0008-0000-2600-00002B8E0D00}"/>
            </a:ext>
          </a:extLst>
        </xdr:cNvPr>
        <xdr:cNvCxnSpPr>
          <a:cxnSpLocks noChangeShapeType="1"/>
        </xdr:cNvCxnSpPr>
      </xdr:nvCxnSpPr>
      <xdr:spPr bwMode="auto">
        <a:xfrm rot="5400000">
          <a:off x="8699500" y="1809750"/>
          <a:ext cx="45720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63500</xdr:colOff>
      <xdr:row>11</xdr:row>
      <xdr:rowOff>19050</xdr:rowOff>
    </xdr:from>
    <xdr:to>
      <xdr:col>45</xdr:col>
      <xdr:colOff>76200</xdr:colOff>
      <xdr:row>22</xdr:row>
      <xdr:rowOff>69850</xdr:rowOff>
    </xdr:to>
    <xdr:cxnSp macro="">
      <xdr:nvCxnSpPr>
        <xdr:cNvPr id="888364" name="Straight Connector 267">
          <a:extLst>
            <a:ext uri="{FF2B5EF4-FFF2-40B4-BE49-F238E27FC236}">
              <a16:creationId xmlns="" xmlns:a16="http://schemas.microsoft.com/office/drawing/2014/main" id="{00000000-0008-0000-2600-00002C8E0D00}"/>
            </a:ext>
          </a:extLst>
        </xdr:cNvPr>
        <xdr:cNvCxnSpPr>
          <a:cxnSpLocks noChangeShapeType="1"/>
        </xdr:cNvCxnSpPr>
      </xdr:nvCxnSpPr>
      <xdr:spPr bwMode="auto">
        <a:xfrm rot="16200000" flipH="1">
          <a:off x="4635500" y="1866900"/>
          <a:ext cx="1168400" cy="1270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27</xdr:col>
      <xdr:colOff>0</xdr:colOff>
      <xdr:row>12</xdr:row>
      <xdr:rowOff>6350</xdr:rowOff>
    </xdr:from>
    <xdr:to>
      <xdr:col>47</xdr:col>
      <xdr:colOff>31750</xdr:colOff>
      <xdr:row>12</xdr:row>
      <xdr:rowOff>19050</xdr:rowOff>
    </xdr:to>
    <xdr:cxnSp macro="">
      <xdr:nvCxnSpPr>
        <xdr:cNvPr id="888365" name="Straight Connector 267">
          <a:extLst>
            <a:ext uri="{FF2B5EF4-FFF2-40B4-BE49-F238E27FC236}">
              <a16:creationId xmlns="" xmlns:a16="http://schemas.microsoft.com/office/drawing/2014/main" id="{00000000-0008-0000-2600-00002D8E0D00}"/>
            </a:ext>
          </a:extLst>
        </xdr:cNvPr>
        <xdr:cNvCxnSpPr>
          <a:cxnSpLocks noChangeShapeType="1"/>
        </xdr:cNvCxnSpPr>
      </xdr:nvCxnSpPr>
      <xdr:spPr bwMode="auto">
        <a:xfrm flipV="1">
          <a:off x="3092450" y="1377950"/>
          <a:ext cx="2317750" cy="1270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119</xdr:col>
      <xdr:colOff>55245</xdr:colOff>
      <xdr:row>89</xdr:row>
      <xdr:rowOff>4445</xdr:rowOff>
    </xdr:from>
    <xdr:to>
      <xdr:col>124</xdr:col>
      <xdr:colOff>111274</xdr:colOff>
      <xdr:row>91</xdr:row>
      <xdr:rowOff>29003</xdr:rowOff>
    </xdr:to>
    <xdr:sp macro="" textlink="">
      <xdr:nvSpPr>
        <xdr:cNvPr id="253" name="ZoneTexte 252">
          <a:extLst>
            <a:ext uri="{FF2B5EF4-FFF2-40B4-BE49-F238E27FC236}">
              <a16:creationId xmlns="" xmlns:a16="http://schemas.microsoft.com/office/drawing/2014/main" id="{00000000-0008-0000-2600-0000FD000000}"/>
            </a:ext>
          </a:extLst>
        </xdr:cNvPr>
        <xdr:cNvSpPr txBox="1"/>
      </xdr:nvSpPr>
      <xdr:spPr>
        <a:xfrm>
          <a:off x="12753975" y="9620250"/>
          <a:ext cx="6762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50cm</a:t>
          </a:r>
        </a:p>
      </xdr:txBody>
    </xdr:sp>
    <xdr:clientData/>
  </xdr:twoCellAnchor>
  <xdr:twoCellAnchor>
    <xdr:from>
      <xdr:col>43</xdr:col>
      <xdr:colOff>60960</xdr:colOff>
      <xdr:row>85</xdr:row>
      <xdr:rowOff>4445</xdr:rowOff>
    </xdr:from>
    <xdr:to>
      <xdr:col>57</xdr:col>
      <xdr:colOff>634</xdr:colOff>
      <xdr:row>88</xdr:row>
      <xdr:rowOff>41712</xdr:rowOff>
    </xdr:to>
    <xdr:sp macro="" textlink="">
      <xdr:nvSpPr>
        <xdr:cNvPr id="254" name="ZoneTexte 253">
          <a:extLst>
            <a:ext uri="{FF2B5EF4-FFF2-40B4-BE49-F238E27FC236}">
              <a16:creationId xmlns="" xmlns:a16="http://schemas.microsoft.com/office/drawing/2014/main" id="{00000000-0008-0000-2600-0000FE000000}"/>
            </a:ext>
          </a:extLst>
        </xdr:cNvPr>
        <xdr:cNvSpPr txBox="1"/>
      </xdr:nvSpPr>
      <xdr:spPr>
        <a:xfrm>
          <a:off x="4991100" y="9201150"/>
          <a:ext cx="157162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Toiles moustiquaire</a:t>
          </a:r>
        </a:p>
      </xdr:txBody>
    </xdr:sp>
    <xdr:clientData/>
  </xdr:twoCellAnchor>
  <xdr:twoCellAnchor>
    <xdr:from>
      <xdr:col>35</xdr:col>
      <xdr:colOff>56187</xdr:colOff>
      <xdr:row>29</xdr:row>
      <xdr:rowOff>27315</xdr:rowOff>
    </xdr:from>
    <xdr:to>
      <xdr:col>39</xdr:col>
      <xdr:colOff>58036</xdr:colOff>
      <xdr:row>30</xdr:row>
      <xdr:rowOff>66076</xdr:rowOff>
    </xdr:to>
    <xdr:cxnSp macro="">
      <xdr:nvCxnSpPr>
        <xdr:cNvPr id="255" name="Connecteur droit avec flèche 254">
          <a:extLst>
            <a:ext uri="{FF2B5EF4-FFF2-40B4-BE49-F238E27FC236}">
              <a16:creationId xmlns="" xmlns:a16="http://schemas.microsoft.com/office/drawing/2014/main" id="{00000000-0008-0000-2600-0000FF000000}"/>
            </a:ext>
          </a:extLst>
        </xdr:cNvPr>
        <xdr:cNvCxnSpPr/>
      </xdr:nvCxnSpPr>
      <xdr:spPr>
        <a:xfrm>
          <a:off x="4117647" y="3371225"/>
          <a:ext cx="417881" cy="37952"/>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50800</xdr:colOff>
      <xdr:row>24</xdr:row>
      <xdr:rowOff>6350</xdr:rowOff>
    </xdr:from>
    <xdr:to>
      <xdr:col>45</xdr:col>
      <xdr:colOff>6350</xdr:colOff>
      <xdr:row>33</xdr:row>
      <xdr:rowOff>6350</xdr:rowOff>
    </xdr:to>
    <xdr:grpSp>
      <xdr:nvGrpSpPr>
        <xdr:cNvPr id="888369" name="Groupe 255">
          <a:extLst>
            <a:ext uri="{FF2B5EF4-FFF2-40B4-BE49-F238E27FC236}">
              <a16:creationId xmlns="" xmlns:a16="http://schemas.microsoft.com/office/drawing/2014/main" id="{00000000-0008-0000-2600-0000318E0D00}"/>
            </a:ext>
          </a:extLst>
        </xdr:cNvPr>
        <xdr:cNvGrpSpPr>
          <a:grpSpLocks/>
        </xdr:cNvGrpSpPr>
      </xdr:nvGrpSpPr>
      <xdr:grpSpPr bwMode="auto">
        <a:xfrm>
          <a:off x="3352800" y="2597150"/>
          <a:ext cx="1784350" cy="914400"/>
          <a:chOff x="1323975" y="2790824"/>
          <a:chExt cx="1780169" cy="857251"/>
        </a:xfrm>
      </xdr:grpSpPr>
      <xdr:grpSp>
        <xdr:nvGrpSpPr>
          <xdr:cNvPr id="373" name="Groupe 256">
            <a:extLst>
              <a:ext uri="{FF2B5EF4-FFF2-40B4-BE49-F238E27FC236}">
                <a16:creationId xmlns="" xmlns:a16="http://schemas.microsoft.com/office/drawing/2014/main" id="{00000000-0008-0000-2600-000075010000}"/>
              </a:ext>
            </a:extLst>
          </xdr:cNvPr>
          <xdr:cNvGrpSpPr/>
        </xdr:nvGrpSpPr>
        <xdr:grpSpPr>
          <a:xfrm rot="16200000">
            <a:off x="1559074" y="3135183"/>
            <a:ext cx="416719" cy="228064"/>
            <a:chOff x="7810500" y="1704976"/>
            <a:chExt cx="1104900" cy="514350"/>
          </a:xfrm>
          <a:solidFill>
            <a:schemeClr val="tx2">
              <a:lumMod val="60000"/>
              <a:lumOff val="40000"/>
            </a:schemeClr>
          </a:solidFill>
        </xdr:grpSpPr>
        <xdr:sp macro="" textlink="">
          <xdr:nvSpPr>
            <xdr:cNvPr id="270" name="Ellipse 269">
              <a:extLst>
                <a:ext uri="{FF2B5EF4-FFF2-40B4-BE49-F238E27FC236}">
                  <a16:creationId xmlns="" xmlns:a16="http://schemas.microsoft.com/office/drawing/2014/main" id="{00000000-0008-0000-2600-00000E010000}"/>
                </a:ext>
              </a:extLst>
            </xdr:cNvPr>
            <xdr:cNvSpPr/>
          </xdr:nvSpPr>
          <xdr:spPr bwMode="auto">
            <a:xfrm>
              <a:off x="7920990" y="1804989"/>
              <a:ext cx="378823" cy="342900"/>
            </a:xfrm>
            <a:prstGeom prst="ellipse">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271" name="Organigramme : Délai 270">
              <a:extLst>
                <a:ext uri="{FF2B5EF4-FFF2-40B4-BE49-F238E27FC236}">
                  <a16:creationId xmlns="" xmlns:a16="http://schemas.microsoft.com/office/drawing/2014/main" id="{00000000-0008-0000-2600-00000F010000}"/>
                </a:ext>
              </a:extLst>
            </xdr:cNvPr>
            <xdr:cNvSpPr/>
          </xdr:nvSpPr>
          <xdr:spPr bwMode="auto">
            <a:xfrm>
              <a:off x="8615499" y="1804989"/>
              <a:ext cx="804999" cy="328613"/>
            </a:xfrm>
            <a:prstGeom prst="flowChartDelay">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272" name="Ellipse 271">
              <a:extLst>
                <a:ext uri="{FF2B5EF4-FFF2-40B4-BE49-F238E27FC236}">
                  <a16:creationId xmlns="" xmlns:a16="http://schemas.microsoft.com/office/drawing/2014/main" id="{00000000-0008-0000-2600-000010010000}"/>
                </a:ext>
              </a:extLst>
            </xdr:cNvPr>
            <xdr:cNvSpPr/>
          </xdr:nvSpPr>
          <xdr:spPr bwMode="auto">
            <a:xfrm>
              <a:off x="8568146" y="1704976"/>
              <a:ext cx="489313" cy="514350"/>
            </a:xfrm>
            <a:prstGeom prst="ellipse">
              <a:avLst/>
            </a:prstGeom>
            <a:solidFill>
              <a:schemeClr val="accent1">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grpSp>
      <xdr:cxnSp macro="">
        <xdr:nvCxnSpPr>
          <xdr:cNvPr id="888467" name="Connecteur droit avec flèche 257">
            <a:extLst>
              <a:ext uri="{FF2B5EF4-FFF2-40B4-BE49-F238E27FC236}">
                <a16:creationId xmlns="" xmlns:a16="http://schemas.microsoft.com/office/drawing/2014/main" id="{00000000-0008-0000-2600-0000938E0D00}"/>
              </a:ext>
            </a:extLst>
          </xdr:cNvPr>
          <xdr:cNvCxnSpPr>
            <a:cxnSpLocks noChangeShapeType="1"/>
          </xdr:cNvCxnSpPr>
        </xdr:nvCxnSpPr>
        <xdr:spPr bwMode="auto">
          <a:xfrm rot="16200000" flipH="1">
            <a:off x="1647826" y="2905123"/>
            <a:ext cx="238125" cy="9527"/>
          </a:xfrm>
          <a:prstGeom prst="straightConnector1">
            <a:avLst/>
          </a:prstGeom>
          <a:noFill/>
          <a:ln w="12700"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259" name="Text Box 507">
            <a:extLst>
              <a:ext uri="{FF2B5EF4-FFF2-40B4-BE49-F238E27FC236}">
                <a16:creationId xmlns="" xmlns:a16="http://schemas.microsoft.com/office/drawing/2014/main" id="{00000000-0008-0000-2600-000003010000}"/>
              </a:ext>
            </a:extLst>
          </xdr:cNvPr>
          <xdr:cNvSpPr txBox="1">
            <a:spLocks noChangeArrowheads="1"/>
          </xdr:cNvSpPr>
        </xdr:nvSpPr>
        <xdr:spPr bwMode="auto">
          <a:xfrm>
            <a:off x="2033509" y="3463528"/>
            <a:ext cx="253405" cy="18454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FFFF00"/>
                </a:solidFill>
                <a:latin typeface="Arial"/>
                <a:cs typeface="Arial"/>
              </a:rPr>
              <a:t>160</a:t>
            </a:r>
          </a:p>
        </xdr:txBody>
      </xdr:sp>
      <xdr:cxnSp macro="">
        <xdr:nvCxnSpPr>
          <xdr:cNvPr id="888469" name="Connecteur droit avec flèche 259">
            <a:extLst>
              <a:ext uri="{FF2B5EF4-FFF2-40B4-BE49-F238E27FC236}">
                <a16:creationId xmlns="" xmlns:a16="http://schemas.microsoft.com/office/drawing/2014/main" id="{00000000-0008-0000-2600-0000958E0D00}"/>
              </a:ext>
            </a:extLst>
          </xdr:cNvPr>
          <xdr:cNvCxnSpPr>
            <a:cxnSpLocks noChangeShapeType="1"/>
          </xdr:cNvCxnSpPr>
        </xdr:nvCxnSpPr>
        <xdr:spPr bwMode="auto">
          <a:xfrm rot="5400000">
            <a:off x="2575722" y="3262314"/>
            <a:ext cx="429415" cy="793"/>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261" name="Text Box 507">
            <a:extLst>
              <a:ext uri="{FF2B5EF4-FFF2-40B4-BE49-F238E27FC236}">
                <a16:creationId xmlns="" xmlns:a16="http://schemas.microsoft.com/office/drawing/2014/main" id="{00000000-0008-0000-2600-000005010000}"/>
              </a:ext>
            </a:extLst>
          </xdr:cNvPr>
          <xdr:cNvSpPr txBox="1">
            <a:spLocks noChangeArrowheads="1"/>
          </xdr:cNvSpPr>
        </xdr:nvSpPr>
        <xdr:spPr bwMode="auto">
          <a:xfrm>
            <a:off x="2590999" y="3165871"/>
            <a:ext cx="228064" cy="2857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200" b="1" i="0" strike="noStrike">
                <a:solidFill>
                  <a:srgbClr val="FFFF00"/>
                </a:solidFill>
                <a:latin typeface="Arial"/>
                <a:cs typeface="Arial"/>
              </a:rPr>
              <a:t>28</a:t>
            </a:r>
          </a:p>
        </xdr:txBody>
      </xdr:sp>
      <xdr:sp macro="" textlink="">
        <xdr:nvSpPr>
          <xdr:cNvPr id="262" name="Text Box 507">
            <a:extLst>
              <a:ext uri="{FF2B5EF4-FFF2-40B4-BE49-F238E27FC236}">
                <a16:creationId xmlns="" xmlns:a16="http://schemas.microsoft.com/office/drawing/2014/main" id="{00000000-0008-0000-2600-000006010000}"/>
              </a:ext>
            </a:extLst>
          </xdr:cNvPr>
          <xdr:cNvSpPr txBox="1">
            <a:spLocks noChangeArrowheads="1"/>
          </xdr:cNvSpPr>
        </xdr:nvSpPr>
        <xdr:spPr bwMode="auto">
          <a:xfrm>
            <a:off x="1323975" y="2981324"/>
            <a:ext cx="266075" cy="19645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200" b="1" i="0" strike="noStrike">
                <a:solidFill>
                  <a:srgbClr val="FFFF00"/>
                </a:solidFill>
                <a:latin typeface="Arial"/>
                <a:cs typeface="Arial"/>
              </a:rPr>
              <a:t>30</a:t>
            </a:r>
          </a:p>
        </xdr:txBody>
      </xdr:sp>
      <xdr:sp macro="" textlink="">
        <xdr:nvSpPr>
          <xdr:cNvPr id="263" name="Rectangle 262">
            <a:extLst>
              <a:ext uri="{FF2B5EF4-FFF2-40B4-BE49-F238E27FC236}">
                <a16:creationId xmlns="" xmlns:a16="http://schemas.microsoft.com/office/drawing/2014/main" id="{00000000-0008-0000-2600-000007010000}"/>
              </a:ext>
            </a:extLst>
          </xdr:cNvPr>
          <xdr:cNvSpPr/>
        </xdr:nvSpPr>
        <xdr:spPr bwMode="auto">
          <a:xfrm rot="2557756">
            <a:off x="2914090" y="3261121"/>
            <a:ext cx="190054" cy="77391"/>
          </a:xfrm>
          <a:prstGeom prst="rect">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264" name="Rectangle 263">
            <a:extLst>
              <a:ext uri="{FF2B5EF4-FFF2-40B4-BE49-F238E27FC236}">
                <a16:creationId xmlns="" xmlns:a16="http://schemas.microsoft.com/office/drawing/2014/main" id="{00000000-0008-0000-2600-000008010000}"/>
              </a:ext>
            </a:extLst>
          </xdr:cNvPr>
          <xdr:cNvSpPr/>
        </xdr:nvSpPr>
        <xdr:spPr bwMode="auto">
          <a:xfrm rot="2557756" flipH="1">
            <a:off x="2514978" y="3213496"/>
            <a:ext cx="76021" cy="190500"/>
          </a:xfrm>
          <a:prstGeom prst="rect">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xnSp macro="">
        <xdr:nvCxnSpPr>
          <xdr:cNvPr id="265" name="Connecteur droit avec flèche 264">
            <a:extLst>
              <a:ext uri="{FF2B5EF4-FFF2-40B4-BE49-F238E27FC236}">
                <a16:creationId xmlns="" xmlns:a16="http://schemas.microsoft.com/office/drawing/2014/main" id="{00000000-0008-0000-2600-000009010000}"/>
              </a:ext>
            </a:extLst>
          </xdr:cNvPr>
          <xdr:cNvCxnSpPr/>
        </xdr:nvCxnSpPr>
        <xdr:spPr>
          <a:xfrm>
            <a:off x="1875131" y="3118246"/>
            <a:ext cx="829901" cy="17859"/>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66" name="ZoneTexte 265">
            <a:extLst>
              <a:ext uri="{FF2B5EF4-FFF2-40B4-BE49-F238E27FC236}">
                <a16:creationId xmlns="" xmlns:a16="http://schemas.microsoft.com/office/drawing/2014/main" id="{00000000-0008-0000-2600-00000A010000}"/>
              </a:ext>
            </a:extLst>
          </xdr:cNvPr>
          <xdr:cNvSpPr txBox="1"/>
        </xdr:nvSpPr>
        <xdr:spPr>
          <a:xfrm>
            <a:off x="2103195" y="2939652"/>
            <a:ext cx="411783" cy="2262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solidFill>
                  <a:srgbClr val="FFFF00"/>
                </a:solidFill>
              </a:rPr>
              <a:t>70</a:t>
            </a:r>
          </a:p>
        </xdr:txBody>
      </xdr:sp>
      <xdr:sp macro="" textlink="">
        <xdr:nvSpPr>
          <xdr:cNvPr id="267" name="Rectangle 266">
            <a:extLst>
              <a:ext uri="{FF2B5EF4-FFF2-40B4-BE49-F238E27FC236}">
                <a16:creationId xmlns="" xmlns:a16="http://schemas.microsoft.com/office/drawing/2014/main" id="{00000000-0008-0000-2600-00000B010000}"/>
              </a:ext>
            </a:extLst>
          </xdr:cNvPr>
          <xdr:cNvSpPr/>
        </xdr:nvSpPr>
        <xdr:spPr bwMode="auto">
          <a:xfrm rot="2557756" flipH="1">
            <a:off x="1514029" y="3177778"/>
            <a:ext cx="76021" cy="190500"/>
          </a:xfrm>
          <a:prstGeom prst="rect">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268" name="Rectangle 267">
            <a:extLst>
              <a:ext uri="{FF2B5EF4-FFF2-40B4-BE49-F238E27FC236}">
                <a16:creationId xmlns="" xmlns:a16="http://schemas.microsoft.com/office/drawing/2014/main" id="{00000000-0008-0000-2600-00000C010000}"/>
              </a:ext>
            </a:extLst>
          </xdr:cNvPr>
          <xdr:cNvSpPr/>
        </xdr:nvSpPr>
        <xdr:spPr bwMode="auto">
          <a:xfrm rot="2557756">
            <a:off x="1913141" y="3261121"/>
            <a:ext cx="190054" cy="65484"/>
          </a:xfrm>
          <a:prstGeom prst="rect">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269" name="ZoneTexte 268">
            <a:extLst>
              <a:ext uri="{FF2B5EF4-FFF2-40B4-BE49-F238E27FC236}">
                <a16:creationId xmlns="" xmlns:a16="http://schemas.microsoft.com/office/drawing/2014/main" id="{00000000-0008-0000-2600-00000D010000}"/>
              </a:ext>
            </a:extLst>
          </xdr:cNvPr>
          <xdr:cNvSpPr txBox="1"/>
        </xdr:nvSpPr>
        <xdr:spPr>
          <a:xfrm>
            <a:off x="2109530" y="3165871"/>
            <a:ext cx="348432"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solidFill>
                  <a:srgbClr val="FFFF00"/>
                </a:solidFill>
              </a:rPr>
              <a:t>30</a:t>
            </a:r>
          </a:p>
        </xdr:txBody>
      </xdr:sp>
    </xdr:grpSp>
    <xdr:clientData/>
  </xdr:twoCellAnchor>
  <xdr:twoCellAnchor editAs="oneCell">
    <xdr:from>
      <xdr:col>41</xdr:col>
      <xdr:colOff>60960</xdr:colOff>
      <xdr:row>12</xdr:row>
      <xdr:rowOff>67945</xdr:rowOff>
    </xdr:from>
    <xdr:to>
      <xdr:col>50</xdr:col>
      <xdr:colOff>3764</xdr:colOff>
      <xdr:row>16</xdr:row>
      <xdr:rowOff>202</xdr:rowOff>
    </xdr:to>
    <xdr:sp macro="" textlink="">
      <xdr:nvSpPr>
        <xdr:cNvPr id="273" name="Text Box 507">
          <a:extLst>
            <a:ext uri="{FF2B5EF4-FFF2-40B4-BE49-F238E27FC236}">
              <a16:creationId xmlns="" xmlns:a16="http://schemas.microsoft.com/office/drawing/2014/main" id="{00000000-0008-0000-2600-000011010000}"/>
            </a:ext>
          </a:extLst>
        </xdr:cNvPr>
        <xdr:cNvSpPr txBox="1">
          <a:spLocks noChangeArrowheads="1"/>
        </xdr:cNvSpPr>
      </xdr:nvSpPr>
      <xdr:spPr bwMode="auto">
        <a:xfrm>
          <a:off x="4772025" y="1533525"/>
          <a:ext cx="1009650" cy="4000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FFFF00"/>
              </a:solidFill>
              <a:latin typeface="Arial"/>
              <a:cs typeface="Arial"/>
            </a:rPr>
            <a:t>35</a:t>
          </a:r>
        </a:p>
      </xdr:txBody>
    </xdr:sp>
    <xdr:clientData/>
  </xdr:twoCellAnchor>
  <xdr:twoCellAnchor>
    <xdr:from>
      <xdr:col>81</xdr:col>
      <xdr:colOff>87</xdr:colOff>
      <xdr:row>27</xdr:row>
      <xdr:rowOff>68749</xdr:rowOff>
    </xdr:from>
    <xdr:to>
      <xdr:col>82</xdr:col>
      <xdr:colOff>85175</xdr:colOff>
      <xdr:row>29</xdr:row>
      <xdr:rowOff>27821</xdr:rowOff>
    </xdr:to>
    <xdr:cxnSp macro="">
      <xdr:nvCxnSpPr>
        <xdr:cNvPr id="274" name="Connecteur droit 273">
          <a:extLst>
            <a:ext uri="{FF2B5EF4-FFF2-40B4-BE49-F238E27FC236}">
              <a16:creationId xmlns="" xmlns:a16="http://schemas.microsoft.com/office/drawing/2014/main" id="{00000000-0008-0000-2600-000012010000}"/>
            </a:ext>
          </a:extLst>
        </xdr:cNvPr>
        <xdr:cNvCxnSpPr/>
      </xdr:nvCxnSpPr>
      <xdr:spPr>
        <a:xfrm rot="16200000" flipH="1">
          <a:off x="9321293" y="3168143"/>
          <a:ext cx="182076" cy="2062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80</xdr:col>
      <xdr:colOff>59142</xdr:colOff>
      <xdr:row>29</xdr:row>
      <xdr:rowOff>169</xdr:rowOff>
    </xdr:from>
    <xdr:to>
      <xdr:col>82</xdr:col>
      <xdr:colOff>2318</xdr:colOff>
      <xdr:row>30</xdr:row>
      <xdr:rowOff>41464</xdr:rowOff>
    </xdr:to>
    <xdr:cxnSp macro="">
      <xdr:nvCxnSpPr>
        <xdr:cNvPr id="275" name="Connecteur droit 274">
          <a:extLst>
            <a:ext uri="{FF2B5EF4-FFF2-40B4-BE49-F238E27FC236}">
              <a16:creationId xmlns="" xmlns:a16="http://schemas.microsoft.com/office/drawing/2014/main" id="{00000000-0008-0000-2600-000013010000}"/>
            </a:ext>
          </a:extLst>
        </xdr:cNvPr>
        <xdr:cNvCxnSpPr/>
      </xdr:nvCxnSpPr>
      <xdr:spPr>
        <a:xfrm rot="16200000" flipH="1">
          <a:off x="9245093" y="3282443"/>
          <a:ext cx="182076" cy="2062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80</xdr:col>
      <xdr:colOff>94616</xdr:colOff>
      <xdr:row>28</xdr:row>
      <xdr:rowOff>76834</xdr:rowOff>
    </xdr:from>
    <xdr:to>
      <xdr:col>82</xdr:col>
      <xdr:colOff>94618</xdr:colOff>
      <xdr:row>30</xdr:row>
      <xdr:rowOff>64471</xdr:rowOff>
    </xdr:to>
    <xdr:cxnSp macro="">
      <xdr:nvCxnSpPr>
        <xdr:cNvPr id="276" name="Connecteur droit 275">
          <a:extLst>
            <a:ext uri="{FF2B5EF4-FFF2-40B4-BE49-F238E27FC236}">
              <a16:creationId xmlns="" xmlns:a16="http://schemas.microsoft.com/office/drawing/2014/main" id="{00000000-0008-0000-2600-000014010000}"/>
            </a:ext>
          </a:extLst>
        </xdr:cNvPr>
        <xdr:cNvCxnSpPr/>
      </xdr:nvCxnSpPr>
      <xdr:spPr>
        <a:xfrm rot="10800000" flipV="1">
          <a:off x="9277351" y="3257549"/>
          <a:ext cx="238127" cy="219076"/>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6350</xdr:colOff>
      <xdr:row>22</xdr:row>
      <xdr:rowOff>31750</xdr:rowOff>
    </xdr:from>
    <xdr:to>
      <xdr:col>83</xdr:col>
      <xdr:colOff>19050</xdr:colOff>
      <xdr:row>31</xdr:row>
      <xdr:rowOff>38100</xdr:rowOff>
    </xdr:to>
    <xdr:grpSp>
      <xdr:nvGrpSpPr>
        <xdr:cNvPr id="888374" name="Groupe 276">
          <a:extLst>
            <a:ext uri="{FF2B5EF4-FFF2-40B4-BE49-F238E27FC236}">
              <a16:creationId xmlns="" xmlns:a16="http://schemas.microsoft.com/office/drawing/2014/main" id="{00000000-0008-0000-2600-0000368E0D00}"/>
            </a:ext>
          </a:extLst>
        </xdr:cNvPr>
        <xdr:cNvGrpSpPr>
          <a:grpSpLocks/>
        </xdr:cNvGrpSpPr>
      </xdr:nvGrpSpPr>
      <xdr:grpSpPr bwMode="auto">
        <a:xfrm>
          <a:off x="7880350" y="2419350"/>
          <a:ext cx="1612900" cy="920750"/>
          <a:chOff x="12182475" y="1047750"/>
          <a:chExt cx="1609725" cy="1038225"/>
        </a:xfrm>
      </xdr:grpSpPr>
      <xdr:sp macro="" textlink="">
        <xdr:nvSpPr>
          <xdr:cNvPr id="278" name="ZoneTexte 277">
            <a:extLst>
              <a:ext uri="{FF2B5EF4-FFF2-40B4-BE49-F238E27FC236}">
                <a16:creationId xmlns="" xmlns:a16="http://schemas.microsoft.com/office/drawing/2014/main" id="{00000000-0008-0000-2600-000016010000}"/>
              </a:ext>
            </a:extLst>
          </xdr:cNvPr>
          <xdr:cNvSpPr txBox="1"/>
        </xdr:nvSpPr>
        <xdr:spPr>
          <a:xfrm rot="1828187">
            <a:off x="12220500" y="1756607"/>
            <a:ext cx="392925" cy="1861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13</a:t>
            </a:r>
          </a:p>
        </xdr:txBody>
      </xdr:sp>
      <xdr:cxnSp macro="">
        <xdr:nvCxnSpPr>
          <xdr:cNvPr id="279" name="Connecteur droit 278">
            <a:extLst>
              <a:ext uri="{FF2B5EF4-FFF2-40B4-BE49-F238E27FC236}">
                <a16:creationId xmlns="" xmlns:a16="http://schemas.microsoft.com/office/drawing/2014/main" id="{00000000-0008-0000-2600-000017010000}"/>
              </a:ext>
            </a:extLst>
          </xdr:cNvPr>
          <xdr:cNvCxnSpPr/>
        </xdr:nvCxnSpPr>
        <xdr:spPr>
          <a:xfrm rot="5400000">
            <a:off x="12247998" y="1853635"/>
            <a:ext cx="293567" cy="171113"/>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0" name="Connecteur droit 279">
            <a:extLst>
              <a:ext uri="{FF2B5EF4-FFF2-40B4-BE49-F238E27FC236}">
                <a16:creationId xmlns="" xmlns:a16="http://schemas.microsoft.com/office/drawing/2014/main" id="{00000000-0008-0000-2600-000018010000}"/>
              </a:ext>
            </a:extLst>
          </xdr:cNvPr>
          <xdr:cNvCxnSpPr/>
        </xdr:nvCxnSpPr>
        <xdr:spPr>
          <a:xfrm>
            <a:off x="12214163" y="1856849"/>
            <a:ext cx="209138" cy="16468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nvGrpSpPr>
          <xdr:cNvPr id="888454" name="Groupe 525">
            <a:extLst>
              <a:ext uri="{FF2B5EF4-FFF2-40B4-BE49-F238E27FC236}">
                <a16:creationId xmlns="" xmlns:a16="http://schemas.microsoft.com/office/drawing/2014/main" id="{00000000-0008-0000-2600-0000868E0D00}"/>
              </a:ext>
            </a:extLst>
          </xdr:cNvPr>
          <xdr:cNvGrpSpPr>
            <a:grpSpLocks/>
          </xdr:cNvGrpSpPr>
        </xdr:nvGrpSpPr>
        <xdr:grpSpPr bwMode="auto">
          <a:xfrm>
            <a:off x="12182475" y="1047770"/>
            <a:ext cx="1609725" cy="962005"/>
            <a:chOff x="12182475" y="1047770"/>
            <a:chExt cx="1609725" cy="962005"/>
          </a:xfrm>
        </xdr:grpSpPr>
        <xdr:grpSp>
          <xdr:nvGrpSpPr>
            <xdr:cNvPr id="372" name="Groupe 357">
              <a:extLst>
                <a:ext uri="{FF2B5EF4-FFF2-40B4-BE49-F238E27FC236}">
                  <a16:creationId xmlns="" xmlns:a16="http://schemas.microsoft.com/office/drawing/2014/main" id="{00000000-0008-0000-2600-000074010000}"/>
                </a:ext>
              </a:extLst>
            </xdr:cNvPr>
            <xdr:cNvGrpSpPr/>
          </xdr:nvGrpSpPr>
          <xdr:grpSpPr>
            <a:xfrm rot="16200000">
              <a:off x="12568833" y="1206417"/>
              <a:ext cx="665896" cy="348563"/>
              <a:chOff x="7810500" y="1704976"/>
              <a:chExt cx="1104900" cy="514350"/>
            </a:xfrm>
            <a:solidFill>
              <a:schemeClr val="tx2">
                <a:lumMod val="60000"/>
                <a:lumOff val="40000"/>
              </a:schemeClr>
            </a:solidFill>
          </xdr:grpSpPr>
          <xdr:sp macro="" textlink="">
            <xdr:nvSpPr>
              <xdr:cNvPr id="290" name="Ellipse 289">
                <a:extLst>
                  <a:ext uri="{FF2B5EF4-FFF2-40B4-BE49-F238E27FC236}">
                    <a16:creationId xmlns="" xmlns:a16="http://schemas.microsoft.com/office/drawing/2014/main" id="{00000000-0008-0000-2600-000022010000}"/>
                  </a:ext>
                </a:extLst>
              </xdr:cNvPr>
              <xdr:cNvSpPr/>
            </xdr:nvSpPr>
            <xdr:spPr bwMode="auto">
              <a:xfrm>
                <a:off x="7703575" y="1817198"/>
                <a:ext cx="380181" cy="336664"/>
              </a:xfrm>
              <a:prstGeom prst="ellipse">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291" name="Organigramme : Délai 359">
                <a:extLst>
                  <a:ext uri="{FF2B5EF4-FFF2-40B4-BE49-F238E27FC236}">
                    <a16:creationId xmlns="" xmlns:a16="http://schemas.microsoft.com/office/drawing/2014/main" id="{00000000-0008-0000-2600-000023010000}"/>
                  </a:ext>
                </a:extLst>
              </xdr:cNvPr>
              <xdr:cNvSpPr/>
            </xdr:nvSpPr>
            <xdr:spPr bwMode="auto">
              <a:xfrm>
                <a:off x="8012472" y="1817198"/>
                <a:ext cx="796003" cy="336664"/>
              </a:xfrm>
              <a:prstGeom prst="flowChartDelay">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292" name="Ellipse 360">
                <a:extLst>
                  <a:ext uri="{FF2B5EF4-FFF2-40B4-BE49-F238E27FC236}">
                    <a16:creationId xmlns="" xmlns:a16="http://schemas.microsoft.com/office/drawing/2014/main" id="{00000000-0008-0000-2600-000024010000}"/>
                  </a:ext>
                </a:extLst>
              </xdr:cNvPr>
              <xdr:cNvSpPr/>
            </xdr:nvSpPr>
            <xdr:spPr bwMode="auto">
              <a:xfrm>
                <a:off x="8297607" y="1704977"/>
                <a:ext cx="510868" cy="514349"/>
              </a:xfrm>
              <a:prstGeom prst="ellipse">
                <a:avLst/>
              </a:prstGeom>
              <a:solidFill>
                <a:schemeClr val="accent1">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grpSp>
        <xdr:sp macro="" textlink="">
          <xdr:nvSpPr>
            <xdr:cNvPr id="283" name="Rectangle 282">
              <a:extLst>
                <a:ext uri="{FF2B5EF4-FFF2-40B4-BE49-F238E27FC236}">
                  <a16:creationId xmlns="" xmlns:a16="http://schemas.microsoft.com/office/drawing/2014/main" id="{00000000-0008-0000-2600-00001B010000}"/>
                </a:ext>
              </a:extLst>
            </xdr:cNvPr>
            <xdr:cNvSpPr/>
          </xdr:nvSpPr>
          <xdr:spPr>
            <a:xfrm rot="2786224">
              <a:off x="13059822" y="1468921"/>
              <a:ext cx="558494" cy="14576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sp macro="" textlink="">
          <xdr:nvSpPr>
            <xdr:cNvPr id="284" name="Rectangle 283">
              <a:extLst>
                <a:ext uri="{FF2B5EF4-FFF2-40B4-BE49-F238E27FC236}">
                  <a16:creationId xmlns="" xmlns:a16="http://schemas.microsoft.com/office/drawing/2014/main" id="{00000000-0008-0000-2600-00001C010000}"/>
                </a:ext>
              </a:extLst>
            </xdr:cNvPr>
            <xdr:cNvSpPr/>
          </xdr:nvSpPr>
          <xdr:spPr>
            <a:xfrm rot="17801563">
              <a:off x="12231544" y="1443860"/>
              <a:ext cx="579974" cy="14576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xnSp macro="">
          <xdr:nvCxnSpPr>
            <xdr:cNvPr id="285" name="Connecteur droit avec flèche 284">
              <a:extLst>
                <a:ext uri="{FF2B5EF4-FFF2-40B4-BE49-F238E27FC236}">
                  <a16:creationId xmlns="" xmlns:a16="http://schemas.microsoft.com/office/drawing/2014/main" id="{00000000-0008-0000-2600-00001D010000}"/>
                </a:ext>
              </a:extLst>
            </xdr:cNvPr>
            <xdr:cNvCxnSpPr/>
          </xdr:nvCxnSpPr>
          <xdr:spPr>
            <a:xfrm rot="5400000" flipH="1" flipV="1">
              <a:off x="12902482" y="1295615"/>
              <a:ext cx="42961" cy="950625"/>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86" name="ZoneTexte 285">
              <a:extLst>
                <a:ext uri="{FF2B5EF4-FFF2-40B4-BE49-F238E27FC236}">
                  <a16:creationId xmlns="" xmlns:a16="http://schemas.microsoft.com/office/drawing/2014/main" id="{00000000-0008-0000-2600-00001E010000}"/>
                </a:ext>
              </a:extLst>
            </xdr:cNvPr>
            <xdr:cNvSpPr txBox="1"/>
          </xdr:nvSpPr>
          <xdr:spPr>
            <a:xfrm>
              <a:off x="12765525" y="1727966"/>
              <a:ext cx="405600" cy="179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15</a:t>
              </a:r>
            </a:p>
          </xdr:txBody>
        </xdr:sp>
        <xdr:cxnSp macro="">
          <xdr:nvCxnSpPr>
            <xdr:cNvPr id="287" name="Connecteur droit 286">
              <a:extLst>
                <a:ext uri="{FF2B5EF4-FFF2-40B4-BE49-F238E27FC236}">
                  <a16:creationId xmlns="" xmlns:a16="http://schemas.microsoft.com/office/drawing/2014/main" id="{00000000-0008-0000-2600-00001F010000}"/>
                </a:ext>
              </a:extLst>
            </xdr:cNvPr>
            <xdr:cNvCxnSpPr/>
          </xdr:nvCxnSpPr>
          <xdr:spPr>
            <a:xfrm rot="5400000">
              <a:off x="12132399" y="1792362"/>
              <a:ext cx="264926" cy="1647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288" name="ZoneTexte 287">
              <a:extLst>
                <a:ext uri="{FF2B5EF4-FFF2-40B4-BE49-F238E27FC236}">
                  <a16:creationId xmlns="" xmlns:a16="http://schemas.microsoft.com/office/drawing/2014/main" id="{00000000-0008-0000-2600-000020010000}"/>
                </a:ext>
              </a:extLst>
            </xdr:cNvPr>
            <xdr:cNvSpPr txBox="1"/>
          </xdr:nvSpPr>
          <xdr:spPr>
            <a:xfrm rot="19191446">
              <a:off x="13399275" y="1670685"/>
              <a:ext cx="392925" cy="1861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13</a:t>
              </a:r>
            </a:p>
          </xdr:txBody>
        </xdr:sp>
        <xdr:sp macro="" textlink="">
          <xdr:nvSpPr>
            <xdr:cNvPr id="289" name="ZoneTexte 288">
              <a:extLst>
                <a:ext uri="{FF2B5EF4-FFF2-40B4-BE49-F238E27FC236}">
                  <a16:creationId xmlns="" xmlns:a16="http://schemas.microsoft.com/office/drawing/2014/main" id="{00000000-0008-0000-2600-000021010000}"/>
                </a:ext>
              </a:extLst>
            </xdr:cNvPr>
            <xdr:cNvSpPr txBox="1"/>
          </xdr:nvSpPr>
          <xdr:spPr>
            <a:xfrm rot="2520652">
              <a:off x="13361250" y="1284035"/>
              <a:ext cx="380250" cy="179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15</a:t>
              </a:r>
            </a:p>
          </xdr:txBody>
        </xdr:sp>
      </xdr:grpSp>
    </xdr:grpSp>
    <xdr:clientData/>
  </xdr:twoCellAnchor>
  <xdr:twoCellAnchor>
    <xdr:from>
      <xdr:col>81</xdr:col>
      <xdr:colOff>61814</xdr:colOff>
      <xdr:row>26</xdr:row>
      <xdr:rowOff>20954</xdr:rowOff>
    </xdr:from>
    <xdr:to>
      <xdr:col>82</xdr:col>
      <xdr:colOff>102813</xdr:colOff>
      <xdr:row>28</xdr:row>
      <xdr:rowOff>3354</xdr:rowOff>
    </xdr:to>
    <xdr:cxnSp macro="">
      <xdr:nvCxnSpPr>
        <xdr:cNvPr id="293" name="Connecteur droit 292">
          <a:extLst>
            <a:ext uri="{FF2B5EF4-FFF2-40B4-BE49-F238E27FC236}">
              <a16:creationId xmlns="" xmlns:a16="http://schemas.microsoft.com/office/drawing/2014/main" id="{00000000-0008-0000-2600-000025010000}"/>
            </a:ext>
          </a:extLst>
        </xdr:cNvPr>
        <xdr:cNvCxnSpPr/>
      </xdr:nvCxnSpPr>
      <xdr:spPr>
        <a:xfrm rot="10800000" flipV="1">
          <a:off x="9348054" y="3009899"/>
          <a:ext cx="176947" cy="1783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86491</xdr:colOff>
      <xdr:row>22</xdr:row>
      <xdr:rowOff>41783</xdr:rowOff>
    </xdr:from>
    <xdr:to>
      <xdr:col>79</xdr:col>
      <xdr:colOff>57762</xdr:colOff>
      <xdr:row>24</xdr:row>
      <xdr:rowOff>65143</xdr:rowOff>
    </xdr:to>
    <xdr:cxnSp macro="">
      <xdr:nvCxnSpPr>
        <xdr:cNvPr id="294" name="Connecteur droit 293">
          <a:extLst>
            <a:ext uri="{FF2B5EF4-FFF2-40B4-BE49-F238E27FC236}">
              <a16:creationId xmlns="" xmlns:a16="http://schemas.microsoft.com/office/drawing/2014/main" id="{00000000-0008-0000-2600-000026010000}"/>
            </a:ext>
          </a:extLst>
        </xdr:cNvPr>
        <xdr:cNvCxnSpPr/>
      </xdr:nvCxnSpPr>
      <xdr:spPr>
        <a:xfrm flipH="1">
          <a:off x="8942836" y="2626233"/>
          <a:ext cx="189086" cy="20224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59</xdr:col>
      <xdr:colOff>635</xdr:colOff>
      <xdr:row>21</xdr:row>
      <xdr:rowOff>62865</xdr:rowOff>
    </xdr:from>
    <xdr:to>
      <xdr:col>80</xdr:col>
      <xdr:colOff>60961</xdr:colOff>
      <xdr:row>29</xdr:row>
      <xdr:rowOff>1206</xdr:rowOff>
    </xdr:to>
    <xdr:sp macro="" textlink="">
      <xdr:nvSpPr>
        <xdr:cNvPr id="295" name="Text Box 470">
          <a:extLst>
            <a:ext uri="{FF2B5EF4-FFF2-40B4-BE49-F238E27FC236}">
              <a16:creationId xmlns="" xmlns:a16="http://schemas.microsoft.com/office/drawing/2014/main" id="{00000000-0008-0000-2600-000027010000}"/>
            </a:ext>
          </a:extLst>
        </xdr:cNvPr>
        <xdr:cNvSpPr txBox="1">
          <a:spLocks noChangeArrowheads="1"/>
        </xdr:cNvSpPr>
      </xdr:nvSpPr>
      <xdr:spPr bwMode="auto">
        <a:xfrm>
          <a:off x="6791325" y="2543175"/>
          <a:ext cx="2428876" cy="7524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BAC DE DOUCHE</a:t>
          </a:r>
        </a:p>
      </xdr:txBody>
    </xdr:sp>
    <xdr:clientData/>
  </xdr:twoCellAnchor>
  <xdr:twoCellAnchor>
    <xdr:from>
      <xdr:col>46</xdr:col>
      <xdr:colOff>19050</xdr:colOff>
      <xdr:row>27</xdr:row>
      <xdr:rowOff>44450</xdr:rowOff>
    </xdr:from>
    <xdr:to>
      <xdr:col>56</xdr:col>
      <xdr:colOff>31750</xdr:colOff>
      <xdr:row>28</xdr:row>
      <xdr:rowOff>76200</xdr:rowOff>
    </xdr:to>
    <xdr:sp macro="" textlink="">
      <xdr:nvSpPr>
        <xdr:cNvPr id="888378" name="Rectangle 491" descr="Horizontal brick">
          <a:extLst>
            <a:ext uri="{FF2B5EF4-FFF2-40B4-BE49-F238E27FC236}">
              <a16:creationId xmlns="" xmlns:a16="http://schemas.microsoft.com/office/drawing/2014/main" id="{00000000-0008-0000-2600-00003A8E0D00}"/>
            </a:ext>
          </a:extLst>
        </xdr:cNvPr>
        <xdr:cNvSpPr>
          <a:spLocks noChangeArrowheads="1"/>
        </xdr:cNvSpPr>
      </xdr:nvSpPr>
      <xdr:spPr bwMode="auto">
        <a:xfrm rot="-5400000">
          <a:off x="5794375" y="2428875"/>
          <a:ext cx="133350" cy="11557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55</xdr:col>
      <xdr:colOff>57150</xdr:colOff>
      <xdr:row>27</xdr:row>
      <xdr:rowOff>38100</xdr:rowOff>
    </xdr:from>
    <xdr:to>
      <xdr:col>57</xdr:col>
      <xdr:colOff>19050</xdr:colOff>
      <xdr:row>35</xdr:row>
      <xdr:rowOff>31750</xdr:rowOff>
    </xdr:to>
    <xdr:sp macro="" textlink="">
      <xdr:nvSpPr>
        <xdr:cNvPr id="888379" name="Rectangle 497" descr="Horizontal brick">
          <a:extLst>
            <a:ext uri="{FF2B5EF4-FFF2-40B4-BE49-F238E27FC236}">
              <a16:creationId xmlns="" xmlns:a16="http://schemas.microsoft.com/office/drawing/2014/main" id="{00000000-0008-0000-2600-00003B8E0D00}"/>
            </a:ext>
          </a:extLst>
        </xdr:cNvPr>
        <xdr:cNvSpPr>
          <a:spLocks noChangeArrowheads="1"/>
        </xdr:cNvSpPr>
      </xdr:nvSpPr>
      <xdr:spPr bwMode="auto">
        <a:xfrm rot="-5400000">
          <a:off x="6042025" y="3241675"/>
          <a:ext cx="806450" cy="1905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46</xdr:col>
      <xdr:colOff>60960</xdr:colOff>
      <xdr:row>29</xdr:row>
      <xdr:rowOff>24765</xdr:rowOff>
    </xdr:from>
    <xdr:to>
      <xdr:col>47</xdr:col>
      <xdr:colOff>385</xdr:colOff>
      <xdr:row>34</xdr:row>
      <xdr:rowOff>1308</xdr:rowOff>
    </xdr:to>
    <xdr:sp macro="" textlink="">
      <xdr:nvSpPr>
        <xdr:cNvPr id="298" name="Rectangle 297">
          <a:extLst>
            <a:ext uri="{FF2B5EF4-FFF2-40B4-BE49-F238E27FC236}">
              <a16:creationId xmlns="" xmlns:a16="http://schemas.microsoft.com/office/drawing/2014/main" id="{00000000-0008-0000-2600-00002A010000}"/>
            </a:ext>
          </a:extLst>
        </xdr:cNvPr>
        <xdr:cNvSpPr/>
      </xdr:nvSpPr>
      <xdr:spPr>
        <a:xfrm>
          <a:off x="5343525" y="3305175"/>
          <a:ext cx="76200" cy="514350"/>
        </a:xfrm>
        <a:prstGeom prst="rect">
          <a:avLst/>
        </a:prstGeom>
        <a:solidFill>
          <a:schemeClr val="accent6">
            <a:lumMod val="60000"/>
            <a:lumOff val="40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51</xdr:col>
      <xdr:colOff>61595</xdr:colOff>
      <xdr:row>30</xdr:row>
      <xdr:rowOff>64135</xdr:rowOff>
    </xdr:from>
    <xdr:to>
      <xdr:col>55</xdr:col>
      <xdr:colOff>57685</xdr:colOff>
      <xdr:row>33</xdr:row>
      <xdr:rowOff>80313</xdr:rowOff>
    </xdr:to>
    <xdr:sp macro="" textlink="">
      <xdr:nvSpPr>
        <xdr:cNvPr id="299" name="Rectangle 298">
          <a:extLst>
            <a:ext uri="{FF2B5EF4-FFF2-40B4-BE49-F238E27FC236}">
              <a16:creationId xmlns="" xmlns:a16="http://schemas.microsoft.com/office/drawing/2014/main" id="{00000000-0008-0000-2600-00002B010000}"/>
            </a:ext>
          </a:extLst>
        </xdr:cNvPr>
        <xdr:cNvSpPr/>
      </xdr:nvSpPr>
      <xdr:spPr>
        <a:xfrm>
          <a:off x="5886450" y="3448050"/>
          <a:ext cx="495300" cy="371475"/>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53</xdr:col>
      <xdr:colOff>94615</xdr:colOff>
      <xdr:row>32</xdr:row>
      <xdr:rowOff>64135</xdr:rowOff>
    </xdr:from>
    <xdr:to>
      <xdr:col>54</xdr:col>
      <xdr:colOff>94615</xdr:colOff>
      <xdr:row>33</xdr:row>
      <xdr:rowOff>29079</xdr:rowOff>
    </xdr:to>
    <xdr:sp macro="" textlink="">
      <xdr:nvSpPr>
        <xdr:cNvPr id="300" name="Ellipse 299">
          <a:extLst>
            <a:ext uri="{FF2B5EF4-FFF2-40B4-BE49-F238E27FC236}">
              <a16:creationId xmlns="" xmlns:a16="http://schemas.microsoft.com/office/drawing/2014/main" id="{00000000-0008-0000-2600-00002C010000}"/>
            </a:ext>
          </a:extLst>
        </xdr:cNvPr>
        <xdr:cNvSpPr/>
      </xdr:nvSpPr>
      <xdr:spPr>
        <a:xfrm>
          <a:off x="6200775" y="3686175"/>
          <a:ext cx="114300" cy="95250"/>
        </a:xfrm>
        <a:prstGeom prst="ellipse">
          <a:avLst/>
        </a:prstGeom>
        <a:solidFill>
          <a:srgbClr val="FFFF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51</xdr:col>
      <xdr:colOff>94615</xdr:colOff>
      <xdr:row>29</xdr:row>
      <xdr:rowOff>70485</xdr:rowOff>
    </xdr:from>
    <xdr:to>
      <xdr:col>55</xdr:col>
      <xdr:colOff>61003</xdr:colOff>
      <xdr:row>31</xdr:row>
      <xdr:rowOff>70486</xdr:rowOff>
    </xdr:to>
    <xdr:sp macro="" textlink="">
      <xdr:nvSpPr>
        <xdr:cNvPr id="301" name="ZoneTexte 300">
          <a:extLst>
            <a:ext uri="{FF2B5EF4-FFF2-40B4-BE49-F238E27FC236}">
              <a16:creationId xmlns="" xmlns:a16="http://schemas.microsoft.com/office/drawing/2014/main" id="{00000000-0008-0000-2600-00002D010000}"/>
            </a:ext>
          </a:extLst>
        </xdr:cNvPr>
        <xdr:cNvSpPr txBox="1"/>
      </xdr:nvSpPr>
      <xdr:spPr>
        <a:xfrm>
          <a:off x="5972175" y="3390900"/>
          <a:ext cx="390525" cy="219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t>60</a:t>
          </a:r>
        </a:p>
      </xdr:txBody>
    </xdr:sp>
    <xdr:clientData/>
  </xdr:twoCellAnchor>
  <xdr:twoCellAnchor editAs="oneCell">
    <xdr:from>
      <xdr:col>50</xdr:col>
      <xdr:colOff>94615</xdr:colOff>
      <xdr:row>31</xdr:row>
      <xdr:rowOff>60960</xdr:rowOff>
    </xdr:from>
    <xdr:to>
      <xdr:col>122</xdr:col>
      <xdr:colOff>19729</xdr:colOff>
      <xdr:row>38</xdr:row>
      <xdr:rowOff>98275</xdr:rowOff>
    </xdr:to>
    <xdr:sp macro="" textlink="">
      <xdr:nvSpPr>
        <xdr:cNvPr id="302" name="Text Box 470">
          <a:extLst>
            <a:ext uri="{FF2B5EF4-FFF2-40B4-BE49-F238E27FC236}">
              <a16:creationId xmlns="" xmlns:a16="http://schemas.microsoft.com/office/drawing/2014/main" id="{00000000-0008-0000-2600-00002E010000}"/>
            </a:ext>
          </a:extLst>
        </xdr:cNvPr>
        <xdr:cNvSpPr txBox="1">
          <a:spLocks noChangeArrowheads="1"/>
        </xdr:cNvSpPr>
      </xdr:nvSpPr>
      <xdr:spPr bwMode="auto">
        <a:xfrm>
          <a:off x="5857875" y="3552825"/>
          <a:ext cx="7210425" cy="790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60</a:t>
          </a:r>
        </a:p>
      </xdr:txBody>
    </xdr:sp>
    <xdr:clientData/>
  </xdr:twoCellAnchor>
  <xdr:twoCellAnchor>
    <xdr:from>
      <xdr:col>54</xdr:col>
      <xdr:colOff>94385</xdr:colOff>
      <xdr:row>32</xdr:row>
      <xdr:rowOff>1</xdr:rowOff>
    </xdr:from>
    <xdr:to>
      <xdr:col>54</xdr:col>
      <xdr:colOff>94462</xdr:colOff>
      <xdr:row>32</xdr:row>
      <xdr:rowOff>80148</xdr:rowOff>
    </xdr:to>
    <xdr:cxnSp macro="">
      <xdr:nvCxnSpPr>
        <xdr:cNvPr id="303" name="Connecteur droit 302">
          <a:extLst>
            <a:ext uri="{FF2B5EF4-FFF2-40B4-BE49-F238E27FC236}">
              <a16:creationId xmlns="" xmlns:a16="http://schemas.microsoft.com/office/drawing/2014/main" id="{00000000-0008-0000-2600-00002F010000}"/>
            </a:ext>
          </a:extLst>
        </xdr:cNvPr>
        <xdr:cNvCxnSpPr>
          <a:stCxn id="300" idx="7"/>
        </xdr:cNvCxnSpPr>
      </xdr:nvCxnSpPr>
      <xdr:spPr>
        <a:xfrm rot="5400000" flipH="1" flipV="1">
          <a:off x="6260933" y="3647378"/>
          <a:ext cx="91544" cy="16739"/>
        </a:xfrm>
        <a:prstGeom prst="line">
          <a:avLst/>
        </a:prstGeom>
        <a:ln w="28575">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57786</xdr:colOff>
      <xdr:row>32</xdr:row>
      <xdr:rowOff>63818</xdr:rowOff>
    </xdr:from>
    <xdr:to>
      <xdr:col>54</xdr:col>
      <xdr:colOff>57425</xdr:colOff>
      <xdr:row>32</xdr:row>
      <xdr:rowOff>68457</xdr:rowOff>
    </xdr:to>
    <xdr:cxnSp macro="">
      <xdr:nvCxnSpPr>
        <xdr:cNvPr id="304" name="Connecteur droit 303">
          <a:extLst>
            <a:ext uri="{FF2B5EF4-FFF2-40B4-BE49-F238E27FC236}">
              <a16:creationId xmlns="" xmlns:a16="http://schemas.microsoft.com/office/drawing/2014/main" id="{00000000-0008-0000-2600-000030010000}"/>
            </a:ext>
          </a:extLst>
        </xdr:cNvPr>
        <xdr:cNvCxnSpPr>
          <a:endCxn id="302" idx="3"/>
        </xdr:cNvCxnSpPr>
      </xdr:nvCxnSpPr>
      <xdr:spPr>
        <a:xfrm rot="10800000">
          <a:off x="6172201" y="3652838"/>
          <a:ext cx="83415" cy="39156"/>
        </a:xfrm>
        <a:prstGeom prst="line">
          <a:avLst/>
        </a:prstGeom>
        <a:ln w="28575">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0</xdr:colOff>
      <xdr:row>31</xdr:row>
      <xdr:rowOff>1905</xdr:rowOff>
    </xdr:from>
    <xdr:to>
      <xdr:col>56</xdr:col>
      <xdr:colOff>77938</xdr:colOff>
      <xdr:row>33</xdr:row>
      <xdr:rowOff>1905</xdr:rowOff>
    </xdr:to>
    <xdr:sp macro="" textlink="">
      <xdr:nvSpPr>
        <xdr:cNvPr id="305" name="Rectangle 304">
          <a:extLst>
            <a:ext uri="{FF2B5EF4-FFF2-40B4-BE49-F238E27FC236}">
              <a16:creationId xmlns="" xmlns:a16="http://schemas.microsoft.com/office/drawing/2014/main" id="{00000000-0008-0000-2600-000031010000}"/>
            </a:ext>
          </a:extLst>
        </xdr:cNvPr>
        <xdr:cNvSpPr/>
      </xdr:nvSpPr>
      <xdr:spPr>
        <a:xfrm>
          <a:off x="6438900" y="3505200"/>
          <a:ext cx="85725" cy="209550"/>
        </a:xfrm>
        <a:prstGeom prst="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53</xdr:col>
      <xdr:colOff>636</xdr:colOff>
      <xdr:row>33</xdr:row>
      <xdr:rowOff>1</xdr:rowOff>
    </xdr:from>
    <xdr:to>
      <xdr:col>54</xdr:col>
      <xdr:colOff>3530</xdr:colOff>
      <xdr:row>33</xdr:row>
      <xdr:rowOff>31444</xdr:rowOff>
    </xdr:to>
    <xdr:cxnSp macro="">
      <xdr:nvCxnSpPr>
        <xdr:cNvPr id="306" name="Connecteur droit 305">
          <a:extLst>
            <a:ext uri="{FF2B5EF4-FFF2-40B4-BE49-F238E27FC236}">
              <a16:creationId xmlns="" xmlns:a16="http://schemas.microsoft.com/office/drawing/2014/main" id="{00000000-0008-0000-2600-000032010000}"/>
            </a:ext>
          </a:extLst>
        </xdr:cNvPr>
        <xdr:cNvCxnSpPr/>
      </xdr:nvCxnSpPr>
      <xdr:spPr>
        <a:xfrm rot="10800000">
          <a:off x="6105526" y="3714751"/>
          <a:ext cx="102465" cy="34394"/>
        </a:xfrm>
        <a:prstGeom prst="line">
          <a:avLst/>
        </a:prstGeom>
        <a:ln w="28575">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20623</xdr:colOff>
      <xdr:row>33</xdr:row>
      <xdr:rowOff>63849</xdr:rowOff>
    </xdr:from>
    <xdr:to>
      <xdr:col>54</xdr:col>
      <xdr:colOff>60605</xdr:colOff>
      <xdr:row>45</xdr:row>
      <xdr:rowOff>28503</xdr:rowOff>
    </xdr:to>
    <xdr:sp macro="" textlink="">
      <xdr:nvSpPr>
        <xdr:cNvPr id="307" name="Rectangle 306">
          <a:extLst>
            <a:ext uri="{FF2B5EF4-FFF2-40B4-BE49-F238E27FC236}">
              <a16:creationId xmlns="" xmlns:a16="http://schemas.microsoft.com/office/drawing/2014/main" id="{00000000-0008-0000-2600-000033010000}"/>
            </a:ext>
          </a:extLst>
        </xdr:cNvPr>
        <xdr:cNvSpPr/>
      </xdr:nvSpPr>
      <xdr:spPr>
        <a:xfrm rot="16200000" flipV="1">
          <a:off x="5638996" y="4388941"/>
          <a:ext cx="1250311" cy="49948"/>
        </a:xfrm>
        <a:prstGeom prst="rect">
          <a:avLst/>
        </a:prstGeom>
        <a:noFill/>
        <a:ln>
          <a:solidFill>
            <a:srgbClr val="92D05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47</xdr:col>
      <xdr:colOff>57785</xdr:colOff>
      <xdr:row>29</xdr:row>
      <xdr:rowOff>1905</xdr:rowOff>
    </xdr:from>
    <xdr:to>
      <xdr:col>49</xdr:col>
      <xdr:colOff>61102</xdr:colOff>
      <xdr:row>31</xdr:row>
      <xdr:rowOff>1905</xdr:rowOff>
    </xdr:to>
    <xdr:sp macro="" textlink="">
      <xdr:nvSpPr>
        <xdr:cNvPr id="308" name="Ellipse 307">
          <a:extLst>
            <a:ext uri="{FF2B5EF4-FFF2-40B4-BE49-F238E27FC236}">
              <a16:creationId xmlns="" xmlns:a16="http://schemas.microsoft.com/office/drawing/2014/main" id="{00000000-0008-0000-2600-000034010000}"/>
            </a:ext>
          </a:extLst>
        </xdr:cNvPr>
        <xdr:cNvSpPr/>
      </xdr:nvSpPr>
      <xdr:spPr>
        <a:xfrm>
          <a:off x="5467350" y="3295650"/>
          <a:ext cx="219075" cy="209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49</xdr:col>
      <xdr:colOff>60960</xdr:colOff>
      <xdr:row>29</xdr:row>
      <xdr:rowOff>70485</xdr:rowOff>
    </xdr:from>
    <xdr:to>
      <xdr:col>50</xdr:col>
      <xdr:colOff>60960</xdr:colOff>
      <xdr:row>29</xdr:row>
      <xdr:rowOff>72073</xdr:rowOff>
    </xdr:to>
    <xdr:cxnSp macro="">
      <xdr:nvCxnSpPr>
        <xdr:cNvPr id="309" name="Connecteur droit 308">
          <a:extLst>
            <a:ext uri="{FF2B5EF4-FFF2-40B4-BE49-F238E27FC236}">
              <a16:creationId xmlns="" xmlns:a16="http://schemas.microsoft.com/office/drawing/2014/main" id="{00000000-0008-0000-2600-000035010000}"/>
            </a:ext>
          </a:extLst>
        </xdr:cNvPr>
        <xdr:cNvCxnSpPr/>
      </xdr:nvCxnSpPr>
      <xdr:spPr>
        <a:xfrm rot="10800000">
          <a:off x="5676900" y="3400425"/>
          <a:ext cx="114300" cy="1588"/>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61595</xdr:colOff>
      <xdr:row>18</xdr:row>
      <xdr:rowOff>20954</xdr:rowOff>
    </xdr:from>
    <xdr:to>
      <xdr:col>56</xdr:col>
      <xdr:colOff>57773</xdr:colOff>
      <xdr:row>31</xdr:row>
      <xdr:rowOff>2327</xdr:rowOff>
    </xdr:to>
    <xdr:cxnSp macro="">
      <xdr:nvCxnSpPr>
        <xdr:cNvPr id="310" name="Connecteur droit avec flèche 309">
          <a:extLst>
            <a:ext uri="{FF2B5EF4-FFF2-40B4-BE49-F238E27FC236}">
              <a16:creationId xmlns="" xmlns:a16="http://schemas.microsoft.com/office/drawing/2014/main" id="{00000000-0008-0000-2600-000036010000}"/>
            </a:ext>
          </a:extLst>
        </xdr:cNvPr>
        <xdr:cNvCxnSpPr>
          <a:endCxn id="305" idx="0"/>
        </xdr:cNvCxnSpPr>
      </xdr:nvCxnSpPr>
      <xdr:spPr>
        <a:xfrm rot="16200000" flipH="1">
          <a:off x="5807869" y="2821780"/>
          <a:ext cx="1323975" cy="23813"/>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57785</xdr:colOff>
      <xdr:row>10</xdr:row>
      <xdr:rowOff>64135</xdr:rowOff>
    </xdr:from>
    <xdr:to>
      <xdr:col>62</xdr:col>
      <xdr:colOff>61150</xdr:colOff>
      <xdr:row>18</xdr:row>
      <xdr:rowOff>64135</xdr:rowOff>
    </xdr:to>
    <xdr:sp macro="" textlink="">
      <xdr:nvSpPr>
        <xdr:cNvPr id="311" name="ZoneTexte 310">
          <a:extLst>
            <a:ext uri="{FF2B5EF4-FFF2-40B4-BE49-F238E27FC236}">
              <a16:creationId xmlns="" xmlns:a16="http://schemas.microsoft.com/office/drawing/2014/main" id="{00000000-0008-0000-2600-000037010000}"/>
            </a:ext>
          </a:extLst>
        </xdr:cNvPr>
        <xdr:cNvSpPr txBox="1"/>
      </xdr:nvSpPr>
      <xdr:spPr>
        <a:xfrm>
          <a:off x="6057900" y="1362075"/>
          <a:ext cx="1104901" cy="838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nSpc>
              <a:spcPts val="1100"/>
            </a:lnSpc>
          </a:pPr>
          <a:r>
            <a:rPr lang="en-GB" sz="1100"/>
            <a:t>Ouverture</a:t>
          </a:r>
          <a:r>
            <a:rPr lang="en-GB" sz="1100" baseline="0"/>
            <a:t> muni de vitre à 1.50m de hauteur</a:t>
          </a:r>
          <a:endParaRPr lang="en-GB" sz="1100"/>
        </a:p>
      </xdr:txBody>
    </xdr:sp>
    <xdr:clientData/>
  </xdr:twoCellAnchor>
  <xdr:twoCellAnchor>
    <xdr:from>
      <xdr:col>50</xdr:col>
      <xdr:colOff>57784</xdr:colOff>
      <xdr:row>28</xdr:row>
      <xdr:rowOff>41274</xdr:rowOff>
    </xdr:from>
    <xdr:to>
      <xdr:col>50</xdr:col>
      <xdr:colOff>59372</xdr:colOff>
      <xdr:row>33</xdr:row>
      <xdr:rowOff>70481</xdr:rowOff>
    </xdr:to>
    <xdr:cxnSp macro="">
      <xdr:nvCxnSpPr>
        <xdr:cNvPr id="312" name="Connecteur droit avec flèche 311">
          <a:extLst>
            <a:ext uri="{FF2B5EF4-FFF2-40B4-BE49-F238E27FC236}">
              <a16:creationId xmlns="" xmlns:a16="http://schemas.microsoft.com/office/drawing/2014/main" id="{00000000-0008-0000-2600-000038010000}"/>
            </a:ext>
          </a:extLst>
        </xdr:cNvPr>
        <xdr:cNvCxnSpPr/>
      </xdr:nvCxnSpPr>
      <xdr:spPr>
        <a:xfrm rot="16200000" flipH="1">
          <a:off x="5553075" y="3543298"/>
          <a:ext cx="533400" cy="1"/>
        </a:xfrm>
        <a:prstGeom prst="straightConnector1">
          <a:avLst/>
        </a:prstGeom>
        <a:ln w="19050">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49</xdr:col>
      <xdr:colOff>0</xdr:colOff>
      <xdr:row>30</xdr:row>
      <xdr:rowOff>64136</xdr:rowOff>
    </xdr:from>
    <xdr:to>
      <xdr:col>89</xdr:col>
      <xdr:colOff>651</xdr:colOff>
      <xdr:row>37</xdr:row>
      <xdr:rowOff>98304</xdr:rowOff>
    </xdr:to>
    <xdr:sp macro="" textlink="">
      <xdr:nvSpPr>
        <xdr:cNvPr id="313" name="Text Box 507">
          <a:extLst>
            <a:ext uri="{FF2B5EF4-FFF2-40B4-BE49-F238E27FC236}">
              <a16:creationId xmlns="" xmlns:a16="http://schemas.microsoft.com/office/drawing/2014/main" id="{00000000-0008-0000-2600-000039010000}"/>
            </a:ext>
          </a:extLst>
        </xdr:cNvPr>
        <xdr:cNvSpPr txBox="1">
          <a:spLocks noChangeArrowheads="1"/>
        </xdr:cNvSpPr>
      </xdr:nvSpPr>
      <xdr:spPr bwMode="auto">
        <a:xfrm>
          <a:off x="5638800" y="3467101"/>
          <a:ext cx="4581525" cy="7715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ysClr val="windowText" lastClr="000000"/>
              </a:solidFill>
              <a:latin typeface="Arial"/>
              <a:cs typeface="Arial"/>
            </a:rPr>
            <a:t>80</a:t>
          </a:r>
        </a:p>
      </xdr:txBody>
    </xdr:sp>
    <xdr:clientData/>
  </xdr:twoCellAnchor>
  <xdr:twoCellAnchor>
    <xdr:from>
      <xdr:col>47</xdr:col>
      <xdr:colOff>57785</xdr:colOff>
      <xdr:row>25</xdr:row>
      <xdr:rowOff>70485</xdr:rowOff>
    </xdr:from>
    <xdr:to>
      <xdr:col>57</xdr:col>
      <xdr:colOff>61676</xdr:colOff>
      <xdr:row>25</xdr:row>
      <xdr:rowOff>70486</xdr:rowOff>
    </xdr:to>
    <xdr:cxnSp macro="">
      <xdr:nvCxnSpPr>
        <xdr:cNvPr id="314" name="Connecteur droit avec flèche 313">
          <a:extLst>
            <a:ext uri="{FF2B5EF4-FFF2-40B4-BE49-F238E27FC236}">
              <a16:creationId xmlns="" xmlns:a16="http://schemas.microsoft.com/office/drawing/2014/main" id="{00000000-0008-0000-2600-00003A010000}"/>
            </a:ext>
          </a:extLst>
        </xdr:cNvPr>
        <xdr:cNvCxnSpPr/>
      </xdr:nvCxnSpPr>
      <xdr:spPr>
        <a:xfrm rot="10800000">
          <a:off x="5467350" y="2971800"/>
          <a:ext cx="1104900" cy="1"/>
        </a:xfrm>
        <a:prstGeom prst="straightConnector1">
          <a:avLst/>
        </a:prstGeom>
        <a:ln>
          <a:solidFill>
            <a:schemeClr val="bg2">
              <a:lumMod val="25000"/>
            </a:schemeClr>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51</xdr:col>
      <xdr:colOff>61595</xdr:colOff>
      <xdr:row>24</xdr:row>
      <xdr:rowOff>20320</xdr:rowOff>
    </xdr:from>
    <xdr:to>
      <xdr:col>63</xdr:col>
      <xdr:colOff>74490</xdr:colOff>
      <xdr:row>28</xdr:row>
      <xdr:rowOff>476</xdr:rowOff>
    </xdr:to>
    <xdr:sp macro="" textlink="">
      <xdr:nvSpPr>
        <xdr:cNvPr id="315" name="Text Box 470">
          <a:extLst>
            <a:ext uri="{FF2B5EF4-FFF2-40B4-BE49-F238E27FC236}">
              <a16:creationId xmlns="" xmlns:a16="http://schemas.microsoft.com/office/drawing/2014/main" id="{00000000-0008-0000-2600-00003B010000}"/>
            </a:ext>
          </a:extLst>
        </xdr:cNvPr>
        <xdr:cNvSpPr txBox="1">
          <a:spLocks noChangeArrowheads="1"/>
        </xdr:cNvSpPr>
      </xdr:nvSpPr>
      <xdr:spPr bwMode="auto">
        <a:xfrm>
          <a:off x="5886450" y="2800350"/>
          <a:ext cx="1438275" cy="3905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100</a:t>
          </a:r>
        </a:p>
      </xdr:txBody>
    </xdr:sp>
    <xdr:clientData/>
  </xdr:twoCellAnchor>
  <xdr:twoCellAnchor>
    <xdr:from>
      <xdr:col>57</xdr:col>
      <xdr:colOff>2382</xdr:colOff>
      <xdr:row>25</xdr:row>
      <xdr:rowOff>2698</xdr:rowOff>
    </xdr:from>
    <xdr:to>
      <xdr:col>57</xdr:col>
      <xdr:colOff>4049</xdr:colOff>
      <xdr:row>27</xdr:row>
      <xdr:rowOff>1641</xdr:rowOff>
    </xdr:to>
    <xdr:cxnSp macro="">
      <xdr:nvCxnSpPr>
        <xdr:cNvPr id="316" name="Connecteur droit 315">
          <a:extLst>
            <a:ext uri="{FF2B5EF4-FFF2-40B4-BE49-F238E27FC236}">
              <a16:creationId xmlns="" xmlns:a16="http://schemas.microsoft.com/office/drawing/2014/main" id="{00000000-0008-0000-2600-00003C010000}"/>
            </a:ext>
          </a:extLst>
        </xdr:cNvPr>
        <xdr:cNvCxnSpPr/>
      </xdr:nvCxnSpPr>
      <xdr:spPr>
        <a:xfrm rot="5400000">
          <a:off x="6467476" y="2981324"/>
          <a:ext cx="190500"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56515</xdr:colOff>
      <xdr:row>11</xdr:row>
      <xdr:rowOff>24765</xdr:rowOff>
    </xdr:from>
    <xdr:to>
      <xdr:col>21</xdr:col>
      <xdr:colOff>94980</xdr:colOff>
      <xdr:row>11</xdr:row>
      <xdr:rowOff>25559</xdr:rowOff>
    </xdr:to>
    <xdr:cxnSp macro="">
      <xdr:nvCxnSpPr>
        <xdr:cNvPr id="317" name="Connecteur droit 316">
          <a:extLst>
            <a:ext uri="{FF2B5EF4-FFF2-40B4-BE49-F238E27FC236}">
              <a16:creationId xmlns="" xmlns:a16="http://schemas.microsoft.com/office/drawing/2014/main" id="{00000000-0008-0000-2600-00003D010000}"/>
            </a:ext>
          </a:extLst>
        </xdr:cNvPr>
        <xdr:cNvCxnSpPr/>
      </xdr:nvCxnSpPr>
      <xdr:spPr>
        <a:xfrm>
          <a:off x="2276475" y="1419225"/>
          <a:ext cx="266700"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57785</xdr:colOff>
      <xdr:row>36</xdr:row>
      <xdr:rowOff>0</xdr:rowOff>
    </xdr:from>
    <xdr:to>
      <xdr:col>22</xdr:col>
      <xdr:colOff>56003</xdr:colOff>
      <xdr:row>36</xdr:row>
      <xdr:rowOff>0</xdr:rowOff>
    </xdr:to>
    <xdr:cxnSp macro="">
      <xdr:nvCxnSpPr>
        <xdr:cNvPr id="318" name="Connecteur droit 317">
          <a:extLst>
            <a:ext uri="{FF2B5EF4-FFF2-40B4-BE49-F238E27FC236}">
              <a16:creationId xmlns="" xmlns:a16="http://schemas.microsoft.com/office/drawing/2014/main" id="{00000000-0008-0000-2600-00003E010000}"/>
            </a:ext>
          </a:extLst>
        </xdr:cNvPr>
        <xdr:cNvCxnSpPr/>
      </xdr:nvCxnSpPr>
      <xdr:spPr>
        <a:xfrm flipV="1">
          <a:off x="2286000" y="4029075"/>
          <a:ext cx="28575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94615</xdr:colOff>
      <xdr:row>71</xdr:row>
      <xdr:rowOff>20320</xdr:rowOff>
    </xdr:from>
    <xdr:to>
      <xdr:col>59</xdr:col>
      <xdr:colOff>74310</xdr:colOff>
      <xdr:row>73</xdr:row>
      <xdr:rowOff>25722</xdr:rowOff>
    </xdr:to>
    <xdr:sp macro="" textlink="">
      <xdr:nvSpPr>
        <xdr:cNvPr id="319" name="Rectangle 318">
          <a:extLst>
            <a:ext uri="{FF2B5EF4-FFF2-40B4-BE49-F238E27FC236}">
              <a16:creationId xmlns="" xmlns:a16="http://schemas.microsoft.com/office/drawing/2014/main" id="{00000000-0008-0000-2600-00003F010000}"/>
            </a:ext>
          </a:extLst>
        </xdr:cNvPr>
        <xdr:cNvSpPr/>
      </xdr:nvSpPr>
      <xdr:spPr>
        <a:xfrm>
          <a:off x="5962650" y="7724775"/>
          <a:ext cx="904875" cy="190500"/>
        </a:xfrm>
        <a:prstGeom prst="rect">
          <a:avLst/>
        </a:prstGeom>
        <a:blipFill>
          <a:blip xmlns:r="http://schemas.openxmlformats.org/officeDocument/2006/relationships" r:embed="rId12"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57</xdr:col>
      <xdr:colOff>74295</xdr:colOff>
      <xdr:row>71</xdr:row>
      <xdr:rowOff>20320</xdr:rowOff>
    </xdr:from>
    <xdr:to>
      <xdr:col>59</xdr:col>
      <xdr:colOff>74295</xdr:colOff>
      <xdr:row>81</xdr:row>
      <xdr:rowOff>20320</xdr:rowOff>
    </xdr:to>
    <xdr:sp macro="" textlink="">
      <xdr:nvSpPr>
        <xdr:cNvPr id="320" name="Rectangle 319">
          <a:extLst>
            <a:ext uri="{FF2B5EF4-FFF2-40B4-BE49-F238E27FC236}">
              <a16:creationId xmlns="" xmlns:a16="http://schemas.microsoft.com/office/drawing/2014/main" id="{00000000-0008-0000-2600-000040010000}"/>
            </a:ext>
          </a:extLst>
        </xdr:cNvPr>
        <xdr:cNvSpPr/>
      </xdr:nvSpPr>
      <xdr:spPr>
        <a:xfrm>
          <a:off x="6638925" y="7724775"/>
          <a:ext cx="228600" cy="1047750"/>
        </a:xfrm>
        <a:prstGeom prst="rect">
          <a:avLst/>
        </a:prstGeom>
        <a:blipFill>
          <a:blip xmlns:r="http://schemas.openxmlformats.org/officeDocument/2006/relationships" r:embed="rId12"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51</xdr:col>
      <xdr:colOff>94615</xdr:colOff>
      <xdr:row>81</xdr:row>
      <xdr:rowOff>0</xdr:rowOff>
    </xdr:from>
    <xdr:to>
      <xdr:col>59</xdr:col>
      <xdr:colOff>74310</xdr:colOff>
      <xdr:row>83</xdr:row>
      <xdr:rowOff>2134</xdr:rowOff>
    </xdr:to>
    <xdr:sp macro="" textlink="">
      <xdr:nvSpPr>
        <xdr:cNvPr id="321" name="Rectangle 320">
          <a:extLst>
            <a:ext uri="{FF2B5EF4-FFF2-40B4-BE49-F238E27FC236}">
              <a16:creationId xmlns="" xmlns:a16="http://schemas.microsoft.com/office/drawing/2014/main" id="{00000000-0008-0000-2600-000041010000}"/>
            </a:ext>
          </a:extLst>
        </xdr:cNvPr>
        <xdr:cNvSpPr/>
      </xdr:nvSpPr>
      <xdr:spPr>
        <a:xfrm>
          <a:off x="5962650" y="8743950"/>
          <a:ext cx="904875" cy="209551"/>
        </a:xfrm>
        <a:prstGeom prst="rect">
          <a:avLst/>
        </a:prstGeom>
        <a:blipFill>
          <a:blip xmlns:r="http://schemas.openxmlformats.org/officeDocument/2006/relationships" r:embed="rId12"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59</xdr:col>
      <xdr:colOff>74295</xdr:colOff>
      <xdr:row>76</xdr:row>
      <xdr:rowOff>67944</xdr:rowOff>
    </xdr:from>
    <xdr:to>
      <xdr:col>62</xdr:col>
      <xdr:colOff>56946</xdr:colOff>
      <xdr:row>76</xdr:row>
      <xdr:rowOff>67944</xdr:rowOff>
    </xdr:to>
    <xdr:cxnSp macro="">
      <xdr:nvCxnSpPr>
        <xdr:cNvPr id="322" name="Connecteur droit avec flèche 321">
          <a:extLst>
            <a:ext uri="{FF2B5EF4-FFF2-40B4-BE49-F238E27FC236}">
              <a16:creationId xmlns="" xmlns:a16="http://schemas.microsoft.com/office/drawing/2014/main" id="{00000000-0008-0000-2600-000042010000}"/>
            </a:ext>
          </a:extLst>
        </xdr:cNvPr>
        <xdr:cNvCxnSpPr>
          <a:endCxn id="320" idx="3"/>
        </xdr:cNvCxnSpPr>
      </xdr:nvCxnSpPr>
      <xdr:spPr>
        <a:xfrm rot="10800000" flipV="1">
          <a:off x="6867525" y="8239124"/>
          <a:ext cx="323850" cy="9525"/>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74295</xdr:colOff>
      <xdr:row>76</xdr:row>
      <xdr:rowOff>67311</xdr:rowOff>
    </xdr:from>
    <xdr:to>
      <xdr:col>57</xdr:col>
      <xdr:colOff>57597</xdr:colOff>
      <xdr:row>76</xdr:row>
      <xdr:rowOff>67311</xdr:rowOff>
    </xdr:to>
    <xdr:cxnSp macro="">
      <xdr:nvCxnSpPr>
        <xdr:cNvPr id="323" name="Connecteur droit avec flèche 322">
          <a:extLst>
            <a:ext uri="{FF2B5EF4-FFF2-40B4-BE49-F238E27FC236}">
              <a16:creationId xmlns="" xmlns:a16="http://schemas.microsoft.com/office/drawing/2014/main" id="{00000000-0008-0000-2600-000043010000}"/>
            </a:ext>
          </a:extLst>
        </xdr:cNvPr>
        <xdr:cNvCxnSpPr/>
      </xdr:nvCxnSpPr>
      <xdr:spPr>
        <a:xfrm flipV="1">
          <a:off x="6410325" y="8258176"/>
          <a:ext cx="219075" cy="9524"/>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57785</xdr:colOff>
      <xdr:row>74</xdr:row>
      <xdr:rowOff>67945</xdr:rowOff>
    </xdr:from>
    <xdr:to>
      <xdr:col>63</xdr:col>
      <xdr:colOff>94656</xdr:colOff>
      <xdr:row>76</xdr:row>
      <xdr:rowOff>67946</xdr:rowOff>
    </xdr:to>
    <xdr:sp macro="" textlink="">
      <xdr:nvSpPr>
        <xdr:cNvPr id="324" name="ZoneTexte 323">
          <a:extLst>
            <a:ext uri="{FF2B5EF4-FFF2-40B4-BE49-F238E27FC236}">
              <a16:creationId xmlns="" xmlns:a16="http://schemas.microsoft.com/office/drawing/2014/main" id="{00000000-0008-0000-2600-000044010000}"/>
            </a:ext>
          </a:extLst>
        </xdr:cNvPr>
        <xdr:cNvSpPr txBox="1"/>
      </xdr:nvSpPr>
      <xdr:spPr>
        <a:xfrm>
          <a:off x="6838950" y="8029575"/>
          <a:ext cx="495300" cy="209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30cm</a:t>
          </a:r>
        </a:p>
      </xdr:txBody>
    </xdr:sp>
    <xdr:clientData/>
  </xdr:twoCellAnchor>
  <xdr:twoCellAnchor>
    <xdr:from>
      <xdr:col>51</xdr:col>
      <xdr:colOff>94615</xdr:colOff>
      <xdr:row>79</xdr:row>
      <xdr:rowOff>24765</xdr:rowOff>
    </xdr:from>
    <xdr:to>
      <xdr:col>57</xdr:col>
      <xdr:colOff>94615</xdr:colOff>
      <xdr:row>79</xdr:row>
      <xdr:rowOff>24765</xdr:rowOff>
    </xdr:to>
    <xdr:cxnSp macro="">
      <xdr:nvCxnSpPr>
        <xdr:cNvPr id="325" name="Connecteur droit avec flèche 324">
          <a:extLst>
            <a:ext uri="{FF2B5EF4-FFF2-40B4-BE49-F238E27FC236}">
              <a16:creationId xmlns="" xmlns:a16="http://schemas.microsoft.com/office/drawing/2014/main" id="{00000000-0008-0000-2600-000045010000}"/>
            </a:ext>
          </a:extLst>
        </xdr:cNvPr>
        <xdr:cNvCxnSpPr/>
      </xdr:nvCxnSpPr>
      <xdr:spPr>
        <a:xfrm flipV="1">
          <a:off x="5962650" y="8553450"/>
          <a:ext cx="695325" cy="9525"/>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56515</xdr:colOff>
      <xdr:row>77</xdr:row>
      <xdr:rowOff>24765</xdr:rowOff>
    </xdr:from>
    <xdr:to>
      <xdr:col>55</xdr:col>
      <xdr:colOff>94805</xdr:colOff>
      <xdr:row>79</xdr:row>
      <xdr:rowOff>24766</xdr:rowOff>
    </xdr:to>
    <xdr:sp macro="" textlink="">
      <xdr:nvSpPr>
        <xdr:cNvPr id="326" name="ZoneTexte 325">
          <a:extLst>
            <a:ext uri="{FF2B5EF4-FFF2-40B4-BE49-F238E27FC236}">
              <a16:creationId xmlns="" xmlns:a16="http://schemas.microsoft.com/office/drawing/2014/main" id="{00000000-0008-0000-2600-000046010000}"/>
            </a:ext>
          </a:extLst>
        </xdr:cNvPr>
        <xdr:cNvSpPr txBox="1"/>
      </xdr:nvSpPr>
      <xdr:spPr>
        <a:xfrm>
          <a:off x="5934075" y="8334375"/>
          <a:ext cx="495300" cy="209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70cm</a:t>
          </a:r>
        </a:p>
      </xdr:txBody>
    </xdr:sp>
    <xdr:clientData/>
  </xdr:twoCellAnchor>
  <xdr:twoCellAnchor>
    <xdr:from>
      <xdr:col>55</xdr:col>
      <xdr:colOff>1430</xdr:colOff>
      <xdr:row>72</xdr:row>
      <xdr:rowOff>101125</xdr:rowOff>
    </xdr:from>
    <xdr:to>
      <xdr:col>55</xdr:col>
      <xdr:colOff>1827</xdr:colOff>
      <xdr:row>81</xdr:row>
      <xdr:rowOff>3087</xdr:rowOff>
    </xdr:to>
    <xdr:cxnSp macro="">
      <xdr:nvCxnSpPr>
        <xdr:cNvPr id="327" name="Connecteur droit avec flèche 326">
          <a:extLst>
            <a:ext uri="{FF2B5EF4-FFF2-40B4-BE49-F238E27FC236}">
              <a16:creationId xmlns="" xmlns:a16="http://schemas.microsoft.com/office/drawing/2014/main" id="{00000000-0008-0000-2600-000047010000}"/>
            </a:ext>
          </a:extLst>
        </xdr:cNvPr>
        <xdr:cNvCxnSpPr/>
      </xdr:nvCxnSpPr>
      <xdr:spPr>
        <a:xfrm rot="5400000">
          <a:off x="5900739" y="8324851"/>
          <a:ext cx="857250" cy="1588"/>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60960</xdr:colOff>
      <xdr:row>73</xdr:row>
      <xdr:rowOff>29210</xdr:rowOff>
    </xdr:from>
    <xdr:to>
      <xdr:col>55</xdr:col>
      <xdr:colOff>58220</xdr:colOff>
      <xdr:row>75</xdr:row>
      <xdr:rowOff>29211</xdr:rowOff>
    </xdr:to>
    <xdr:sp macro="" textlink="">
      <xdr:nvSpPr>
        <xdr:cNvPr id="328" name="ZoneTexte 327">
          <a:extLst>
            <a:ext uri="{FF2B5EF4-FFF2-40B4-BE49-F238E27FC236}">
              <a16:creationId xmlns="" xmlns:a16="http://schemas.microsoft.com/office/drawing/2014/main" id="{00000000-0008-0000-2600-000048010000}"/>
            </a:ext>
          </a:extLst>
        </xdr:cNvPr>
        <xdr:cNvSpPr txBox="1"/>
      </xdr:nvSpPr>
      <xdr:spPr>
        <a:xfrm>
          <a:off x="5905500" y="7962900"/>
          <a:ext cx="495300" cy="209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60cm</a:t>
          </a:r>
        </a:p>
      </xdr:txBody>
    </xdr:sp>
    <xdr:clientData/>
  </xdr:twoCellAnchor>
  <xdr:twoCellAnchor>
    <xdr:from>
      <xdr:col>55</xdr:col>
      <xdr:colOff>80964</xdr:colOff>
      <xdr:row>63</xdr:row>
      <xdr:rowOff>24768</xdr:rowOff>
    </xdr:from>
    <xdr:to>
      <xdr:col>58</xdr:col>
      <xdr:colOff>58157</xdr:colOff>
      <xdr:row>71</xdr:row>
      <xdr:rowOff>20521</xdr:rowOff>
    </xdr:to>
    <xdr:cxnSp macro="">
      <xdr:nvCxnSpPr>
        <xdr:cNvPr id="329" name="Connecteur droit avec flèche 328">
          <a:extLst>
            <a:ext uri="{FF2B5EF4-FFF2-40B4-BE49-F238E27FC236}">
              <a16:creationId xmlns="" xmlns:a16="http://schemas.microsoft.com/office/drawing/2014/main" id="{00000000-0008-0000-2600-000049010000}"/>
            </a:ext>
          </a:extLst>
        </xdr:cNvPr>
        <xdr:cNvCxnSpPr>
          <a:endCxn id="319" idx="0"/>
        </xdr:cNvCxnSpPr>
      </xdr:nvCxnSpPr>
      <xdr:spPr>
        <a:xfrm rot="5400000">
          <a:off x="6146011" y="7136606"/>
          <a:ext cx="857247" cy="31909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61595</xdr:colOff>
      <xdr:row>58</xdr:row>
      <xdr:rowOff>64135</xdr:rowOff>
    </xdr:from>
    <xdr:to>
      <xdr:col>61</xdr:col>
      <xdr:colOff>61594</xdr:colOff>
      <xdr:row>65</xdr:row>
      <xdr:rowOff>24880</xdr:rowOff>
    </xdr:to>
    <xdr:sp macro="" textlink="">
      <xdr:nvSpPr>
        <xdr:cNvPr id="330" name="ZoneTexte 329">
          <a:extLst>
            <a:ext uri="{FF2B5EF4-FFF2-40B4-BE49-F238E27FC236}">
              <a16:creationId xmlns="" xmlns:a16="http://schemas.microsoft.com/office/drawing/2014/main" id="{00000000-0008-0000-2600-00004A010000}"/>
            </a:ext>
          </a:extLst>
        </xdr:cNvPr>
        <xdr:cNvSpPr txBox="1"/>
      </xdr:nvSpPr>
      <xdr:spPr>
        <a:xfrm>
          <a:off x="6115050" y="6410325"/>
          <a:ext cx="914399" cy="676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Fondation</a:t>
          </a:r>
          <a:r>
            <a:rPr lang="en-GB" sz="1100" baseline="0"/>
            <a:t> en moellon, ép:30cm</a:t>
          </a:r>
          <a:endParaRPr lang="en-GB" sz="1100"/>
        </a:p>
      </xdr:txBody>
    </xdr:sp>
    <xdr:clientData/>
  </xdr:twoCellAnchor>
  <xdr:twoCellAnchor>
    <xdr:from>
      <xdr:col>117</xdr:col>
      <xdr:colOff>96520</xdr:colOff>
      <xdr:row>94</xdr:row>
      <xdr:rowOff>64135</xdr:rowOff>
    </xdr:from>
    <xdr:to>
      <xdr:col>145</xdr:col>
      <xdr:colOff>96520</xdr:colOff>
      <xdr:row>94</xdr:row>
      <xdr:rowOff>72327</xdr:rowOff>
    </xdr:to>
    <xdr:cxnSp macro="">
      <xdr:nvCxnSpPr>
        <xdr:cNvPr id="331" name="Connecteur droit 330">
          <a:extLst>
            <a:ext uri="{FF2B5EF4-FFF2-40B4-BE49-F238E27FC236}">
              <a16:creationId xmlns="" xmlns:a16="http://schemas.microsoft.com/office/drawing/2014/main" id="{00000000-0008-0000-2600-00004B010000}"/>
            </a:ext>
          </a:extLst>
        </xdr:cNvPr>
        <xdr:cNvCxnSpPr/>
      </xdr:nvCxnSpPr>
      <xdr:spPr>
        <a:xfrm flipV="1">
          <a:off x="12553950" y="10163175"/>
          <a:ext cx="3867150" cy="95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100</xdr:col>
      <xdr:colOff>61595</xdr:colOff>
      <xdr:row>57</xdr:row>
      <xdr:rowOff>24765</xdr:rowOff>
    </xdr:from>
    <xdr:to>
      <xdr:col>111</xdr:col>
      <xdr:colOff>56255</xdr:colOff>
      <xdr:row>60</xdr:row>
      <xdr:rowOff>40599</xdr:rowOff>
    </xdr:to>
    <xdr:sp macro="" textlink="">
      <xdr:nvSpPr>
        <xdr:cNvPr id="332" name="Rectangle 331">
          <a:extLst>
            <a:ext uri="{FF2B5EF4-FFF2-40B4-BE49-F238E27FC236}">
              <a16:creationId xmlns="" xmlns:a16="http://schemas.microsoft.com/office/drawing/2014/main" id="{00000000-0008-0000-2600-00004C010000}"/>
            </a:ext>
          </a:extLst>
        </xdr:cNvPr>
        <xdr:cNvSpPr/>
      </xdr:nvSpPr>
      <xdr:spPr>
        <a:xfrm>
          <a:off x="11487150" y="6238875"/>
          <a:ext cx="276225" cy="323850"/>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91</xdr:col>
      <xdr:colOff>6350</xdr:colOff>
      <xdr:row>31</xdr:row>
      <xdr:rowOff>19050</xdr:rowOff>
    </xdr:from>
    <xdr:to>
      <xdr:col>146</xdr:col>
      <xdr:colOff>38100</xdr:colOff>
      <xdr:row>63</xdr:row>
      <xdr:rowOff>44450</xdr:rowOff>
    </xdr:to>
    <xdr:grpSp>
      <xdr:nvGrpSpPr>
        <xdr:cNvPr id="888415" name="Groupe 332">
          <a:extLst>
            <a:ext uri="{FF2B5EF4-FFF2-40B4-BE49-F238E27FC236}">
              <a16:creationId xmlns="" xmlns:a16="http://schemas.microsoft.com/office/drawing/2014/main" id="{00000000-0008-0000-2600-00005F8E0D00}"/>
            </a:ext>
          </a:extLst>
        </xdr:cNvPr>
        <xdr:cNvGrpSpPr>
          <a:grpSpLocks/>
        </xdr:cNvGrpSpPr>
      </xdr:nvGrpSpPr>
      <xdr:grpSpPr bwMode="auto">
        <a:xfrm>
          <a:off x="10394950" y="3321050"/>
          <a:ext cx="5842000" cy="3276600"/>
          <a:chOff x="12393150" y="5543520"/>
          <a:chExt cx="6085350" cy="3705255"/>
        </a:xfrm>
      </xdr:grpSpPr>
      <xdr:sp macro="" textlink="">
        <xdr:nvSpPr>
          <xdr:cNvPr id="888438" name="Rectangle 443" descr="Diagonal brick">
            <a:extLst>
              <a:ext uri="{FF2B5EF4-FFF2-40B4-BE49-F238E27FC236}">
                <a16:creationId xmlns="" xmlns:a16="http://schemas.microsoft.com/office/drawing/2014/main" id="{00000000-0008-0000-2600-0000768E0D00}"/>
              </a:ext>
            </a:extLst>
          </xdr:cNvPr>
          <xdr:cNvSpPr>
            <a:spLocks noChangeArrowheads="1"/>
          </xdr:cNvSpPr>
        </xdr:nvSpPr>
        <xdr:spPr bwMode="auto">
          <a:xfrm>
            <a:off x="12849225" y="9067800"/>
            <a:ext cx="4972049" cy="171450"/>
          </a:xfrm>
          <a:prstGeom prst="rect">
            <a:avLst/>
          </a:prstGeom>
          <a:blipFill dpi="0" rotWithShape="0">
            <a:blip xmlns:r="http://schemas.openxmlformats.org/officeDocument/2006/relationships" r:embed="rId9"/>
            <a:srcRect/>
            <a:tile tx="0" ty="0" sx="100000" sy="100000" flip="none" algn="tl"/>
          </a:blipFill>
          <a:ln w="9525">
            <a:solidFill>
              <a:srgbClr val="000000"/>
            </a:solidFill>
            <a:miter lim="800000"/>
            <a:headEnd/>
            <a:tailEnd/>
          </a:ln>
        </xdr:spPr>
      </xdr:sp>
      <xdr:sp macro="" textlink="">
        <xdr:nvSpPr>
          <xdr:cNvPr id="888439" name="Rectangle 439" descr="Newsprint">
            <a:extLst>
              <a:ext uri="{FF2B5EF4-FFF2-40B4-BE49-F238E27FC236}">
                <a16:creationId xmlns="" xmlns:a16="http://schemas.microsoft.com/office/drawing/2014/main" id="{00000000-0008-0000-2600-0000778E0D00}"/>
              </a:ext>
            </a:extLst>
          </xdr:cNvPr>
          <xdr:cNvSpPr>
            <a:spLocks noChangeArrowheads="1"/>
          </xdr:cNvSpPr>
        </xdr:nvSpPr>
        <xdr:spPr bwMode="auto">
          <a:xfrm>
            <a:off x="13858875" y="6324601"/>
            <a:ext cx="3800474" cy="2743200"/>
          </a:xfrm>
          <a:prstGeom prst="rect">
            <a:avLst/>
          </a:prstGeom>
          <a:blipFill dpi="0" rotWithShape="0">
            <a:blip xmlns:r="http://schemas.openxmlformats.org/officeDocument/2006/relationships" r:embed="rId4"/>
            <a:srcRect/>
            <a:tile tx="0" ty="0" sx="100000" sy="100000" flip="none" algn="tl"/>
          </a:blipFill>
          <a:ln w="9525">
            <a:solidFill>
              <a:srgbClr val="000000"/>
            </a:solidFill>
            <a:miter lim="800000"/>
            <a:headEnd/>
            <a:tailEnd/>
          </a:ln>
        </xdr:spPr>
      </xdr:sp>
      <xdr:sp macro="" textlink="">
        <xdr:nvSpPr>
          <xdr:cNvPr id="888440" name="Rectangle 439" descr="Newsprint">
            <a:extLst>
              <a:ext uri="{FF2B5EF4-FFF2-40B4-BE49-F238E27FC236}">
                <a16:creationId xmlns="" xmlns:a16="http://schemas.microsoft.com/office/drawing/2014/main" id="{00000000-0008-0000-2600-0000788E0D00}"/>
              </a:ext>
            </a:extLst>
          </xdr:cNvPr>
          <xdr:cNvSpPr>
            <a:spLocks noChangeArrowheads="1"/>
          </xdr:cNvSpPr>
        </xdr:nvSpPr>
        <xdr:spPr bwMode="auto">
          <a:xfrm>
            <a:off x="12963524" y="6355474"/>
            <a:ext cx="1552576" cy="2702804"/>
          </a:xfrm>
          <a:prstGeom prst="rect">
            <a:avLst/>
          </a:prstGeom>
          <a:blipFill dpi="0" rotWithShape="0">
            <a:blip xmlns:r="http://schemas.openxmlformats.org/officeDocument/2006/relationships" r:embed="rId4"/>
            <a:srcRect/>
            <a:tile tx="0" ty="0" sx="100000" sy="100000" flip="none" algn="tl"/>
          </a:blipFill>
          <a:ln w="9525">
            <a:solidFill>
              <a:srgbClr val="000000"/>
            </a:solidFill>
            <a:miter lim="800000"/>
            <a:headEnd/>
            <a:tailEnd/>
          </a:ln>
        </xdr:spPr>
      </xdr:sp>
      <xdr:sp macro="" textlink="">
        <xdr:nvSpPr>
          <xdr:cNvPr id="888441" name="Rectangle 443" descr="Diagonal brick">
            <a:extLst>
              <a:ext uri="{FF2B5EF4-FFF2-40B4-BE49-F238E27FC236}">
                <a16:creationId xmlns="" xmlns:a16="http://schemas.microsoft.com/office/drawing/2014/main" id="{00000000-0008-0000-2600-0000798E0D00}"/>
              </a:ext>
            </a:extLst>
          </xdr:cNvPr>
          <xdr:cNvSpPr>
            <a:spLocks noChangeArrowheads="1"/>
          </xdr:cNvSpPr>
        </xdr:nvSpPr>
        <xdr:spPr bwMode="auto">
          <a:xfrm>
            <a:off x="12839700" y="9067800"/>
            <a:ext cx="1790699" cy="171450"/>
          </a:xfrm>
          <a:prstGeom prst="rect">
            <a:avLst/>
          </a:prstGeom>
          <a:blipFill dpi="0" rotWithShape="0">
            <a:blip xmlns:r="http://schemas.openxmlformats.org/officeDocument/2006/relationships" r:embed="rId9"/>
            <a:srcRect/>
            <a:tile tx="0" ty="0" sx="100000" sy="100000" flip="none" algn="tl"/>
          </a:blipFill>
          <a:ln w="9525">
            <a:solidFill>
              <a:srgbClr val="000000"/>
            </a:solidFill>
            <a:miter lim="800000"/>
            <a:headEnd/>
            <a:tailEnd/>
          </a:ln>
        </xdr:spPr>
      </xdr:sp>
      <xdr:sp macro="" textlink="">
        <xdr:nvSpPr>
          <xdr:cNvPr id="338" name="Rectangle 337">
            <a:extLst>
              <a:ext uri="{FF2B5EF4-FFF2-40B4-BE49-F238E27FC236}">
                <a16:creationId xmlns="" xmlns:a16="http://schemas.microsoft.com/office/drawing/2014/main" id="{00000000-0008-0000-2600-000052010000}"/>
              </a:ext>
            </a:extLst>
          </xdr:cNvPr>
          <xdr:cNvSpPr/>
        </xdr:nvSpPr>
        <xdr:spPr bwMode="auto">
          <a:xfrm>
            <a:off x="17674040" y="9069257"/>
            <a:ext cx="804460" cy="179518"/>
          </a:xfrm>
          <a:prstGeom prst="rect">
            <a:avLst/>
          </a:prstGeom>
          <a:blipFill>
            <a:blip xmlns:r="http://schemas.openxmlformats.org/officeDocument/2006/relationships" r:embed="rId11" cstate="print"/>
            <a:tile tx="0" ty="0" sx="100000" sy="100000" flip="none" algn="tl"/>
          </a:blip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339" name="Arc plein 338">
            <a:extLst>
              <a:ext uri="{FF2B5EF4-FFF2-40B4-BE49-F238E27FC236}">
                <a16:creationId xmlns="" xmlns:a16="http://schemas.microsoft.com/office/drawing/2014/main" id="{00000000-0008-0000-2600-000053010000}"/>
              </a:ext>
            </a:extLst>
          </xdr:cNvPr>
          <xdr:cNvSpPr/>
        </xdr:nvSpPr>
        <xdr:spPr bwMode="auto">
          <a:xfrm>
            <a:off x="17758379" y="8954365"/>
            <a:ext cx="116776" cy="186699"/>
          </a:xfrm>
          <a:prstGeom prst="blockArc">
            <a:avLst/>
          </a:prstGeom>
          <a:solidFill>
            <a:schemeClr val="tx1">
              <a:lumMod val="65000"/>
              <a:lumOff val="3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p>
        </xdr:txBody>
      </xdr:sp>
      <xdr:sp macro="" textlink="">
        <xdr:nvSpPr>
          <xdr:cNvPr id="340" name="Arc plein 339">
            <a:extLst>
              <a:ext uri="{FF2B5EF4-FFF2-40B4-BE49-F238E27FC236}">
                <a16:creationId xmlns="" xmlns:a16="http://schemas.microsoft.com/office/drawing/2014/main" id="{00000000-0008-0000-2600-000054010000}"/>
              </a:ext>
            </a:extLst>
          </xdr:cNvPr>
          <xdr:cNvSpPr/>
        </xdr:nvSpPr>
        <xdr:spPr bwMode="auto">
          <a:xfrm>
            <a:off x="18212509" y="8968727"/>
            <a:ext cx="123264" cy="193880"/>
          </a:xfrm>
          <a:prstGeom prst="blockArc">
            <a:avLst/>
          </a:prstGeom>
          <a:solidFill>
            <a:schemeClr val="tx1">
              <a:lumMod val="65000"/>
              <a:lumOff val="3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p>
        </xdr:txBody>
      </xdr:sp>
      <xdr:sp macro="" textlink="">
        <xdr:nvSpPr>
          <xdr:cNvPr id="341" name="Triangle rectangle 340">
            <a:extLst>
              <a:ext uri="{FF2B5EF4-FFF2-40B4-BE49-F238E27FC236}">
                <a16:creationId xmlns="" xmlns:a16="http://schemas.microsoft.com/office/drawing/2014/main" id="{00000000-0008-0000-2600-000055010000}"/>
              </a:ext>
            </a:extLst>
          </xdr:cNvPr>
          <xdr:cNvSpPr/>
        </xdr:nvSpPr>
        <xdr:spPr>
          <a:xfrm flipH="1">
            <a:off x="13664716" y="5543520"/>
            <a:ext cx="4009324" cy="782699"/>
          </a:xfrm>
          <a:prstGeom prst="rtTriangle">
            <a:avLst/>
          </a:prstGeom>
          <a:blipFill>
            <a:blip xmlns:r="http://schemas.openxmlformats.org/officeDocument/2006/relationships" r:embed="rId4" cstate="print"/>
            <a:tile tx="0" ty="0" sx="100000" sy="100000" flip="none" algn="tl"/>
          </a:blip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sp macro="" textlink="">
        <xdr:nvSpPr>
          <xdr:cNvPr id="342" name="Rectangle 341">
            <a:extLst>
              <a:ext uri="{FF2B5EF4-FFF2-40B4-BE49-F238E27FC236}">
                <a16:creationId xmlns="" xmlns:a16="http://schemas.microsoft.com/office/drawing/2014/main" id="{00000000-0008-0000-2600-000056010000}"/>
              </a:ext>
            </a:extLst>
          </xdr:cNvPr>
          <xdr:cNvSpPr/>
        </xdr:nvSpPr>
        <xdr:spPr>
          <a:xfrm rot="20996665" flipV="1">
            <a:off x="12393150" y="5823568"/>
            <a:ext cx="5877747" cy="186699"/>
          </a:xfrm>
          <a:prstGeom prst="rect">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solidFill>
                <a:srgbClr val="00B0F0"/>
              </a:solidFill>
            </a:endParaRPr>
          </a:p>
        </xdr:txBody>
      </xdr:sp>
      <xdr:sp macro="" textlink="">
        <xdr:nvSpPr>
          <xdr:cNvPr id="343" name="Rectangle 342">
            <a:extLst>
              <a:ext uri="{FF2B5EF4-FFF2-40B4-BE49-F238E27FC236}">
                <a16:creationId xmlns="" xmlns:a16="http://schemas.microsoft.com/office/drawing/2014/main" id="{00000000-0008-0000-2600-000057010000}"/>
              </a:ext>
            </a:extLst>
          </xdr:cNvPr>
          <xdr:cNvSpPr/>
        </xdr:nvSpPr>
        <xdr:spPr>
          <a:xfrm>
            <a:off x="13359799" y="6577545"/>
            <a:ext cx="746072" cy="45956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sp macro="" textlink="">
        <xdr:nvSpPr>
          <xdr:cNvPr id="344" name="Rectangle 343">
            <a:extLst>
              <a:ext uri="{FF2B5EF4-FFF2-40B4-BE49-F238E27FC236}">
                <a16:creationId xmlns="" xmlns:a16="http://schemas.microsoft.com/office/drawing/2014/main" id="{00000000-0008-0000-2600-000058010000}"/>
              </a:ext>
            </a:extLst>
          </xdr:cNvPr>
          <xdr:cNvSpPr/>
        </xdr:nvSpPr>
        <xdr:spPr>
          <a:xfrm>
            <a:off x="13768517" y="6642171"/>
            <a:ext cx="259503" cy="351856"/>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xnSp macro="">
        <xdr:nvCxnSpPr>
          <xdr:cNvPr id="345" name="Connecteur droit 344">
            <a:extLst>
              <a:ext uri="{FF2B5EF4-FFF2-40B4-BE49-F238E27FC236}">
                <a16:creationId xmlns="" xmlns:a16="http://schemas.microsoft.com/office/drawing/2014/main" id="{00000000-0008-0000-2600-000059010000}"/>
              </a:ext>
            </a:extLst>
          </xdr:cNvPr>
          <xdr:cNvCxnSpPr/>
        </xdr:nvCxnSpPr>
        <xdr:spPr>
          <a:xfrm rot="16200000" flipH="1">
            <a:off x="14763001" y="5997292"/>
            <a:ext cx="229783" cy="2595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346" name="Rectangle 345">
            <a:extLst>
              <a:ext uri="{FF2B5EF4-FFF2-40B4-BE49-F238E27FC236}">
                <a16:creationId xmlns="" xmlns:a16="http://schemas.microsoft.com/office/drawing/2014/main" id="{00000000-0008-0000-2600-00005A010000}"/>
              </a:ext>
            </a:extLst>
          </xdr:cNvPr>
          <xdr:cNvSpPr/>
        </xdr:nvSpPr>
        <xdr:spPr>
          <a:xfrm>
            <a:off x="13424675" y="6620629"/>
            <a:ext cx="278966" cy="351856"/>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grpSp>
    <xdr:clientData/>
  </xdr:twoCellAnchor>
  <xdr:twoCellAnchor>
    <xdr:from>
      <xdr:col>112</xdr:col>
      <xdr:colOff>0</xdr:colOff>
      <xdr:row>67</xdr:row>
      <xdr:rowOff>68579</xdr:rowOff>
    </xdr:from>
    <xdr:to>
      <xdr:col>135</xdr:col>
      <xdr:colOff>96424</xdr:colOff>
      <xdr:row>73</xdr:row>
      <xdr:rowOff>62986</xdr:rowOff>
    </xdr:to>
    <xdr:sp macro="" textlink="">
      <xdr:nvSpPr>
        <xdr:cNvPr id="347" name="Text Box 446">
          <a:extLst>
            <a:ext uri="{FF2B5EF4-FFF2-40B4-BE49-F238E27FC236}">
              <a16:creationId xmlns="" xmlns:a16="http://schemas.microsoft.com/office/drawing/2014/main" id="{00000000-0008-0000-2600-00005B010000}"/>
            </a:ext>
          </a:extLst>
        </xdr:cNvPr>
        <xdr:cNvSpPr txBox="1">
          <a:spLocks noChangeArrowheads="1"/>
        </xdr:cNvSpPr>
      </xdr:nvSpPr>
      <xdr:spPr bwMode="auto">
        <a:xfrm>
          <a:off x="11820525" y="7372349"/>
          <a:ext cx="3028950" cy="6000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ctr" rtl="0">
            <a:defRPr sz="1000"/>
          </a:pPr>
          <a:r>
            <a:rPr lang="fr-FR" sz="1000" b="1" i="0" strike="noStrike">
              <a:solidFill>
                <a:srgbClr val="000000"/>
              </a:solidFill>
              <a:latin typeface="Arial"/>
              <a:cs typeface="Arial"/>
            </a:rPr>
            <a:t>PROFIL DROIT BLOC</a:t>
          </a:r>
          <a:r>
            <a:rPr lang="fr-FR" sz="1000" b="1" i="0" strike="noStrike" baseline="0">
              <a:solidFill>
                <a:srgbClr val="000000"/>
              </a:solidFill>
              <a:latin typeface="Arial"/>
              <a:cs typeface="Arial"/>
            </a:rPr>
            <a:t> LATRINE DE 1 PORTES AVEC COIN D'HYGIENE MENSTRUELLE</a:t>
          </a:r>
          <a:endParaRPr lang="fr-FR" sz="1000" b="1" i="0" strike="noStrike">
            <a:solidFill>
              <a:srgbClr val="000000"/>
            </a:solidFill>
            <a:latin typeface="Arial"/>
            <a:cs typeface="Arial"/>
          </a:endParaRPr>
        </a:p>
      </xdr:txBody>
    </xdr:sp>
    <xdr:clientData/>
  </xdr:twoCellAnchor>
  <xdr:twoCellAnchor>
    <xdr:from>
      <xdr:col>43</xdr:col>
      <xdr:colOff>61595</xdr:colOff>
      <xdr:row>24</xdr:row>
      <xdr:rowOff>64135</xdr:rowOff>
    </xdr:from>
    <xdr:to>
      <xdr:col>45</xdr:col>
      <xdr:colOff>57622</xdr:colOff>
      <xdr:row>27</xdr:row>
      <xdr:rowOff>4025</xdr:rowOff>
    </xdr:to>
    <xdr:sp macro="" textlink="">
      <xdr:nvSpPr>
        <xdr:cNvPr id="348" name="Ellipse 347">
          <a:extLst>
            <a:ext uri="{FF2B5EF4-FFF2-40B4-BE49-F238E27FC236}">
              <a16:creationId xmlns="" xmlns:a16="http://schemas.microsoft.com/office/drawing/2014/main" id="{00000000-0008-0000-2600-00005C010000}"/>
            </a:ext>
          </a:extLst>
        </xdr:cNvPr>
        <xdr:cNvSpPr/>
      </xdr:nvSpPr>
      <xdr:spPr>
        <a:xfrm>
          <a:off x="4972050" y="2838450"/>
          <a:ext cx="276225" cy="276225"/>
        </a:xfrm>
        <a:prstGeom prst="ellipse">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38</xdr:col>
      <xdr:colOff>61594</xdr:colOff>
      <xdr:row>23</xdr:row>
      <xdr:rowOff>27940</xdr:rowOff>
    </xdr:from>
    <xdr:to>
      <xdr:col>45</xdr:col>
      <xdr:colOff>21240</xdr:colOff>
      <xdr:row>26</xdr:row>
      <xdr:rowOff>1264</xdr:rowOff>
    </xdr:to>
    <xdr:sp macro="" textlink="">
      <xdr:nvSpPr>
        <xdr:cNvPr id="349" name="ZoneTexte 348">
          <a:extLst>
            <a:ext uri="{FF2B5EF4-FFF2-40B4-BE49-F238E27FC236}">
              <a16:creationId xmlns="" xmlns:a16="http://schemas.microsoft.com/office/drawing/2014/main" id="{00000000-0008-0000-2600-00005D010000}"/>
            </a:ext>
          </a:extLst>
        </xdr:cNvPr>
        <xdr:cNvSpPr txBox="1"/>
      </xdr:nvSpPr>
      <xdr:spPr>
        <a:xfrm>
          <a:off x="4400549" y="2743200"/>
          <a:ext cx="8096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solidFill>
                <a:srgbClr val="FFFF00"/>
              </a:solidFill>
            </a:rPr>
            <a:t>Poubelle</a:t>
          </a:r>
        </a:p>
      </xdr:txBody>
    </xdr:sp>
    <xdr:clientData/>
  </xdr:twoCellAnchor>
  <xdr:twoCellAnchor>
    <xdr:from>
      <xdr:col>25</xdr:col>
      <xdr:colOff>94456</xdr:colOff>
      <xdr:row>57</xdr:row>
      <xdr:rowOff>23019</xdr:rowOff>
    </xdr:from>
    <xdr:to>
      <xdr:col>25</xdr:col>
      <xdr:colOff>91599</xdr:colOff>
      <xdr:row>59</xdr:row>
      <xdr:rowOff>2358</xdr:rowOff>
    </xdr:to>
    <xdr:cxnSp macro="">
      <xdr:nvCxnSpPr>
        <xdr:cNvPr id="350" name="Connecteur droit 349">
          <a:extLst>
            <a:ext uri="{FF2B5EF4-FFF2-40B4-BE49-F238E27FC236}">
              <a16:creationId xmlns="" xmlns:a16="http://schemas.microsoft.com/office/drawing/2014/main" id="{00000000-0008-0000-2600-00005E010000}"/>
            </a:ext>
          </a:extLst>
        </xdr:cNvPr>
        <xdr:cNvCxnSpPr/>
      </xdr:nvCxnSpPr>
      <xdr:spPr>
        <a:xfrm rot="5400000">
          <a:off x="2914650" y="6362700"/>
          <a:ext cx="190500"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94616</xdr:colOff>
      <xdr:row>57</xdr:row>
      <xdr:rowOff>4445</xdr:rowOff>
    </xdr:from>
    <xdr:to>
      <xdr:col>51</xdr:col>
      <xdr:colOff>94616</xdr:colOff>
      <xdr:row>59</xdr:row>
      <xdr:rowOff>26410</xdr:rowOff>
    </xdr:to>
    <xdr:cxnSp macro="">
      <xdr:nvCxnSpPr>
        <xdr:cNvPr id="351" name="Connecteur droit 350">
          <a:extLst>
            <a:ext uri="{FF2B5EF4-FFF2-40B4-BE49-F238E27FC236}">
              <a16:creationId xmlns="" xmlns:a16="http://schemas.microsoft.com/office/drawing/2014/main" id="{00000000-0008-0000-2600-00005F010000}"/>
            </a:ext>
          </a:extLst>
        </xdr:cNvPr>
        <xdr:cNvCxnSpPr/>
      </xdr:nvCxnSpPr>
      <xdr:spPr>
        <a:xfrm rot="5400000">
          <a:off x="5857876" y="6372225"/>
          <a:ext cx="219075" cy="95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635</xdr:colOff>
      <xdr:row>58</xdr:row>
      <xdr:rowOff>20320</xdr:rowOff>
    </xdr:from>
    <xdr:to>
      <xdr:col>51</xdr:col>
      <xdr:colOff>74335</xdr:colOff>
      <xdr:row>58</xdr:row>
      <xdr:rowOff>26988</xdr:rowOff>
    </xdr:to>
    <xdr:cxnSp macro="">
      <xdr:nvCxnSpPr>
        <xdr:cNvPr id="352" name="Connecteur droit avec flèche 351">
          <a:extLst>
            <a:ext uri="{FF2B5EF4-FFF2-40B4-BE49-F238E27FC236}">
              <a16:creationId xmlns="" xmlns:a16="http://schemas.microsoft.com/office/drawing/2014/main" id="{00000000-0008-0000-2600-000060010000}"/>
            </a:ext>
          </a:extLst>
        </xdr:cNvPr>
        <xdr:cNvCxnSpPr/>
      </xdr:nvCxnSpPr>
      <xdr:spPr>
        <a:xfrm>
          <a:off x="3019425" y="6362700"/>
          <a:ext cx="2933700" cy="1588"/>
        </a:xfrm>
        <a:prstGeom prst="straightConnector1">
          <a:avLst/>
        </a:prstGeom>
        <a:ln w="12700">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88900</xdr:colOff>
      <xdr:row>80</xdr:row>
      <xdr:rowOff>69850</xdr:rowOff>
    </xdr:from>
    <xdr:to>
      <xdr:col>47</xdr:col>
      <xdr:colOff>88900</xdr:colOff>
      <xdr:row>83</xdr:row>
      <xdr:rowOff>0</xdr:rowOff>
    </xdr:to>
    <xdr:sp macro="" textlink="">
      <xdr:nvSpPr>
        <xdr:cNvPr id="888422" name="Rectangle 316">
          <a:extLst>
            <a:ext uri="{FF2B5EF4-FFF2-40B4-BE49-F238E27FC236}">
              <a16:creationId xmlns="" xmlns:a16="http://schemas.microsoft.com/office/drawing/2014/main" id="{00000000-0008-0000-2600-0000668E0D00}"/>
            </a:ext>
          </a:extLst>
        </xdr:cNvPr>
        <xdr:cNvSpPr>
          <a:spLocks noChangeArrowheads="1"/>
        </xdr:cNvSpPr>
      </xdr:nvSpPr>
      <xdr:spPr bwMode="auto">
        <a:xfrm>
          <a:off x="5353050" y="8350250"/>
          <a:ext cx="114300" cy="234950"/>
        </a:xfrm>
        <a:prstGeom prst="rect">
          <a:avLst/>
        </a:prstGeom>
        <a:solidFill>
          <a:srgbClr val="969696"/>
        </a:solidFill>
        <a:ln w="9525">
          <a:solidFill>
            <a:srgbClr val="000000"/>
          </a:solidFill>
          <a:miter lim="800000"/>
          <a:headEnd/>
          <a:tailEnd/>
        </a:ln>
      </xdr:spPr>
    </xdr:sp>
    <xdr:clientData/>
  </xdr:twoCellAnchor>
  <xdr:twoCellAnchor>
    <xdr:from>
      <xdr:col>41</xdr:col>
      <xdr:colOff>50800</xdr:colOff>
      <xdr:row>80</xdr:row>
      <xdr:rowOff>57150</xdr:rowOff>
    </xdr:from>
    <xdr:to>
      <xdr:col>42</xdr:col>
      <xdr:colOff>50800</xdr:colOff>
      <xdr:row>83</xdr:row>
      <xdr:rowOff>19050</xdr:rowOff>
    </xdr:to>
    <xdr:sp macro="" textlink="">
      <xdr:nvSpPr>
        <xdr:cNvPr id="888423" name="Rectangle 319">
          <a:extLst>
            <a:ext uri="{FF2B5EF4-FFF2-40B4-BE49-F238E27FC236}">
              <a16:creationId xmlns="" xmlns:a16="http://schemas.microsoft.com/office/drawing/2014/main" id="{00000000-0008-0000-2600-0000678E0D00}"/>
            </a:ext>
          </a:extLst>
        </xdr:cNvPr>
        <xdr:cNvSpPr>
          <a:spLocks noChangeArrowheads="1"/>
        </xdr:cNvSpPr>
      </xdr:nvSpPr>
      <xdr:spPr bwMode="auto">
        <a:xfrm>
          <a:off x="4743450" y="8337550"/>
          <a:ext cx="114300" cy="266700"/>
        </a:xfrm>
        <a:prstGeom prst="rect">
          <a:avLst/>
        </a:prstGeom>
        <a:solidFill>
          <a:srgbClr val="969696"/>
        </a:solidFill>
        <a:ln w="9525">
          <a:solidFill>
            <a:srgbClr val="000000"/>
          </a:solidFill>
          <a:miter lim="800000"/>
          <a:headEnd/>
          <a:tailEnd/>
        </a:ln>
      </xdr:spPr>
    </xdr:sp>
    <xdr:clientData/>
  </xdr:twoCellAnchor>
  <xdr:twoCellAnchor>
    <xdr:from>
      <xdr:col>53</xdr:col>
      <xdr:colOff>61598</xdr:colOff>
      <xdr:row>23</xdr:row>
      <xdr:rowOff>20320</xdr:rowOff>
    </xdr:from>
    <xdr:to>
      <xdr:col>62</xdr:col>
      <xdr:colOff>61015</xdr:colOff>
      <xdr:row>30</xdr:row>
      <xdr:rowOff>64098</xdr:rowOff>
    </xdr:to>
    <xdr:cxnSp macro="">
      <xdr:nvCxnSpPr>
        <xdr:cNvPr id="355" name="Connecteur droit avec flèche 354">
          <a:extLst>
            <a:ext uri="{FF2B5EF4-FFF2-40B4-BE49-F238E27FC236}">
              <a16:creationId xmlns="" xmlns:a16="http://schemas.microsoft.com/office/drawing/2014/main" id="{00000000-0008-0000-2600-000063010000}"/>
            </a:ext>
          </a:extLst>
        </xdr:cNvPr>
        <xdr:cNvCxnSpPr/>
      </xdr:nvCxnSpPr>
      <xdr:spPr>
        <a:xfrm rot="10800000" flipV="1">
          <a:off x="6115053" y="2695575"/>
          <a:ext cx="1057273" cy="762000"/>
        </a:xfrm>
        <a:prstGeom prst="straightConnector1">
          <a:avLst/>
        </a:prstGeom>
        <a:ln w="19050">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49</xdr:col>
      <xdr:colOff>61596</xdr:colOff>
      <xdr:row>42</xdr:row>
      <xdr:rowOff>636</xdr:rowOff>
    </xdr:from>
    <xdr:to>
      <xdr:col>73</xdr:col>
      <xdr:colOff>94645</xdr:colOff>
      <xdr:row>44</xdr:row>
      <xdr:rowOff>415</xdr:rowOff>
    </xdr:to>
    <xdr:sp macro="" textlink="">
      <xdr:nvSpPr>
        <xdr:cNvPr id="356" name="Text Box 470">
          <a:extLst>
            <a:ext uri="{FF2B5EF4-FFF2-40B4-BE49-F238E27FC236}">
              <a16:creationId xmlns="" xmlns:a16="http://schemas.microsoft.com/office/drawing/2014/main" id="{00000000-0008-0000-2600-000064010000}"/>
            </a:ext>
          </a:extLst>
        </xdr:cNvPr>
        <xdr:cNvSpPr txBox="1">
          <a:spLocks noChangeArrowheads="1"/>
        </xdr:cNvSpPr>
      </xdr:nvSpPr>
      <xdr:spPr bwMode="auto">
        <a:xfrm>
          <a:off x="5657851" y="4667251"/>
          <a:ext cx="2819400" cy="2000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PVC 75mm</a:t>
          </a:r>
        </a:p>
      </xdr:txBody>
    </xdr:sp>
    <xdr:clientData/>
  </xdr:twoCellAnchor>
  <xdr:twoCellAnchor>
    <xdr:from>
      <xdr:col>28</xdr:col>
      <xdr:colOff>63500</xdr:colOff>
      <xdr:row>11</xdr:row>
      <xdr:rowOff>19050</xdr:rowOff>
    </xdr:from>
    <xdr:to>
      <xdr:col>28</xdr:col>
      <xdr:colOff>76200</xdr:colOff>
      <xdr:row>23</xdr:row>
      <xdr:rowOff>0</xdr:rowOff>
    </xdr:to>
    <xdr:cxnSp macro="">
      <xdr:nvCxnSpPr>
        <xdr:cNvPr id="888426" name="Straight Connector 267">
          <a:extLst>
            <a:ext uri="{FF2B5EF4-FFF2-40B4-BE49-F238E27FC236}">
              <a16:creationId xmlns="" xmlns:a16="http://schemas.microsoft.com/office/drawing/2014/main" id="{00000000-0008-0000-2600-00006A8E0D00}"/>
            </a:ext>
          </a:extLst>
        </xdr:cNvPr>
        <xdr:cNvCxnSpPr>
          <a:cxnSpLocks noChangeShapeType="1"/>
        </xdr:cNvCxnSpPr>
      </xdr:nvCxnSpPr>
      <xdr:spPr bwMode="auto">
        <a:xfrm rot="16200000" flipH="1">
          <a:off x="2676525" y="1882775"/>
          <a:ext cx="1200150" cy="1270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39</xdr:col>
      <xdr:colOff>57785</xdr:colOff>
      <xdr:row>38</xdr:row>
      <xdr:rowOff>0</xdr:rowOff>
    </xdr:from>
    <xdr:to>
      <xdr:col>56</xdr:col>
      <xdr:colOff>94631</xdr:colOff>
      <xdr:row>38</xdr:row>
      <xdr:rowOff>2382</xdr:rowOff>
    </xdr:to>
    <xdr:cxnSp macro="">
      <xdr:nvCxnSpPr>
        <xdr:cNvPr id="358" name="Connecteur droit avec flèche 357">
          <a:extLst>
            <a:ext uri="{FF2B5EF4-FFF2-40B4-BE49-F238E27FC236}">
              <a16:creationId xmlns="" xmlns:a16="http://schemas.microsoft.com/office/drawing/2014/main" id="{00000000-0008-0000-2600-000066010000}"/>
            </a:ext>
          </a:extLst>
        </xdr:cNvPr>
        <xdr:cNvCxnSpPr/>
      </xdr:nvCxnSpPr>
      <xdr:spPr>
        <a:xfrm>
          <a:off x="4572000" y="4238625"/>
          <a:ext cx="1962150" cy="19050"/>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57786</xdr:colOff>
      <xdr:row>38</xdr:row>
      <xdr:rowOff>2383</xdr:rowOff>
    </xdr:from>
    <xdr:to>
      <xdr:col>39</xdr:col>
      <xdr:colOff>58578</xdr:colOff>
      <xdr:row>38</xdr:row>
      <xdr:rowOff>4387</xdr:rowOff>
    </xdr:to>
    <xdr:cxnSp macro="">
      <xdr:nvCxnSpPr>
        <xdr:cNvPr id="359" name="Connecteur droit avec flèche 358">
          <a:extLst>
            <a:ext uri="{FF2B5EF4-FFF2-40B4-BE49-F238E27FC236}">
              <a16:creationId xmlns="" xmlns:a16="http://schemas.microsoft.com/office/drawing/2014/main" id="{00000000-0008-0000-2600-000067010000}"/>
            </a:ext>
          </a:extLst>
        </xdr:cNvPr>
        <xdr:cNvCxnSpPr/>
      </xdr:nvCxnSpPr>
      <xdr:spPr>
        <a:xfrm rot="5400000" flipH="1" flipV="1">
          <a:off x="4210051" y="3904458"/>
          <a:ext cx="792" cy="686592"/>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56515</xdr:colOff>
      <xdr:row>38</xdr:row>
      <xdr:rowOff>635</xdr:rowOff>
    </xdr:from>
    <xdr:to>
      <xdr:col>33</xdr:col>
      <xdr:colOff>60980</xdr:colOff>
      <xdr:row>38</xdr:row>
      <xdr:rowOff>1429</xdr:rowOff>
    </xdr:to>
    <xdr:cxnSp macro="">
      <xdr:nvCxnSpPr>
        <xdr:cNvPr id="360" name="Connecteur droit avec flèche 359">
          <a:extLst>
            <a:ext uri="{FF2B5EF4-FFF2-40B4-BE49-F238E27FC236}">
              <a16:creationId xmlns="" xmlns:a16="http://schemas.microsoft.com/office/drawing/2014/main" id="{00000000-0008-0000-2600-000068010000}"/>
            </a:ext>
          </a:extLst>
        </xdr:cNvPr>
        <xdr:cNvCxnSpPr/>
      </xdr:nvCxnSpPr>
      <xdr:spPr>
        <a:xfrm rot="10800000">
          <a:off x="3076575" y="4248150"/>
          <a:ext cx="781050" cy="1588"/>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3</xdr:colOff>
      <xdr:row>45</xdr:row>
      <xdr:rowOff>29211</xdr:rowOff>
    </xdr:from>
    <xdr:to>
      <xdr:col>75</xdr:col>
      <xdr:colOff>74405</xdr:colOff>
      <xdr:row>54</xdr:row>
      <xdr:rowOff>68428</xdr:rowOff>
    </xdr:to>
    <xdr:cxnSp macro="">
      <xdr:nvCxnSpPr>
        <xdr:cNvPr id="361" name="Connecteur droit avec flèche 360">
          <a:extLst>
            <a:ext uri="{FF2B5EF4-FFF2-40B4-BE49-F238E27FC236}">
              <a16:creationId xmlns="" xmlns:a16="http://schemas.microsoft.com/office/drawing/2014/main" id="{00000000-0008-0000-2600-000069010000}"/>
            </a:ext>
          </a:extLst>
        </xdr:cNvPr>
        <xdr:cNvCxnSpPr/>
      </xdr:nvCxnSpPr>
      <xdr:spPr>
        <a:xfrm rot="16200000" flipV="1">
          <a:off x="7972429" y="5210175"/>
          <a:ext cx="904874" cy="542926"/>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75</xdr:col>
      <xdr:colOff>94617</xdr:colOff>
      <xdr:row>45</xdr:row>
      <xdr:rowOff>62867</xdr:rowOff>
    </xdr:from>
    <xdr:to>
      <xdr:col>80</xdr:col>
      <xdr:colOff>57833</xdr:colOff>
      <xdr:row>54</xdr:row>
      <xdr:rowOff>198</xdr:rowOff>
    </xdr:to>
    <xdr:cxnSp macro="">
      <xdr:nvCxnSpPr>
        <xdr:cNvPr id="362" name="Connecteur droit avec flèche 361">
          <a:extLst>
            <a:ext uri="{FF2B5EF4-FFF2-40B4-BE49-F238E27FC236}">
              <a16:creationId xmlns="" xmlns:a16="http://schemas.microsoft.com/office/drawing/2014/main" id="{00000000-0008-0000-2600-00006A010000}"/>
            </a:ext>
          </a:extLst>
        </xdr:cNvPr>
        <xdr:cNvCxnSpPr/>
      </xdr:nvCxnSpPr>
      <xdr:spPr>
        <a:xfrm rot="5400000" flipH="1" flipV="1">
          <a:off x="8553452" y="5210177"/>
          <a:ext cx="857249" cy="552449"/>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94615</xdr:colOff>
      <xdr:row>23</xdr:row>
      <xdr:rowOff>3174</xdr:rowOff>
    </xdr:from>
    <xdr:to>
      <xdr:col>24</xdr:col>
      <xdr:colOff>2055</xdr:colOff>
      <xdr:row>35</xdr:row>
      <xdr:rowOff>28093</xdr:rowOff>
    </xdr:to>
    <xdr:cxnSp macro="">
      <xdr:nvCxnSpPr>
        <xdr:cNvPr id="363" name="Connecteur droit avec flèche 362">
          <a:extLst>
            <a:ext uri="{FF2B5EF4-FFF2-40B4-BE49-F238E27FC236}">
              <a16:creationId xmlns="" xmlns:a16="http://schemas.microsoft.com/office/drawing/2014/main" id="{00000000-0008-0000-2600-00006B010000}"/>
            </a:ext>
          </a:extLst>
        </xdr:cNvPr>
        <xdr:cNvCxnSpPr/>
      </xdr:nvCxnSpPr>
      <xdr:spPr>
        <a:xfrm rot="16200000" flipH="1">
          <a:off x="2114550" y="3333749"/>
          <a:ext cx="1323975" cy="9525"/>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60961</xdr:colOff>
      <xdr:row>23</xdr:row>
      <xdr:rowOff>0</xdr:rowOff>
    </xdr:from>
    <xdr:to>
      <xdr:col>25</xdr:col>
      <xdr:colOff>545</xdr:colOff>
      <xdr:row>23</xdr:row>
      <xdr:rowOff>1588</xdr:rowOff>
    </xdr:to>
    <xdr:cxnSp macro="">
      <xdr:nvCxnSpPr>
        <xdr:cNvPr id="364" name="Connecteur droit 363">
          <a:extLst>
            <a:ext uri="{FF2B5EF4-FFF2-40B4-BE49-F238E27FC236}">
              <a16:creationId xmlns="" xmlns:a16="http://schemas.microsoft.com/office/drawing/2014/main" id="{00000000-0008-0000-2600-00006C010000}"/>
            </a:ext>
          </a:extLst>
        </xdr:cNvPr>
        <xdr:cNvCxnSpPr/>
      </xdr:nvCxnSpPr>
      <xdr:spPr>
        <a:xfrm rot="10800000">
          <a:off x="2705101" y="2667000"/>
          <a:ext cx="200025"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57785</xdr:colOff>
      <xdr:row>35</xdr:row>
      <xdr:rowOff>68578</xdr:rowOff>
    </xdr:from>
    <xdr:to>
      <xdr:col>25</xdr:col>
      <xdr:colOff>94725</xdr:colOff>
      <xdr:row>35</xdr:row>
      <xdr:rowOff>68579</xdr:rowOff>
    </xdr:to>
    <xdr:cxnSp macro="">
      <xdr:nvCxnSpPr>
        <xdr:cNvPr id="365" name="Connecteur droit 364">
          <a:extLst>
            <a:ext uri="{FF2B5EF4-FFF2-40B4-BE49-F238E27FC236}">
              <a16:creationId xmlns="" xmlns:a16="http://schemas.microsoft.com/office/drawing/2014/main" id="{00000000-0008-0000-2600-00006D010000}"/>
            </a:ext>
          </a:extLst>
        </xdr:cNvPr>
        <xdr:cNvCxnSpPr/>
      </xdr:nvCxnSpPr>
      <xdr:spPr>
        <a:xfrm rot="10800000" flipV="1">
          <a:off x="2628900" y="4019548"/>
          <a:ext cx="361952" cy="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0</xdr:colOff>
      <xdr:row>32</xdr:row>
      <xdr:rowOff>64135</xdr:rowOff>
    </xdr:from>
    <xdr:to>
      <xdr:col>46</xdr:col>
      <xdr:colOff>20381</xdr:colOff>
      <xdr:row>33</xdr:row>
      <xdr:rowOff>27371</xdr:rowOff>
    </xdr:to>
    <xdr:cxnSp macro="">
      <xdr:nvCxnSpPr>
        <xdr:cNvPr id="366" name="Connecteur droit avec flèche 365">
          <a:extLst>
            <a:ext uri="{FF2B5EF4-FFF2-40B4-BE49-F238E27FC236}">
              <a16:creationId xmlns="" xmlns:a16="http://schemas.microsoft.com/office/drawing/2014/main" id="{00000000-0008-0000-2600-00006E010000}"/>
            </a:ext>
          </a:extLst>
        </xdr:cNvPr>
        <xdr:cNvCxnSpPr/>
      </xdr:nvCxnSpPr>
      <xdr:spPr>
        <a:xfrm>
          <a:off x="3352800" y="3686175"/>
          <a:ext cx="1971675" cy="38100"/>
        </a:xfrm>
        <a:prstGeom prst="straightConnector1">
          <a:avLst/>
        </a:prstGeom>
        <a:ln w="19050">
          <a:solidFill>
            <a:srgbClr val="FFFF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74295</xdr:colOff>
      <xdr:row>45</xdr:row>
      <xdr:rowOff>60960</xdr:rowOff>
    </xdr:from>
    <xdr:to>
      <xdr:col>56</xdr:col>
      <xdr:colOff>61236</xdr:colOff>
      <xdr:row>49</xdr:row>
      <xdr:rowOff>63116</xdr:rowOff>
    </xdr:to>
    <xdr:sp macro="" textlink="">
      <xdr:nvSpPr>
        <xdr:cNvPr id="367" name="Ellipse 366">
          <a:extLst>
            <a:ext uri="{FF2B5EF4-FFF2-40B4-BE49-F238E27FC236}">
              <a16:creationId xmlns="" xmlns:a16="http://schemas.microsoft.com/office/drawing/2014/main" id="{00000000-0008-0000-2600-00006F010000}"/>
            </a:ext>
          </a:extLst>
        </xdr:cNvPr>
        <xdr:cNvSpPr/>
      </xdr:nvSpPr>
      <xdr:spPr>
        <a:xfrm>
          <a:off x="5953125" y="5019675"/>
          <a:ext cx="533400" cy="457200"/>
        </a:xfrm>
        <a:prstGeom prst="ellipse">
          <a:avLst/>
        </a:prstGeom>
        <a:solidFill>
          <a:schemeClr val="accent6">
            <a:lumMod val="60000"/>
            <a:lumOff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51</xdr:col>
      <xdr:colOff>56515</xdr:colOff>
      <xdr:row>45</xdr:row>
      <xdr:rowOff>27941</xdr:rowOff>
    </xdr:from>
    <xdr:to>
      <xdr:col>57</xdr:col>
      <xdr:colOff>57916</xdr:colOff>
      <xdr:row>48</xdr:row>
      <xdr:rowOff>68515</xdr:rowOff>
    </xdr:to>
    <xdr:sp macro="" textlink="">
      <xdr:nvSpPr>
        <xdr:cNvPr id="368" name="ZoneTexte 367">
          <a:extLst>
            <a:ext uri="{FF2B5EF4-FFF2-40B4-BE49-F238E27FC236}">
              <a16:creationId xmlns="" xmlns:a16="http://schemas.microsoft.com/office/drawing/2014/main" id="{00000000-0008-0000-2600-000070010000}"/>
            </a:ext>
          </a:extLst>
        </xdr:cNvPr>
        <xdr:cNvSpPr txBox="1"/>
      </xdr:nvSpPr>
      <xdr:spPr>
        <a:xfrm>
          <a:off x="5934075" y="5038726"/>
          <a:ext cx="676275" cy="285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t>PUITS PERDU</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44</xdr:col>
      <xdr:colOff>63500</xdr:colOff>
      <xdr:row>12</xdr:row>
      <xdr:rowOff>19050</xdr:rowOff>
    </xdr:from>
    <xdr:to>
      <xdr:col>46</xdr:col>
      <xdr:colOff>19050</xdr:colOff>
      <xdr:row>36</xdr:row>
      <xdr:rowOff>50800</xdr:rowOff>
    </xdr:to>
    <xdr:sp macro="" textlink="">
      <xdr:nvSpPr>
        <xdr:cNvPr id="888922" name="Rectangle 452">
          <a:extLst>
            <a:ext uri="{FF2B5EF4-FFF2-40B4-BE49-F238E27FC236}">
              <a16:creationId xmlns="" xmlns:a16="http://schemas.microsoft.com/office/drawing/2014/main" id="{00000000-0008-0000-2700-00005A900D00}"/>
            </a:ext>
          </a:extLst>
        </xdr:cNvPr>
        <xdr:cNvSpPr>
          <a:spLocks noChangeArrowheads="1"/>
        </xdr:cNvSpPr>
      </xdr:nvSpPr>
      <xdr:spPr bwMode="auto">
        <a:xfrm>
          <a:off x="5092700" y="1352550"/>
          <a:ext cx="184150" cy="2317750"/>
        </a:xfrm>
        <a:prstGeom prst="rect">
          <a:avLst/>
        </a:prstGeom>
        <a:solidFill>
          <a:srgbClr val="FFFFFF"/>
        </a:solidFill>
        <a:ln w="9525">
          <a:solidFill>
            <a:srgbClr val="000000"/>
          </a:solidFill>
          <a:miter lim="800000"/>
          <a:headEnd/>
          <a:tailEnd/>
        </a:ln>
      </xdr:spPr>
    </xdr:sp>
    <xdr:clientData/>
  </xdr:twoCellAnchor>
  <xdr:twoCellAnchor>
    <xdr:from>
      <xdr:col>26</xdr:col>
      <xdr:colOff>19050</xdr:colOff>
      <xdr:row>12</xdr:row>
      <xdr:rowOff>19050</xdr:rowOff>
    </xdr:from>
    <xdr:to>
      <xdr:col>44</xdr:col>
      <xdr:colOff>88900</xdr:colOff>
      <xdr:row>14</xdr:row>
      <xdr:rowOff>31750</xdr:rowOff>
    </xdr:to>
    <xdr:sp macro="" textlink="">
      <xdr:nvSpPr>
        <xdr:cNvPr id="888923" name="Rectangle 448">
          <a:extLst>
            <a:ext uri="{FF2B5EF4-FFF2-40B4-BE49-F238E27FC236}">
              <a16:creationId xmlns="" xmlns:a16="http://schemas.microsoft.com/office/drawing/2014/main" id="{00000000-0008-0000-2700-00005B900D00}"/>
            </a:ext>
          </a:extLst>
        </xdr:cNvPr>
        <xdr:cNvSpPr>
          <a:spLocks noChangeArrowheads="1"/>
        </xdr:cNvSpPr>
      </xdr:nvSpPr>
      <xdr:spPr bwMode="auto">
        <a:xfrm>
          <a:off x="2990850" y="1352550"/>
          <a:ext cx="2127250" cy="203200"/>
        </a:xfrm>
        <a:prstGeom prst="rect">
          <a:avLst/>
        </a:prstGeom>
        <a:solidFill>
          <a:srgbClr val="FFFFFF"/>
        </a:solidFill>
        <a:ln w="9525">
          <a:solidFill>
            <a:srgbClr val="000000"/>
          </a:solidFill>
          <a:miter lim="800000"/>
          <a:headEnd/>
          <a:tailEnd/>
        </a:ln>
      </xdr:spPr>
    </xdr:sp>
    <xdr:clientData/>
  </xdr:twoCellAnchor>
  <xdr:twoCellAnchor>
    <xdr:from>
      <xdr:col>68</xdr:col>
      <xdr:colOff>57785</xdr:colOff>
      <xdr:row>4</xdr:row>
      <xdr:rowOff>0</xdr:rowOff>
    </xdr:from>
    <xdr:to>
      <xdr:col>79</xdr:col>
      <xdr:colOff>61668</xdr:colOff>
      <xdr:row>4</xdr:row>
      <xdr:rowOff>0</xdr:rowOff>
    </xdr:to>
    <xdr:sp macro="" textlink="">
      <xdr:nvSpPr>
        <xdr:cNvPr id="4" name="Text Box 143">
          <a:extLst>
            <a:ext uri="{FF2B5EF4-FFF2-40B4-BE49-F238E27FC236}">
              <a16:creationId xmlns="" xmlns:a16="http://schemas.microsoft.com/office/drawing/2014/main" id="{00000000-0008-0000-2700-000004000000}"/>
            </a:ext>
          </a:extLst>
        </xdr:cNvPr>
        <xdr:cNvSpPr txBox="1">
          <a:spLocks noChangeArrowheads="1"/>
        </xdr:cNvSpPr>
      </xdr:nvSpPr>
      <xdr:spPr bwMode="auto">
        <a:xfrm>
          <a:off x="7943850" y="571500"/>
          <a:ext cx="1219200" cy="0"/>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fr-FR" sz="800" b="1" i="0" strike="noStrike">
              <a:solidFill>
                <a:srgbClr val="000000"/>
              </a:solidFill>
              <a:latin typeface="Arial"/>
              <a:cs typeface="Arial"/>
            </a:rPr>
            <a:t>Plastic Sheeting/paille</a:t>
          </a:r>
        </a:p>
      </xdr:txBody>
    </xdr:sp>
    <xdr:clientData/>
  </xdr:twoCellAnchor>
  <xdr:twoCellAnchor>
    <xdr:from>
      <xdr:col>72</xdr:col>
      <xdr:colOff>60960</xdr:colOff>
      <xdr:row>4</xdr:row>
      <xdr:rowOff>0</xdr:rowOff>
    </xdr:from>
    <xdr:to>
      <xdr:col>83</xdr:col>
      <xdr:colOff>650</xdr:colOff>
      <xdr:row>4</xdr:row>
      <xdr:rowOff>0</xdr:rowOff>
    </xdr:to>
    <xdr:sp macro="" textlink="">
      <xdr:nvSpPr>
        <xdr:cNvPr id="5" name="Text Box 167">
          <a:extLst>
            <a:ext uri="{FF2B5EF4-FFF2-40B4-BE49-F238E27FC236}">
              <a16:creationId xmlns="" xmlns:a16="http://schemas.microsoft.com/office/drawing/2014/main" id="{00000000-0008-0000-2700-000005000000}"/>
            </a:ext>
          </a:extLst>
        </xdr:cNvPr>
        <xdr:cNvSpPr txBox="1">
          <a:spLocks noChangeArrowheads="1"/>
        </xdr:cNvSpPr>
      </xdr:nvSpPr>
      <xdr:spPr bwMode="auto">
        <a:xfrm>
          <a:off x="8391525" y="571500"/>
          <a:ext cx="1219200" cy="0"/>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fr-FR" sz="800" b="1" i="0" strike="noStrike">
              <a:solidFill>
                <a:srgbClr val="000000"/>
              </a:solidFill>
              <a:latin typeface="Arial"/>
              <a:cs typeface="Arial"/>
            </a:rPr>
            <a:t>Plastic Sheeting/paille</a:t>
          </a:r>
        </a:p>
      </xdr:txBody>
    </xdr:sp>
    <xdr:clientData/>
  </xdr:twoCellAnchor>
  <xdr:twoCellAnchor>
    <xdr:from>
      <xdr:col>108</xdr:col>
      <xdr:colOff>95250</xdr:colOff>
      <xdr:row>4</xdr:row>
      <xdr:rowOff>0</xdr:rowOff>
    </xdr:from>
    <xdr:to>
      <xdr:col>108</xdr:col>
      <xdr:colOff>95250</xdr:colOff>
      <xdr:row>4</xdr:row>
      <xdr:rowOff>0</xdr:rowOff>
    </xdr:to>
    <xdr:sp macro="" textlink="">
      <xdr:nvSpPr>
        <xdr:cNvPr id="888926" name="Line 238">
          <a:extLst>
            <a:ext uri="{FF2B5EF4-FFF2-40B4-BE49-F238E27FC236}">
              <a16:creationId xmlns="" xmlns:a16="http://schemas.microsoft.com/office/drawing/2014/main" id="{00000000-0008-0000-2700-00005E900D00}"/>
            </a:ext>
          </a:extLst>
        </xdr:cNvPr>
        <xdr:cNvSpPr>
          <a:spLocks noChangeShapeType="1"/>
        </xdr:cNvSpPr>
      </xdr:nvSpPr>
      <xdr:spPr bwMode="auto">
        <a:xfrm>
          <a:off x="12439650" y="571500"/>
          <a:ext cx="0"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88900</xdr:colOff>
      <xdr:row>140</xdr:row>
      <xdr:rowOff>12700</xdr:rowOff>
    </xdr:from>
    <xdr:to>
      <xdr:col>17</xdr:col>
      <xdr:colOff>63500</xdr:colOff>
      <xdr:row>163</xdr:row>
      <xdr:rowOff>31750</xdr:rowOff>
    </xdr:to>
    <xdr:sp macro="" textlink="">
      <xdr:nvSpPr>
        <xdr:cNvPr id="888927" name="Rectangle 326" descr="Horizontal brick">
          <a:extLst>
            <a:ext uri="{FF2B5EF4-FFF2-40B4-BE49-F238E27FC236}">
              <a16:creationId xmlns="" xmlns:a16="http://schemas.microsoft.com/office/drawing/2014/main" id="{00000000-0008-0000-2700-00005F900D00}"/>
            </a:ext>
          </a:extLst>
        </xdr:cNvPr>
        <xdr:cNvSpPr>
          <a:spLocks noChangeArrowheads="1"/>
        </xdr:cNvSpPr>
      </xdr:nvSpPr>
      <xdr:spPr bwMode="auto">
        <a:xfrm>
          <a:off x="1803400" y="13538200"/>
          <a:ext cx="203200" cy="22098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37</xdr:col>
      <xdr:colOff>6350</xdr:colOff>
      <xdr:row>139</xdr:row>
      <xdr:rowOff>57150</xdr:rowOff>
    </xdr:from>
    <xdr:to>
      <xdr:col>39</xdr:col>
      <xdr:colOff>19050</xdr:colOff>
      <xdr:row>162</xdr:row>
      <xdr:rowOff>63500</xdr:rowOff>
    </xdr:to>
    <xdr:sp macro="" textlink="">
      <xdr:nvSpPr>
        <xdr:cNvPr id="888928" name="Rectangle 327" descr="Horizontal brick">
          <a:extLst>
            <a:ext uri="{FF2B5EF4-FFF2-40B4-BE49-F238E27FC236}">
              <a16:creationId xmlns="" xmlns:a16="http://schemas.microsoft.com/office/drawing/2014/main" id="{00000000-0008-0000-2700-000060900D00}"/>
            </a:ext>
          </a:extLst>
        </xdr:cNvPr>
        <xdr:cNvSpPr>
          <a:spLocks noChangeArrowheads="1"/>
        </xdr:cNvSpPr>
      </xdr:nvSpPr>
      <xdr:spPr bwMode="auto">
        <a:xfrm>
          <a:off x="4235450" y="13487400"/>
          <a:ext cx="241300" cy="21971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15</xdr:col>
      <xdr:colOff>0</xdr:colOff>
      <xdr:row>162</xdr:row>
      <xdr:rowOff>57150</xdr:rowOff>
    </xdr:from>
    <xdr:to>
      <xdr:col>18</xdr:col>
      <xdr:colOff>57150</xdr:colOff>
      <xdr:row>165</xdr:row>
      <xdr:rowOff>0</xdr:rowOff>
    </xdr:to>
    <xdr:sp macro="" textlink="">
      <xdr:nvSpPr>
        <xdr:cNvPr id="888929" name="Rectangle 329">
          <a:extLst>
            <a:ext uri="{FF2B5EF4-FFF2-40B4-BE49-F238E27FC236}">
              <a16:creationId xmlns="" xmlns:a16="http://schemas.microsoft.com/office/drawing/2014/main" id="{00000000-0008-0000-2700-000061900D00}"/>
            </a:ext>
          </a:extLst>
        </xdr:cNvPr>
        <xdr:cNvSpPr>
          <a:spLocks noChangeArrowheads="1"/>
        </xdr:cNvSpPr>
      </xdr:nvSpPr>
      <xdr:spPr bwMode="auto">
        <a:xfrm>
          <a:off x="1714500" y="15678150"/>
          <a:ext cx="400050" cy="228600"/>
        </a:xfrm>
        <a:prstGeom prst="rect">
          <a:avLst/>
        </a:prstGeom>
        <a:solidFill>
          <a:srgbClr val="FFFFFF"/>
        </a:solidFill>
        <a:ln w="9525">
          <a:solidFill>
            <a:srgbClr val="000000"/>
          </a:solidFill>
          <a:miter lim="800000"/>
          <a:headEnd/>
          <a:tailEnd/>
        </a:ln>
      </xdr:spPr>
    </xdr:sp>
    <xdr:clientData/>
  </xdr:twoCellAnchor>
  <xdr:twoCellAnchor>
    <xdr:from>
      <xdr:col>35</xdr:col>
      <xdr:colOff>76200</xdr:colOff>
      <xdr:row>162</xdr:row>
      <xdr:rowOff>63500</xdr:rowOff>
    </xdr:from>
    <xdr:to>
      <xdr:col>39</xdr:col>
      <xdr:colOff>57150</xdr:colOff>
      <xdr:row>165</xdr:row>
      <xdr:rowOff>0</xdr:rowOff>
    </xdr:to>
    <xdr:sp macro="" textlink="">
      <xdr:nvSpPr>
        <xdr:cNvPr id="888930" name="Rectangle 330">
          <a:extLst>
            <a:ext uri="{FF2B5EF4-FFF2-40B4-BE49-F238E27FC236}">
              <a16:creationId xmlns="" xmlns:a16="http://schemas.microsoft.com/office/drawing/2014/main" id="{00000000-0008-0000-2700-000062900D00}"/>
            </a:ext>
          </a:extLst>
        </xdr:cNvPr>
        <xdr:cNvSpPr>
          <a:spLocks noChangeArrowheads="1"/>
        </xdr:cNvSpPr>
      </xdr:nvSpPr>
      <xdr:spPr bwMode="auto">
        <a:xfrm>
          <a:off x="4076700" y="15684500"/>
          <a:ext cx="438150" cy="222250"/>
        </a:xfrm>
        <a:prstGeom prst="rect">
          <a:avLst/>
        </a:prstGeom>
        <a:solidFill>
          <a:srgbClr val="FFFFFF"/>
        </a:solidFill>
        <a:ln w="9525">
          <a:solidFill>
            <a:srgbClr val="000000"/>
          </a:solidFill>
          <a:miter lim="800000"/>
          <a:headEnd/>
          <a:tailEnd/>
        </a:ln>
      </xdr:spPr>
    </xdr:sp>
    <xdr:clientData/>
  </xdr:twoCellAnchor>
  <xdr:twoCellAnchor>
    <xdr:from>
      <xdr:col>17</xdr:col>
      <xdr:colOff>57150</xdr:colOff>
      <xdr:row>162</xdr:row>
      <xdr:rowOff>57150</xdr:rowOff>
    </xdr:from>
    <xdr:to>
      <xdr:col>37</xdr:col>
      <xdr:colOff>19050</xdr:colOff>
      <xdr:row>162</xdr:row>
      <xdr:rowOff>57150</xdr:rowOff>
    </xdr:to>
    <xdr:sp macro="" textlink="">
      <xdr:nvSpPr>
        <xdr:cNvPr id="888931" name="Line 331">
          <a:extLst>
            <a:ext uri="{FF2B5EF4-FFF2-40B4-BE49-F238E27FC236}">
              <a16:creationId xmlns="" xmlns:a16="http://schemas.microsoft.com/office/drawing/2014/main" id="{00000000-0008-0000-2700-000063900D00}"/>
            </a:ext>
          </a:extLst>
        </xdr:cNvPr>
        <xdr:cNvSpPr>
          <a:spLocks noChangeShapeType="1"/>
        </xdr:cNvSpPr>
      </xdr:nvSpPr>
      <xdr:spPr bwMode="auto">
        <a:xfrm flipV="1">
          <a:off x="2000250" y="15678150"/>
          <a:ext cx="2247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88900</xdr:colOff>
      <xdr:row>138</xdr:row>
      <xdr:rowOff>31750</xdr:rowOff>
    </xdr:from>
    <xdr:to>
      <xdr:col>39</xdr:col>
      <xdr:colOff>19050</xdr:colOff>
      <xdr:row>139</xdr:row>
      <xdr:rowOff>57150</xdr:rowOff>
    </xdr:to>
    <xdr:sp macro="" textlink="">
      <xdr:nvSpPr>
        <xdr:cNvPr id="888932" name="Rectangle 332">
          <a:extLst>
            <a:ext uri="{FF2B5EF4-FFF2-40B4-BE49-F238E27FC236}">
              <a16:creationId xmlns="" xmlns:a16="http://schemas.microsoft.com/office/drawing/2014/main" id="{00000000-0008-0000-2700-000064900D00}"/>
            </a:ext>
          </a:extLst>
        </xdr:cNvPr>
        <xdr:cNvSpPr>
          <a:spLocks noChangeArrowheads="1"/>
        </xdr:cNvSpPr>
      </xdr:nvSpPr>
      <xdr:spPr bwMode="auto">
        <a:xfrm>
          <a:off x="1803400" y="13366750"/>
          <a:ext cx="2673350" cy="120650"/>
        </a:xfrm>
        <a:prstGeom prst="rect">
          <a:avLst/>
        </a:prstGeom>
        <a:solidFill>
          <a:srgbClr val="FFFFFF"/>
        </a:solidFill>
        <a:ln w="9525">
          <a:solidFill>
            <a:srgbClr val="000000"/>
          </a:solidFill>
          <a:miter lim="800000"/>
          <a:headEnd/>
          <a:tailEnd/>
        </a:ln>
      </xdr:spPr>
    </xdr:sp>
    <xdr:clientData/>
  </xdr:twoCellAnchor>
  <xdr:twoCellAnchor>
    <xdr:from>
      <xdr:col>16</xdr:col>
      <xdr:colOff>0</xdr:colOff>
      <xdr:row>119</xdr:row>
      <xdr:rowOff>19050</xdr:rowOff>
    </xdr:from>
    <xdr:to>
      <xdr:col>17</xdr:col>
      <xdr:colOff>50800</xdr:colOff>
      <xdr:row>138</xdr:row>
      <xdr:rowOff>50800</xdr:rowOff>
    </xdr:to>
    <xdr:sp macro="" textlink="">
      <xdr:nvSpPr>
        <xdr:cNvPr id="888933" name="Rectangle 334" descr="Horizontal brick">
          <a:extLst>
            <a:ext uri="{FF2B5EF4-FFF2-40B4-BE49-F238E27FC236}">
              <a16:creationId xmlns="" xmlns:a16="http://schemas.microsoft.com/office/drawing/2014/main" id="{00000000-0008-0000-2700-000065900D00}"/>
            </a:ext>
          </a:extLst>
        </xdr:cNvPr>
        <xdr:cNvSpPr>
          <a:spLocks noChangeArrowheads="1"/>
        </xdr:cNvSpPr>
      </xdr:nvSpPr>
      <xdr:spPr bwMode="auto">
        <a:xfrm>
          <a:off x="1828800" y="11544300"/>
          <a:ext cx="165100" cy="1841500"/>
        </a:xfrm>
        <a:prstGeom prst="rect">
          <a:avLst/>
        </a:prstGeom>
        <a:noFill/>
        <a:ln w="9525">
          <a:solidFill>
            <a:srgbClr val="0000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76200</xdr:colOff>
      <xdr:row>118</xdr:row>
      <xdr:rowOff>57150</xdr:rowOff>
    </xdr:from>
    <xdr:to>
      <xdr:col>29</xdr:col>
      <xdr:colOff>38100</xdr:colOff>
      <xdr:row>138</xdr:row>
      <xdr:rowOff>19050</xdr:rowOff>
    </xdr:to>
    <xdr:sp macro="" textlink="">
      <xdr:nvSpPr>
        <xdr:cNvPr id="888934" name="Rectangle 335" descr="Horizontal brick">
          <a:extLst>
            <a:ext uri="{FF2B5EF4-FFF2-40B4-BE49-F238E27FC236}">
              <a16:creationId xmlns="" xmlns:a16="http://schemas.microsoft.com/office/drawing/2014/main" id="{00000000-0008-0000-2700-000066900D00}"/>
            </a:ext>
          </a:extLst>
        </xdr:cNvPr>
        <xdr:cNvSpPr>
          <a:spLocks noChangeArrowheads="1"/>
        </xdr:cNvSpPr>
      </xdr:nvSpPr>
      <xdr:spPr bwMode="auto">
        <a:xfrm>
          <a:off x="3162300" y="11487150"/>
          <a:ext cx="190500" cy="18669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50800</xdr:colOff>
      <xdr:row>118</xdr:row>
      <xdr:rowOff>19050</xdr:rowOff>
    </xdr:from>
    <xdr:to>
      <xdr:col>29</xdr:col>
      <xdr:colOff>38100</xdr:colOff>
      <xdr:row>119</xdr:row>
      <xdr:rowOff>19050</xdr:rowOff>
    </xdr:to>
    <xdr:sp macro="" textlink="">
      <xdr:nvSpPr>
        <xdr:cNvPr id="888935" name="Rectangle 336">
          <a:extLst>
            <a:ext uri="{FF2B5EF4-FFF2-40B4-BE49-F238E27FC236}">
              <a16:creationId xmlns="" xmlns:a16="http://schemas.microsoft.com/office/drawing/2014/main" id="{00000000-0008-0000-2700-000067900D00}"/>
            </a:ext>
          </a:extLst>
        </xdr:cNvPr>
        <xdr:cNvSpPr>
          <a:spLocks noChangeArrowheads="1"/>
        </xdr:cNvSpPr>
      </xdr:nvSpPr>
      <xdr:spPr bwMode="auto">
        <a:xfrm flipV="1">
          <a:off x="1536700" y="11449050"/>
          <a:ext cx="1816100" cy="95250"/>
        </a:xfrm>
        <a:prstGeom prst="rect">
          <a:avLst/>
        </a:prstGeom>
        <a:solidFill>
          <a:srgbClr val="FFFFFF"/>
        </a:solidFill>
        <a:ln w="9525">
          <a:solidFill>
            <a:srgbClr val="000000"/>
          </a:solidFill>
          <a:miter lim="800000"/>
          <a:headEnd/>
          <a:tailEnd/>
        </a:ln>
      </xdr:spPr>
    </xdr:sp>
    <xdr:clientData/>
  </xdr:twoCellAnchor>
  <xdr:twoCellAnchor>
    <xdr:from>
      <xdr:col>30</xdr:col>
      <xdr:colOff>6350</xdr:colOff>
      <xdr:row>108</xdr:row>
      <xdr:rowOff>342900</xdr:rowOff>
    </xdr:from>
    <xdr:to>
      <xdr:col>31</xdr:col>
      <xdr:colOff>0</xdr:colOff>
      <xdr:row>139</xdr:row>
      <xdr:rowOff>63500</xdr:rowOff>
    </xdr:to>
    <xdr:sp macro="" textlink="">
      <xdr:nvSpPr>
        <xdr:cNvPr id="888936" name="Rectangle 343">
          <a:extLst>
            <a:ext uri="{FF2B5EF4-FFF2-40B4-BE49-F238E27FC236}">
              <a16:creationId xmlns="" xmlns:a16="http://schemas.microsoft.com/office/drawing/2014/main" id="{00000000-0008-0000-2700-000068900D00}"/>
            </a:ext>
          </a:extLst>
        </xdr:cNvPr>
        <xdr:cNvSpPr>
          <a:spLocks noChangeArrowheads="1"/>
        </xdr:cNvSpPr>
      </xdr:nvSpPr>
      <xdr:spPr bwMode="auto">
        <a:xfrm>
          <a:off x="3435350" y="10572750"/>
          <a:ext cx="107950" cy="292100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17</xdr:col>
      <xdr:colOff>57150</xdr:colOff>
      <xdr:row>154</xdr:row>
      <xdr:rowOff>31750</xdr:rowOff>
    </xdr:from>
    <xdr:to>
      <xdr:col>37</xdr:col>
      <xdr:colOff>38100</xdr:colOff>
      <xdr:row>154</xdr:row>
      <xdr:rowOff>38100</xdr:rowOff>
    </xdr:to>
    <xdr:sp macro="" textlink="">
      <xdr:nvSpPr>
        <xdr:cNvPr id="888937" name="Line 347">
          <a:extLst>
            <a:ext uri="{FF2B5EF4-FFF2-40B4-BE49-F238E27FC236}">
              <a16:creationId xmlns="" xmlns:a16="http://schemas.microsoft.com/office/drawing/2014/main" id="{00000000-0008-0000-2700-000069900D00}"/>
            </a:ext>
          </a:extLst>
        </xdr:cNvPr>
        <xdr:cNvSpPr>
          <a:spLocks noChangeShapeType="1"/>
        </xdr:cNvSpPr>
      </xdr:nvSpPr>
      <xdr:spPr bwMode="auto">
        <a:xfrm flipV="1">
          <a:off x="2000250" y="14890750"/>
          <a:ext cx="2266950" cy="63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29</xdr:col>
      <xdr:colOff>57150</xdr:colOff>
      <xdr:row>106</xdr:row>
      <xdr:rowOff>57150</xdr:rowOff>
    </xdr:from>
    <xdr:to>
      <xdr:col>31</xdr:col>
      <xdr:colOff>38100</xdr:colOff>
      <xdr:row>109</xdr:row>
      <xdr:rowOff>0</xdr:rowOff>
    </xdr:to>
    <xdr:sp macro="" textlink="">
      <xdr:nvSpPr>
        <xdr:cNvPr id="888938" name="Rectangle 354" descr="Outlined diamond">
          <a:extLst>
            <a:ext uri="{FF2B5EF4-FFF2-40B4-BE49-F238E27FC236}">
              <a16:creationId xmlns="" xmlns:a16="http://schemas.microsoft.com/office/drawing/2014/main" id="{00000000-0008-0000-2700-00006A900D00}"/>
            </a:ext>
          </a:extLst>
        </xdr:cNvPr>
        <xdr:cNvSpPr>
          <a:spLocks noChangeArrowheads="1"/>
        </xdr:cNvSpPr>
      </xdr:nvSpPr>
      <xdr:spPr bwMode="auto">
        <a:xfrm flipV="1">
          <a:off x="3371850" y="10344150"/>
          <a:ext cx="209550" cy="228600"/>
        </a:xfrm>
        <a:prstGeom prst="rect">
          <a:avLst/>
        </a:prstGeom>
        <a:blipFill dpi="0" rotWithShape="0">
          <a:blip xmlns:r="http://schemas.openxmlformats.org/officeDocument/2006/relationships" r:embed="rId2"/>
          <a:srcRect/>
          <a:tile tx="0" ty="0" sx="100000" sy="100000" flip="none" algn="tl"/>
        </a:blipFill>
        <a:ln w="9525">
          <a:solidFill>
            <a:srgbClr val="000000"/>
          </a:solidFill>
          <a:miter lim="800000"/>
          <a:headEnd/>
          <a:tailEnd/>
        </a:ln>
      </xdr:spPr>
    </xdr:sp>
    <xdr:clientData/>
  </xdr:twoCellAnchor>
  <xdr:twoCellAnchor editAs="oneCell">
    <xdr:from>
      <xdr:col>25</xdr:col>
      <xdr:colOff>636</xdr:colOff>
      <xdr:row>153</xdr:row>
      <xdr:rowOff>1</xdr:rowOff>
    </xdr:from>
    <xdr:to>
      <xdr:col>27</xdr:col>
      <xdr:colOff>346</xdr:colOff>
      <xdr:row>155</xdr:row>
      <xdr:rowOff>56535</xdr:rowOff>
    </xdr:to>
    <xdr:sp macro="" textlink="">
      <xdr:nvSpPr>
        <xdr:cNvPr id="19" name="Text Box 355">
          <a:extLst>
            <a:ext uri="{FF2B5EF4-FFF2-40B4-BE49-F238E27FC236}">
              <a16:creationId xmlns="" xmlns:a16="http://schemas.microsoft.com/office/drawing/2014/main" id="{00000000-0008-0000-2700-000013000000}"/>
            </a:ext>
          </a:extLst>
        </xdr:cNvPr>
        <xdr:cNvSpPr txBox="1">
          <a:spLocks noChangeArrowheads="1"/>
        </xdr:cNvSpPr>
      </xdr:nvSpPr>
      <xdr:spPr bwMode="auto">
        <a:xfrm>
          <a:off x="2981326" y="14763751"/>
          <a:ext cx="219074" cy="257174"/>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245</a:t>
          </a:r>
        </a:p>
      </xdr:txBody>
    </xdr:sp>
    <xdr:clientData/>
  </xdr:twoCellAnchor>
  <xdr:twoCellAnchor>
    <xdr:from>
      <xdr:col>24</xdr:col>
      <xdr:colOff>6350</xdr:colOff>
      <xdr:row>139</xdr:row>
      <xdr:rowOff>50800</xdr:rowOff>
    </xdr:from>
    <xdr:to>
      <xdr:col>24</xdr:col>
      <xdr:colOff>6350</xdr:colOff>
      <xdr:row>162</xdr:row>
      <xdr:rowOff>50800</xdr:rowOff>
    </xdr:to>
    <xdr:sp macro="" textlink="">
      <xdr:nvSpPr>
        <xdr:cNvPr id="888940" name="Line 356">
          <a:extLst>
            <a:ext uri="{FF2B5EF4-FFF2-40B4-BE49-F238E27FC236}">
              <a16:creationId xmlns="" xmlns:a16="http://schemas.microsoft.com/office/drawing/2014/main" id="{00000000-0008-0000-2700-00006C900D00}"/>
            </a:ext>
          </a:extLst>
        </xdr:cNvPr>
        <xdr:cNvSpPr>
          <a:spLocks noChangeShapeType="1"/>
        </xdr:cNvSpPr>
      </xdr:nvSpPr>
      <xdr:spPr bwMode="auto">
        <a:xfrm>
          <a:off x="2749550" y="13481050"/>
          <a:ext cx="0" cy="21907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21</xdr:col>
      <xdr:colOff>94617</xdr:colOff>
      <xdr:row>147</xdr:row>
      <xdr:rowOff>56516</xdr:rowOff>
    </xdr:from>
    <xdr:to>
      <xdr:col>23</xdr:col>
      <xdr:colOff>114204</xdr:colOff>
      <xdr:row>151</xdr:row>
      <xdr:rowOff>57997</xdr:rowOff>
    </xdr:to>
    <xdr:sp macro="" textlink="">
      <xdr:nvSpPr>
        <xdr:cNvPr id="21" name="Text Box 359">
          <a:extLst>
            <a:ext uri="{FF2B5EF4-FFF2-40B4-BE49-F238E27FC236}">
              <a16:creationId xmlns="" xmlns:a16="http://schemas.microsoft.com/office/drawing/2014/main" id="{00000000-0008-0000-2700-000015000000}"/>
            </a:ext>
          </a:extLst>
        </xdr:cNvPr>
        <xdr:cNvSpPr txBox="1">
          <a:spLocks noChangeArrowheads="1"/>
        </xdr:cNvSpPr>
      </xdr:nvSpPr>
      <xdr:spPr bwMode="auto">
        <a:xfrm>
          <a:off x="2619377" y="14258926"/>
          <a:ext cx="238124" cy="390524"/>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160</a:t>
          </a:r>
        </a:p>
      </xdr:txBody>
    </xdr:sp>
    <xdr:clientData/>
  </xdr:twoCellAnchor>
  <xdr:twoCellAnchor>
    <xdr:from>
      <xdr:col>16</xdr:col>
      <xdr:colOff>6350</xdr:colOff>
      <xdr:row>121</xdr:row>
      <xdr:rowOff>0</xdr:rowOff>
    </xdr:from>
    <xdr:to>
      <xdr:col>17</xdr:col>
      <xdr:colOff>57150</xdr:colOff>
      <xdr:row>138</xdr:row>
      <xdr:rowOff>38100</xdr:rowOff>
    </xdr:to>
    <xdr:sp macro="" textlink="">
      <xdr:nvSpPr>
        <xdr:cNvPr id="888942" name="Rectangle 360">
          <a:extLst>
            <a:ext uri="{FF2B5EF4-FFF2-40B4-BE49-F238E27FC236}">
              <a16:creationId xmlns="" xmlns:a16="http://schemas.microsoft.com/office/drawing/2014/main" id="{00000000-0008-0000-2700-00006E900D00}"/>
            </a:ext>
          </a:extLst>
        </xdr:cNvPr>
        <xdr:cNvSpPr>
          <a:spLocks noChangeArrowheads="1"/>
        </xdr:cNvSpPr>
      </xdr:nvSpPr>
      <xdr:spPr bwMode="auto">
        <a:xfrm>
          <a:off x="1835150" y="11715750"/>
          <a:ext cx="165100" cy="1657350"/>
        </a:xfrm>
        <a:prstGeom prst="rect">
          <a:avLst/>
        </a:prstGeom>
        <a:solidFill>
          <a:srgbClr val="FFFFFF"/>
        </a:solidFill>
        <a:ln w="9525">
          <a:solidFill>
            <a:srgbClr val="000000"/>
          </a:solidFill>
          <a:miter lim="800000"/>
          <a:headEnd/>
          <a:tailEnd/>
        </a:ln>
      </xdr:spPr>
    </xdr:sp>
    <xdr:clientData/>
  </xdr:twoCellAnchor>
  <xdr:twoCellAnchor>
    <xdr:from>
      <xdr:col>16</xdr:col>
      <xdr:colOff>88900</xdr:colOff>
      <xdr:row>120</xdr:row>
      <xdr:rowOff>63500</xdr:rowOff>
    </xdr:from>
    <xdr:to>
      <xdr:col>16</xdr:col>
      <xdr:colOff>88900</xdr:colOff>
      <xdr:row>138</xdr:row>
      <xdr:rowOff>38100</xdr:rowOff>
    </xdr:to>
    <xdr:sp macro="" textlink="">
      <xdr:nvSpPr>
        <xdr:cNvPr id="888943" name="Line 361">
          <a:extLst>
            <a:ext uri="{FF2B5EF4-FFF2-40B4-BE49-F238E27FC236}">
              <a16:creationId xmlns="" xmlns:a16="http://schemas.microsoft.com/office/drawing/2014/main" id="{00000000-0008-0000-2700-00006F900D00}"/>
            </a:ext>
          </a:extLst>
        </xdr:cNvPr>
        <xdr:cNvSpPr>
          <a:spLocks noChangeShapeType="1"/>
        </xdr:cNvSpPr>
      </xdr:nvSpPr>
      <xdr:spPr bwMode="auto">
        <a:xfrm>
          <a:off x="1917700" y="11684000"/>
          <a:ext cx="0" cy="1689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119</xdr:row>
      <xdr:rowOff>38100</xdr:rowOff>
    </xdr:from>
    <xdr:to>
      <xdr:col>17</xdr:col>
      <xdr:colOff>57150</xdr:colOff>
      <xdr:row>121</xdr:row>
      <xdr:rowOff>0</xdr:rowOff>
    </xdr:to>
    <xdr:sp macro="" textlink="">
      <xdr:nvSpPr>
        <xdr:cNvPr id="888944" name="Rectangle 362">
          <a:extLst>
            <a:ext uri="{FF2B5EF4-FFF2-40B4-BE49-F238E27FC236}">
              <a16:creationId xmlns="" xmlns:a16="http://schemas.microsoft.com/office/drawing/2014/main" id="{00000000-0008-0000-2700-000070900D00}"/>
            </a:ext>
          </a:extLst>
        </xdr:cNvPr>
        <xdr:cNvSpPr>
          <a:spLocks noChangeArrowheads="1"/>
        </xdr:cNvSpPr>
      </xdr:nvSpPr>
      <xdr:spPr bwMode="auto">
        <a:xfrm>
          <a:off x="1828800" y="11563350"/>
          <a:ext cx="171450" cy="152400"/>
        </a:xfrm>
        <a:prstGeom prst="rect">
          <a:avLst/>
        </a:prstGeom>
        <a:solidFill>
          <a:srgbClr val="FFFFFF"/>
        </a:solidFill>
        <a:ln w="9525">
          <a:solidFill>
            <a:srgbClr val="000000"/>
          </a:solidFill>
          <a:miter lim="800000"/>
          <a:headEnd/>
          <a:tailEnd/>
        </a:ln>
      </xdr:spPr>
    </xdr:sp>
    <xdr:clientData/>
  </xdr:twoCellAnchor>
  <xdr:twoCellAnchor>
    <xdr:from>
      <xdr:col>12</xdr:col>
      <xdr:colOff>19050</xdr:colOff>
      <xdr:row>114</xdr:row>
      <xdr:rowOff>38100</xdr:rowOff>
    </xdr:from>
    <xdr:to>
      <xdr:col>33</xdr:col>
      <xdr:colOff>88900</xdr:colOff>
      <xdr:row>115</xdr:row>
      <xdr:rowOff>12700</xdr:rowOff>
    </xdr:to>
    <xdr:sp macro="" textlink="">
      <xdr:nvSpPr>
        <xdr:cNvPr id="888945" name="Rectangle 337">
          <a:extLst>
            <a:ext uri="{FF2B5EF4-FFF2-40B4-BE49-F238E27FC236}">
              <a16:creationId xmlns="" xmlns:a16="http://schemas.microsoft.com/office/drawing/2014/main" id="{00000000-0008-0000-2700-000071900D00}"/>
            </a:ext>
          </a:extLst>
        </xdr:cNvPr>
        <xdr:cNvSpPr>
          <a:spLocks noChangeArrowheads="1"/>
        </xdr:cNvSpPr>
      </xdr:nvSpPr>
      <xdr:spPr bwMode="auto">
        <a:xfrm rot="20461670" flipH="1">
          <a:off x="1390650" y="11087100"/>
          <a:ext cx="2470150" cy="69850"/>
        </a:xfrm>
        <a:prstGeom prst="rect">
          <a:avLst/>
        </a:prstGeom>
        <a:solidFill>
          <a:srgbClr val="FFFFFF"/>
        </a:solidFill>
        <a:ln w="9525">
          <a:solidFill>
            <a:srgbClr val="000000"/>
          </a:solidFill>
          <a:miter lim="800000"/>
          <a:headEnd/>
          <a:tailEnd/>
        </a:ln>
      </xdr:spPr>
    </xdr:sp>
    <xdr:clientData/>
  </xdr:twoCellAnchor>
  <xdr:twoCellAnchor>
    <xdr:from>
      <xdr:col>27</xdr:col>
      <xdr:colOff>0</xdr:colOff>
      <xdr:row>112</xdr:row>
      <xdr:rowOff>63500</xdr:rowOff>
    </xdr:from>
    <xdr:to>
      <xdr:col>27</xdr:col>
      <xdr:colOff>57150</xdr:colOff>
      <xdr:row>119</xdr:row>
      <xdr:rowOff>31750</xdr:rowOff>
    </xdr:to>
    <xdr:sp macro="" textlink="">
      <xdr:nvSpPr>
        <xdr:cNvPr id="888946" name="Rectangle 338">
          <a:extLst>
            <a:ext uri="{FF2B5EF4-FFF2-40B4-BE49-F238E27FC236}">
              <a16:creationId xmlns="" xmlns:a16="http://schemas.microsoft.com/office/drawing/2014/main" id="{00000000-0008-0000-2700-000072900D00}"/>
            </a:ext>
          </a:extLst>
        </xdr:cNvPr>
        <xdr:cNvSpPr>
          <a:spLocks noChangeArrowheads="1"/>
        </xdr:cNvSpPr>
      </xdr:nvSpPr>
      <xdr:spPr bwMode="auto">
        <a:xfrm>
          <a:off x="3086100" y="10922000"/>
          <a:ext cx="57150" cy="635000"/>
        </a:xfrm>
        <a:prstGeom prst="rect">
          <a:avLst/>
        </a:prstGeom>
        <a:solidFill>
          <a:srgbClr val="FFFFFF"/>
        </a:solidFill>
        <a:ln w="9525">
          <a:solidFill>
            <a:srgbClr val="000000"/>
          </a:solidFill>
          <a:miter lim="800000"/>
          <a:headEnd/>
          <a:tailEnd/>
        </a:ln>
      </xdr:spPr>
    </xdr:sp>
    <xdr:clientData/>
  </xdr:twoCellAnchor>
  <xdr:twoCellAnchor>
    <xdr:from>
      <xdr:col>24</xdr:col>
      <xdr:colOff>38100</xdr:colOff>
      <xdr:row>114</xdr:row>
      <xdr:rowOff>12700</xdr:rowOff>
    </xdr:from>
    <xdr:to>
      <xdr:col>25</xdr:col>
      <xdr:colOff>0</xdr:colOff>
      <xdr:row>119</xdr:row>
      <xdr:rowOff>19050</xdr:rowOff>
    </xdr:to>
    <xdr:sp macro="" textlink="">
      <xdr:nvSpPr>
        <xdr:cNvPr id="888947" name="Rectangle 339">
          <a:extLst>
            <a:ext uri="{FF2B5EF4-FFF2-40B4-BE49-F238E27FC236}">
              <a16:creationId xmlns="" xmlns:a16="http://schemas.microsoft.com/office/drawing/2014/main" id="{00000000-0008-0000-2700-000073900D00}"/>
            </a:ext>
          </a:extLst>
        </xdr:cNvPr>
        <xdr:cNvSpPr>
          <a:spLocks noChangeArrowheads="1"/>
        </xdr:cNvSpPr>
      </xdr:nvSpPr>
      <xdr:spPr bwMode="auto">
        <a:xfrm flipH="1">
          <a:off x="2781300" y="11061700"/>
          <a:ext cx="76200" cy="482600"/>
        </a:xfrm>
        <a:prstGeom prst="rect">
          <a:avLst/>
        </a:prstGeom>
        <a:solidFill>
          <a:srgbClr val="FFFFFF"/>
        </a:solidFill>
        <a:ln w="9525">
          <a:solidFill>
            <a:srgbClr val="000000"/>
          </a:solidFill>
          <a:miter lim="800000"/>
          <a:headEnd/>
          <a:tailEnd/>
        </a:ln>
      </xdr:spPr>
    </xdr:sp>
    <xdr:clientData/>
  </xdr:twoCellAnchor>
  <xdr:twoCellAnchor>
    <xdr:from>
      <xdr:col>21</xdr:col>
      <xdr:colOff>38100</xdr:colOff>
      <xdr:row>115</xdr:row>
      <xdr:rowOff>19050</xdr:rowOff>
    </xdr:from>
    <xdr:to>
      <xdr:col>21</xdr:col>
      <xdr:colOff>76200</xdr:colOff>
      <xdr:row>119</xdr:row>
      <xdr:rowOff>31750</xdr:rowOff>
    </xdr:to>
    <xdr:sp macro="" textlink="">
      <xdr:nvSpPr>
        <xdr:cNvPr id="888948" name="Rectangle 340">
          <a:extLst>
            <a:ext uri="{FF2B5EF4-FFF2-40B4-BE49-F238E27FC236}">
              <a16:creationId xmlns="" xmlns:a16="http://schemas.microsoft.com/office/drawing/2014/main" id="{00000000-0008-0000-2700-000074900D00}"/>
            </a:ext>
          </a:extLst>
        </xdr:cNvPr>
        <xdr:cNvSpPr>
          <a:spLocks noChangeArrowheads="1"/>
        </xdr:cNvSpPr>
      </xdr:nvSpPr>
      <xdr:spPr bwMode="auto">
        <a:xfrm flipH="1">
          <a:off x="2438400" y="11163300"/>
          <a:ext cx="38100" cy="393700"/>
        </a:xfrm>
        <a:prstGeom prst="rect">
          <a:avLst/>
        </a:prstGeom>
        <a:solidFill>
          <a:srgbClr val="FFFFFF"/>
        </a:solidFill>
        <a:ln w="9525">
          <a:solidFill>
            <a:srgbClr val="000000"/>
          </a:solidFill>
          <a:miter lim="800000"/>
          <a:headEnd/>
          <a:tailEnd/>
        </a:ln>
      </xdr:spPr>
    </xdr:sp>
    <xdr:clientData/>
  </xdr:twoCellAnchor>
  <xdr:twoCellAnchor>
    <xdr:from>
      <xdr:col>18</xdr:col>
      <xdr:colOff>76200</xdr:colOff>
      <xdr:row>116</xdr:row>
      <xdr:rowOff>19050</xdr:rowOff>
    </xdr:from>
    <xdr:to>
      <xdr:col>19</xdr:col>
      <xdr:colOff>38100</xdr:colOff>
      <xdr:row>119</xdr:row>
      <xdr:rowOff>31750</xdr:rowOff>
    </xdr:to>
    <xdr:sp macro="" textlink="">
      <xdr:nvSpPr>
        <xdr:cNvPr id="888949" name="Rectangle 341">
          <a:extLst>
            <a:ext uri="{FF2B5EF4-FFF2-40B4-BE49-F238E27FC236}">
              <a16:creationId xmlns="" xmlns:a16="http://schemas.microsoft.com/office/drawing/2014/main" id="{00000000-0008-0000-2700-000075900D00}"/>
            </a:ext>
          </a:extLst>
        </xdr:cNvPr>
        <xdr:cNvSpPr>
          <a:spLocks noChangeArrowheads="1"/>
        </xdr:cNvSpPr>
      </xdr:nvSpPr>
      <xdr:spPr bwMode="auto">
        <a:xfrm flipH="1">
          <a:off x="2133600" y="11258550"/>
          <a:ext cx="76200" cy="298450"/>
        </a:xfrm>
        <a:prstGeom prst="rect">
          <a:avLst/>
        </a:prstGeom>
        <a:solidFill>
          <a:srgbClr val="FFFFFF"/>
        </a:solidFill>
        <a:ln w="9525">
          <a:solidFill>
            <a:srgbClr val="000000"/>
          </a:solidFill>
          <a:miter lim="800000"/>
          <a:headEnd/>
          <a:tailEnd/>
        </a:ln>
      </xdr:spPr>
    </xdr:sp>
    <xdr:clientData/>
  </xdr:twoCellAnchor>
  <xdr:twoCellAnchor>
    <xdr:from>
      <xdr:col>11</xdr:col>
      <xdr:colOff>6350</xdr:colOff>
      <xdr:row>109</xdr:row>
      <xdr:rowOff>57150</xdr:rowOff>
    </xdr:from>
    <xdr:to>
      <xdr:col>34</xdr:col>
      <xdr:colOff>19050</xdr:colOff>
      <xdr:row>119</xdr:row>
      <xdr:rowOff>31750</xdr:rowOff>
    </xdr:to>
    <xdr:sp macro="" textlink="">
      <xdr:nvSpPr>
        <xdr:cNvPr id="888950" name="Line 352">
          <a:extLst>
            <a:ext uri="{FF2B5EF4-FFF2-40B4-BE49-F238E27FC236}">
              <a16:creationId xmlns="" xmlns:a16="http://schemas.microsoft.com/office/drawing/2014/main" id="{00000000-0008-0000-2700-000076900D00}"/>
            </a:ext>
          </a:extLst>
        </xdr:cNvPr>
        <xdr:cNvSpPr>
          <a:spLocks noChangeShapeType="1"/>
        </xdr:cNvSpPr>
      </xdr:nvSpPr>
      <xdr:spPr bwMode="auto">
        <a:xfrm flipH="1">
          <a:off x="1263650" y="10629900"/>
          <a:ext cx="2641600" cy="927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76200</xdr:colOff>
      <xdr:row>112</xdr:row>
      <xdr:rowOff>38100</xdr:rowOff>
    </xdr:from>
    <xdr:to>
      <xdr:col>29</xdr:col>
      <xdr:colOff>50800</xdr:colOff>
      <xdr:row>119</xdr:row>
      <xdr:rowOff>19050</xdr:rowOff>
    </xdr:to>
    <xdr:sp macro="" textlink="">
      <xdr:nvSpPr>
        <xdr:cNvPr id="888951" name="Rectangle 364" descr="Horizontal brick">
          <a:extLst>
            <a:ext uri="{FF2B5EF4-FFF2-40B4-BE49-F238E27FC236}">
              <a16:creationId xmlns="" xmlns:a16="http://schemas.microsoft.com/office/drawing/2014/main" id="{00000000-0008-0000-2700-000077900D00}"/>
            </a:ext>
          </a:extLst>
        </xdr:cNvPr>
        <xdr:cNvSpPr>
          <a:spLocks noChangeArrowheads="1"/>
        </xdr:cNvSpPr>
      </xdr:nvSpPr>
      <xdr:spPr bwMode="auto">
        <a:xfrm>
          <a:off x="3162300" y="10896600"/>
          <a:ext cx="203200" cy="6477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25</xdr:col>
      <xdr:colOff>19050</xdr:colOff>
      <xdr:row>119</xdr:row>
      <xdr:rowOff>38100</xdr:rowOff>
    </xdr:from>
    <xdr:to>
      <xdr:col>25</xdr:col>
      <xdr:colOff>31750</xdr:colOff>
      <xdr:row>138</xdr:row>
      <xdr:rowOff>38100</xdr:rowOff>
    </xdr:to>
    <xdr:sp macro="" textlink="">
      <xdr:nvSpPr>
        <xdr:cNvPr id="888952" name="Line 365">
          <a:extLst>
            <a:ext uri="{FF2B5EF4-FFF2-40B4-BE49-F238E27FC236}">
              <a16:creationId xmlns="" xmlns:a16="http://schemas.microsoft.com/office/drawing/2014/main" id="{00000000-0008-0000-2700-000078900D00}"/>
            </a:ext>
          </a:extLst>
        </xdr:cNvPr>
        <xdr:cNvSpPr>
          <a:spLocks noChangeShapeType="1"/>
        </xdr:cNvSpPr>
      </xdr:nvSpPr>
      <xdr:spPr bwMode="auto">
        <a:xfrm flipH="1">
          <a:off x="2876550" y="11563350"/>
          <a:ext cx="12700" cy="18097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6350</xdr:colOff>
      <xdr:row>110</xdr:row>
      <xdr:rowOff>0</xdr:rowOff>
    </xdr:from>
    <xdr:to>
      <xdr:col>10</xdr:col>
      <xdr:colOff>6350</xdr:colOff>
      <xdr:row>118</xdr:row>
      <xdr:rowOff>57150</xdr:rowOff>
    </xdr:to>
    <xdr:sp macro="" textlink="">
      <xdr:nvSpPr>
        <xdr:cNvPr id="888953" name="Line 367">
          <a:extLst>
            <a:ext uri="{FF2B5EF4-FFF2-40B4-BE49-F238E27FC236}">
              <a16:creationId xmlns="" xmlns:a16="http://schemas.microsoft.com/office/drawing/2014/main" id="{00000000-0008-0000-2700-000079900D00}"/>
            </a:ext>
          </a:extLst>
        </xdr:cNvPr>
        <xdr:cNvSpPr>
          <a:spLocks noChangeShapeType="1"/>
        </xdr:cNvSpPr>
      </xdr:nvSpPr>
      <xdr:spPr bwMode="auto">
        <a:xfrm>
          <a:off x="1149350" y="10668000"/>
          <a:ext cx="0" cy="8191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oneCellAnchor>
    <xdr:from>
      <xdr:col>8</xdr:col>
      <xdr:colOff>38735</xdr:colOff>
      <xdr:row>113</xdr:row>
      <xdr:rowOff>46355</xdr:rowOff>
    </xdr:from>
    <xdr:ext cx="161070" cy="189511"/>
    <xdr:sp macro="" textlink="">
      <xdr:nvSpPr>
        <xdr:cNvPr id="34" name="Text Box 370">
          <a:extLst>
            <a:ext uri="{FF2B5EF4-FFF2-40B4-BE49-F238E27FC236}">
              <a16:creationId xmlns="" xmlns:a16="http://schemas.microsoft.com/office/drawing/2014/main" id="{00000000-0008-0000-2700-000022000000}"/>
            </a:ext>
          </a:extLst>
        </xdr:cNvPr>
        <xdr:cNvSpPr txBox="1">
          <a:spLocks noChangeArrowheads="1"/>
        </xdr:cNvSpPr>
      </xdr:nvSpPr>
      <xdr:spPr bwMode="auto">
        <a:xfrm>
          <a:off x="953135" y="11000105"/>
          <a:ext cx="161070"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fr-FR" sz="1000" b="1" i="0" strike="noStrike">
              <a:solidFill>
                <a:srgbClr val="000000"/>
              </a:solidFill>
              <a:latin typeface="Arial"/>
              <a:cs typeface="Arial"/>
            </a:rPr>
            <a:t>40</a:t>
          </a:r>
        </a:p>
      </xdr:txBody>
    </xdr:sp>
    <xdr:clientData/>
  </xdr:oneCellAnchor>
  <xdr:twoCellAnchor>
    <xdr:from>
      <xdr:col>31</xdr:col>
      <xdr:colOff>63500</xdr:colOff>
      <xdr:row>138</xdr:row>
      <xdr:rowOff>31750</xdr:rowOff>
    </xdr:from>
    <xdr:to>
      <xdr:col>35</xdr:col>
      <xdr:colOff>0</xdr:colOff>
      <xdr:row>139</xdr:row>
      <xdr:rowOff>57150</xdr:rowOff>
    </xdr:to>
    <xdr:sp macro="" textlink="">
      <xdr:nvSpPr>
        <xdr:cNvPr id="888955" name="Rectangle 379">
          <a:extLst>
            <a:ext uri="{FF2B5EF4-FFF2-40B4-BE49-F238E27FC236}">
              <a16:creationId xmlns="" xmlns:a16="http://schemas.microsoft.com/office/drawing/2014/main" id="{00000000-0008-0000-2700-00007B900D00}"/>
            </a:ext>
          </a:extLst>
        </xdr:cNvPr>
        <xdr:cNvSpPr>
          <a:spLocks noChangeArrowheads="1"/>
        </xdr:cNvSpPr>
      </xdr:nvSpPr>
      <xdr:spPr bwMode="auto">
        <a:xfrm>
          <a:off x="3606800" y="13366750"/>
          <a:ext cx="393700" cy="120650"/>
        </a:xfrm>
        <a:prstGeom prst="rect">
          <a:avLst/>
        </a:prstGeom>
        <a:solidFill>
          <a:srgbClr val="FFFFFF"/>
        </a:solidFill>
        <a:ln w="9525">
          <a:solidFill>
            <a:srgbClr val="000000"/>
          </a:solidFill>
          <a:miter lim="800000"/>
          <a:headEnd/>
          <a:tailEnd/>
        </a:ln>
      </xdr:spPr>
    </xdr:sp>
    <xdr:clientData/>
  </xdr:twoCellAnchor>
  <xdr:twoCellAnchor>
    <xdr:from>
      <xdr:col>21</xdr:col>
      <xdr:colOff>0</xdr:colOff>
      <xdr:row>138</xdr:row>
      <xdr:rowOff>38100</xdr:rowOff>
    </xdr:from>
    <xdr:to>
      <xdr:col>24</xdr:col>
      <xdr:colOff>0</xdr:colOff>
      <xdr:row>139</xdr:row>
      <xdr:rowOff>63500</xdr:rowOff>
    </xdr:to>
    <xdr:sp macro="" textlink="">
      <xdr:nvSpPr>
        <xdr:cNvPr id="888956" name="Rectangle 380">
          <a:extLst>
            <a:ext uri="{FF2B5EF4-FFF2-40B4-BE49-F238E27FC236}">
              <a16:creationId xmlns="" xmlns:a16="http://schemas.microsoft.com/office/drawing/2014/main" id="{00000000-0008-0000-2700-00007C900D00}"/>
            </a:ext>
          </a:extLst>
        </xdr:cNvPr>
        <xdr:cNvSpPr>
          <a:spLocks noChangeArrowheads="1"/>
        </xdr:cNvSpPr>
      </xdr:nvSpPr>
      <xdr:spPr bwMode="auto">
        <a:xfrm>
          <a:off x="2400300" y="13373100"/>
          <a:ext cx="342900" cy="120650"/>
        </a:xfrm>
        <a:prstGeom prst="rect">
          <a:avLst/>
        </a:prstGeom>
        <a:solidFill>
          <a:srgbClr val="FFFFFF"/>
        </a:solidFill>
        <a:ln w="9525">
          <a:solidFill>
            <a:srgbClr val="000000"/>
          </a:solidFill>
          <a:miter lim="800000"/>
          <a:headEnd/>
          <a:tailEnd/>
        </a:ln>
      </xdr:spPr>
    </xdr:sp>
    <xdr:clientData/>
  </xdr:twoCellAnchor>
  <xdr:twoCellAnchor>
    <xdr:from>
      <xdr:col>19</xdr:col>
      <xdr:colOff>57150</xdr:colOff>
      <xdr:row>120</xdr:row>
      <xdr:rowOff>57150</xdr:rowOff>
    </xdr:from>
    <xdr:to>
      <xdr:col>19</xdr:col>
      <xdr:colOff>57150</xdr:colOff>
      <xdr:row>138</xdr:row>
      <xdr:rowOff>19050</xdr:rowOff>
    </xdr:to>
    <xdr:sp macro="" textlink="">
      <xdr:nvSpPr>
        <xdr:cNvPr id="888957" name="Line 381">
          <a:extLst>
            <a:ext uri="{FF2B5EF4-FFF2-40B4-BE49-F238E27FC236}">
              <a16:creationId xmlns="" xmlns:a16="http://schemas.microsoft.com/office/drawing/2014/main" id="{00000000-0008-0000-2700-00007D900D00}"/>
            </a:ext>
          </a:extLst>
        </xdr:cNvPr>
        <xdr:cNvSpPr>
          <a:spLocks noChangeShapeType="1"/>
        </xdr:cNvSpPr>
      </xdr:nvSpPr>
      <xdr:spPr bwMode="auto">
        <a:xfrm>
          <a:off x="2228850" y="11677650"/>
          <a:ext cx="0" cy="16764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76200</xdr:colOff>
      <xdr:row>125</xdr:row>
      <xdr:rowOff>57150</xdr:rowOff>
    </xdr:from>
    <xdr:to>
      <xdr:col>15</xdr:col>
      <xdr:colOff>88900</xdr:colOff>
      <xdr:row>128</xdr:row>
      <xdr:rowOff>0</xdr:rowOff>
    </xdr:to>
    <xdr:sp macro="" textlink="">
      <xdr:nvSpPr>
        <xdr:cNvPr id="888958" name="Line 384">
          <a:extLst>
            <a:ext uri="{FF2B5EF4-FFF2-40B4-BE49-F238E27FC236}">
              <a16:creationId xmlns="" xmlns:a16="http://schemas.microsoft.com/office/drawing/2014/main" id="{00000000-0008-0000-2700-00007E900D00}"/>
            </a:ext>
          </a:extLst>
        </xdr:cNvPr>
        <xdr:cNvSpPr>
          <a:spLocks noChangeShapeType="1"/>
        </xdr:cNvSpPr>
      </xdr:nvSpPr>
      <xdr:spPr bwMode="auto">
        <a:xfrm>
          <a:off x="990600" y="12153900"/>
          <a:ext cx="812800"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123</xdr:row>
      <xdr:rowOff>12700</xdr:rowOff>
    </xdr:from>
    <xdr:to>
      <xdr:col>11</xdr:col>
      <xdr:colOff>725</xdr:colOff>
      <xdr:row>127</xdr:row>
      <xdr:rowOff>12700</xdr:rowOff>
    </xdr:to>
    <xdr:sp macro="" textlink="">
      <xdr:nvSpPr>
        <xdr:cNvPr id="39" name="Text Box 385">
          <a:extLst>
            <a:ext uri="{FF2B5EF4-FFF2-40B4-BE49-F238E27FC236}">
              <a16:creationId xmlns="" xmlns:a16="http://schemas.microsoft.com/office/drawing/2014/main" id="{00000000-0008-0000-2700-000027000000}"/>
            </a:ext>
          </a:extLst>
        </xdr:cNvPr>
        <xdr:cNvSpPr txBox="1">
          <a:spLocks noChangeArrowheads="1"/>
        </xdr:cNvSpPr>
      </xdr:nvSpPr>
      <xdr:spPr bwMode="auto">
        <a:xfrm>
          <a:off x="571500" y="11934825"/>
          <a:ext cx="809625" cy="3810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porte en bois mulingati</a:t>
          </a:r>
        </a:p>
      </xdr:txBody>
    </xdr:sp>
    <xdr:clientData/>
  </xdr:twoCellAnchor>
  <xdr:twoCellAnchor>
    <xdr:from>
      <xdr:col>32</xdr:col>
      <xdr:colOff>50800</xdr:colOff>
      <xdr:row>131</xdr:row>
      <xdr:rowOff>38100</xdr:rowOff>
    </xdr:from>
    <xdr:to>
      <xdr:col>42</xdr:col>
      <xdr:colOff>0</xdr:colOff>
      <xdr:row>138</xdr:row>
      <xdr:rowOff>19050</xdr:rowOff>
    </xdr:to>
    <xdr:sp macro="" textlink="">
      <xdr:nvSpPr>
        <xdr:cNvPr id="888960" name="Line 386">
          <a:extLst>
            <a:ext uri="{FF2B5EF4-FFF2-40B4-BE49-F238E27FC236}">
              <a16:creationId xmlns="" xmlns:a16="http://schemas.microsoft.com/office/drawing/2014/main" id="{00000000-0008-0000-2700-000080900D00}"/>
            </a:ext>
          </a:extLst>
        </xdr:cNvPr>
        <xdr:cNvSpPr>
          <a:spLocks noChangeShapeType="1"/>
        </xdr:cNvSpPr>
      </xdr:nvSpPr>
      <xdr:spPr bwMode="auto">
        <a:xfrm rot="10800000" flipV="1">
          <a:off x="3708400" y="12706350"/>
          <a:ext cx="1092200" cy="6477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38</xdr:col>
      <xdr:colOff>57150</xdr:colOff>
      <xdr:row>131</xdr:row>
      <xdr:rowOff>57150</xdr:rowOff>
    </xdr:from>
    <xdr:to>
      <xdr:col>41</xdr:col>
      <xdr:colOff>88900</xdr:colOff>
      <xdr:row>138</xdr:row>
      <xdr:rowOff>19050</xdr:rowOff>
    </xdr:to>
    <xdr:sp macro="" textlink="">
      <xdr:nvSpPr>
        <xdr:cNvPr id="888961" name="Line 387">
          <a:extLst>
            <a:ext uri="{FF2B5EF4-FFF2-40B4-BE49-F238E27FC236}">
              <a16:creationId xmlns="" xmlns:a16="http://schemas.microsoft.com/office/drawing/2014/main" id="{00000000-0008-0000-2700-000081900D00}"/>
            </a:ext>
          </a:extLst>
        </xdr:cNvPr>
        <xdr:cNvSpPr>
          <a:spLocks noChangeShapeType="1"/>
        </xdr:cNvSpPr>
      </xdr:nvSpPr>
      <xdr:spPr bwMode="auto">
        <a:xfrm flipH="1">
          <a:off x="4400550" y="12725400"/>
          <a:ext cx="374650" cy="628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41</xdr:col>
      <xdr:colOff>95249</xdr:colOff>
      <xdr:row>130</xdr:row>
      <xdr:rowOff>12700</xdr:rowOff>
    </xdr:from>
    <xdr:to>
      <xdr:col>58</xdr:col>
      <xdr:colOff>57889</xdr:colOff>
      <xdr:row>133</xdr:row>
      <xdr:rowOff>61855</xdr:rowOff>
    </xdr:to>
    <xdr:sp macro="" textlink="">
      <xdr:nvSpPr>
        <xdr:cNvPr id="42" name="Text Box 388">
          <a:extLst>
            <a:ext uri="{FF2B5EF4-FFF2-40B4-BE49-F238E27FC236}">
              <a16:creationId xmlns="" xmlns:a16="http://schemas.microsoft.com/office/drawing/2014/main" id="{00000000-0008-0000-2700-00002A000000}"/>
            </a:ext>
          </a:extLst>
        </xdr:cNvPr>
        <xdr:cNvSpPr txBox="1">
          <a:spLocks noChangeArrowheads="1"/>
        </xdr:cNvSpPr>
      </xdr:nvSpPr>
      <xdr:spPr bwMode="auto">
        <a:xfrm>
          <a:off x="4914899" y="12601575"/>
          <a:ext cx="1876425" cy="3429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dalle amovible armée</a:t>
          </a:r>
          <a:r>
            <a:rPr lang="fr-FR" sz="1000" b="0" i="0" strike="noStrike" baseline="0">
              <a:solidFill>
                <a:srgbClr val="000000"/>
              </a:solidFill>
              <a:latin typeface="Arial"/>
              <a:cs typeface="Arial"/>
            </a:rPr>
            <a:t> avec des </a:t>
          </a:r>
          <a:r>
            <a:rPr lang="az-Cyrl-AZ" sz="1000" b="0" i="0" baseline="0">
              <a:latin typeface="+mn-lt"/>
              <a:ea typeface="+mn-ea"/>
              <a:cs typeface="+mn-cs"/>
            </a:rPr>
            <a:t>ф</a:t>
          </a:r>
          <a:r>
            <a:rPr lang="fr-FR" sz="1000" b="0" i="0" baseline="0">
              <a:latin typeface="+mn-lt"/>
              <a:ea typeface="+mn-ea"/>
              <a:cs typeface="+mn-cs"/>
            </a:rPr>
            <a:t> 8mm</a:t>
          </a:r>
          <a:r>
            <a:rPr lang="fr-FR" sz="1000" b="0" i="0" strike="noStrike">
              <a:solidFill>
                <a:srgbClr val="000000"/>
              </a:solidFill>
              <a:latin typeface="Arial"/>
              <a:cs typeface="Arial"/>
            </a:rPr>
            <a:t> avec</a:t>
          </a:r>
          <a:r>
            <a:rPr lang="fr-FR" sz="1000" b="0" i="0" strike="noStrike" baseline="0">
              <a:solidFill>
                <a:srgbClr val="000000"/>
              </a:solidFill>
              <a:latin typeface="Arial"/>
              <a:cs typeface="Arial"/>
            </a:rPr>
            <a:t> 2crochets </a:t>
          </a:r>
          <a:endParaRPr lang="fr-FR" sz="1000" b="0" i="0" strike="noStrike">
            <a:solidFill>
              <a:srgbClr val="000000"/>
            </a:solidFill>
            <a:latin typeface="Arial"/>
            <a:cs typeface="Arial"/>
          </a:endParaRPr>
        </a:p>
      </xdr:txBody>
    </xdr:sp>
    <xdr:clientData/>
  </xdr:twoCellAnchor>
  <xdr:twoCellAnchor>
    <xdr:from>
      <xdr:col>27</xdr:col>
      <xdr:colOff>76200</xdr:colOff>
      <xdr:row>119</xdr:row>
      <xdr:rowOff>19050</xdr:rowOff>
    </xdr:from>
    <xdr:to>
      <xdr:col>29</xdr:col>
      <xdr:colOff>38100</xdr:colOff>
      <xdr:row>120</xdr:row>
      <xdr:rowOff>57150</xdr:rowOff>
    </xdr:to>
    <xdr:sp macro="" textlink="">
      <xdr:nvSpPr>
        <xdr:cNvPr id="888963" name="Rectangle 389">
          <a:extLst>
            <a:ext uri="{FF2B5EF4-FFF2-40B4-BE49-F238E27FC236}">
              <a16:creationId xmlns="" xmlns:a16="http://schemas.microsoft.com/office/drawing/2014/main" id="{00000000-0008-0000-2700-000083900D00}"/>
            </a:ext>
          </a:extLst>
        </xdr:cNvPr>
        <xdr:cNvSpPr>
          <a:spLocks noChangeArrowheads="1"/>
        </xdr:cNvSpPr>
      </xdr:nvSpPr>
      <xdr:spPr bwMode="auto">
        <a:xfrm>
          <a:off x="3162300" y="11544300"/>
          <a:ext cx="190500" cy="133350"/>
        </a:xfrm>
        <a:prstGeom prst="rect">
          <a:avLst/>
        </a:prstGeom>
        <a:solidFill>
          <a:srgbClr val="FFFFFF"/>
        </a:solidFill>
        <a:ln w="9525">
          <a:solidFill>
            <a:srgbClr val="000000"/>
          </a:solidFill>
          <a:miter lim="800000"/>
          <a:headEnd/>
          <a:tailEnd/>
        </a:ln>
      </xdr:spPr>
    </xdr:sp>
    <xdr:clientData/>
  </xdr:twoCellAnchor>
  <xdr:twoCellAnchor>
    <xdr:from>
      <xdr:col>27</xdr:col>
      <xdr:colOff>76200</xdr:colOff>
      <xdr:row>121</xdr:row>
      <xdr:rowOff>0</xdr:rowOff>
    </xdr:from>
    <xdr:to>
      <xdr:col>29</xdr:col>
      <xdr:colOff>38100</xdr:colOff>
      <xdr:row>138</xdr:row>
      <xdr:rowOff>19050</xdr:rowOff>
    </xdr:to>
    <xdr:sp macro="" textlink="">
      <xdr:nvSpPr>
        <xdr:cNvPr id="888964" name="Rectangle 390" descr="Horizontal brick">
          <a:extLst>
            <a:ext uri="{FF2B5EF4-FFF2-40B4-BE49-F238E27FC236}">
              <a16:creationId xmlns="" xmlns:a16="http://schemas.microsoft.com/office/drawing/2014/main" id="{00000000-0008-0000-2700-000084900D00}"/>
            </a:ext>
          </a:extLst>
        </xdr:cNvPr>
        <xdr:cNvSpPr>
          <a:spLocks noChangeArrowheads="1"/>
        </xdr:cNvSpPr>
      </xdr:nvSpPr>
      <xdr:spPr bwMode="auto">
        <a:xfrm flipH="1">
          <a:off x="3162300" y="11715750"/>
          <a:ext cx="190500" cy="16383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31</xdr:col>
      <xdr:colOff>6350</xdr:colOff>
      <xdr:row>113</xdr:row>
      <xdr:rowOff>0</xdr:rowOff>
    </xdr:from>
    <xdr:to>
      <xdr:col>37</xdr:col>
      <xdr:colOff>0</xdr:colOff>
      <xdr:row>113</xdr:row>
      <xdr:rowOff>12700</xdr:rowOff>
    </xdr:to>
    <xdr:sp macro="" textlink="">
      <xdr:nvSpPr>
        <xdr:cNvPr id="888965" name="Line 391">
          <a:extLst>
            <a:ext uri="{FF2B5EF4-FFF2-40B4-BE49-F238E27FC236}">
              <a16:creationId xmlns="" xmlns:a16="http://schemas.microsoft.com/office/drawing/2014/main" id="{00000000-0008-0000-2700-000085900D00}"/>
            </a:ext>
          </a:extLst>
        </xdr:cNvPr>
        <xdr:cNvSpPr>
          <a:spLocks noChangeShapeType="1"/>
        </xdr:cNvSpPr>
      </xdr:nvSpPr>
      <xdr:spPr bwMode="auto">
        <a:xfrm rot="10701805">
          <a:off x="3549650" y="10953750"/>
          <a:ext cx="679450" cy="127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37</xdr:col>
      <xdr:colOff>47625</xdr:colOff>
      <xdr:row>110</xdr:row>
      <xdr:rowOff>60960</xdr:rowOff>
    </xdr:from>
    <xdr:to>
      <xdr:col>43</xdr:col>
      <xdr:colOff>94881</xdr:colOff>
      <xdr:row>114</xdr:row>
      <xdr:rowOff>2563</xdr:rowOff>
    </xdr:to>
    <xdr:sp macro="" textlink="">
      <xdr:nvSpPr>
        <xdr:cNvPr id="46" name="Text Box 393">
          <a:extLst>
            <a:ext uri="{FF2B5EF4-FFF2-40B4-BE49-F238E27FC236}">
              <a16:creationId xmlns="" xmlns:a16="http://schemas.microsoft.com/office/drawing/2014/main" id="{00000000-0008-0000-2700-00002E000000}"/>
            </a:ext>
          </a:extLst>
        </xdr:cNvPr>
        <xdr:cNvSpPr txBox="1">
          <a:spLocks noChangeArrowheads="1"/>
        </xdr:cNvSpPr>
      </xdr:nvSpPr>
      <xdr:spPr bwMode="auto">
        <a:xfrm>
          <a:off x="4410075" y="10706100"/>
          <a:ext cx="733425" cy="3714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tuyau PVC 160</a:t>
          </a:r>
        </a:p>
      </xdr:txBody>
    </xdr:sp>
    <xdr:clientData/>
  </xdr:twoCellAnchor>
  <xdr:twoCellAnchor>
    <xdr:from>
      <xdr:col>24</xdr:col>
      <xdr:colOff>50800</xdr:colOff>
      <xdr:row>115</xdr:row>
      <xdr:rowOff>57150</xdr:rowOff>
    </xdr:from>
    <xdr:to>
      <xdr:col>41</xdr:col>
      <xdr:colOff>38100</xdr:colOff>
      <xdr:row>119</xdr:row>
      <xdr:rowOff>38100</xdr:rowOff>
    </xdr:to>
    <xdr:sp macro="" textlink="">
      <xdr:nvSpPr>
        <xdr:cNvPr id="888967" name="Line 394">
          <a:extLst>
            <a:ext uri="{FF2B5EF4-FFF2-40B4-BE49-F238E27FC236}">
              <a16:creationId xmlns="" xmlns:a16="http://schemas.microsoft.com/office/drawing/2014/main" id="{00000000-0008-0000-2700-000087900D00}"/>
            </a:ext>
          </a:extLst>
        </xdr:cNvPr>
        <xdr:cNvSpPr>
          <a:spLocks noChangeShapeType="1"/>
        </xdr:cNvSpPr>
      </xdr:nvSpPr>
      <xdr:spPr bwMode="auto">
        <a:xfrm rot="10701805">
          <a:off x="2794000" y="11201400"/>
          <a:ext cx="1930400" cy="3619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41</xdr:col>
      <xdr:colOff>0</xdr:colOff>
      <xdr:row>117</xdr:row>
      <xdr:rowOff>28575</xdr:rowOff>
    </xdr:from>
    <xdr:to>
      <xdr:col>52</xdr:col>
      <xdr:colOff>0</xdr:colOff>
      <xdr:row>120</xdr:row>
      <xdr:rowOff>91431</xdr:rowOff>
    </xdr:to>
    <xdr:sp macro="" textlink="">
      <xdr:nvSpPr>
        <xdr:cNvPr id="48" name="Text Box 395">
          <a:extLst>
            <a:ext uri="{FF2B5EF4-FFF2-40B4-BE49-F238E27FC236}">
              <a16:creationId xmlns="" xmlns:a16="http://schemas.microsoft.com/office/drawing/2014/main" id="{00000000-0008-0000-2700-000030000000}"/>
            </a:ext>
          </a:extLst>
        </xdr:cNvPr>
        <xdr:cNvSpPr txBox="1">
          <a:spLocks noChangeArrowheads="1"/>
        </xdr:cNvSpPr>
      </xdr:nvSpPr>
      <xdr:spPr bwMode="auto">
        <a:xfrm>
          <a:off x="4800600" y="11353800"/>
          <a:ext cx="1257300" cy="3619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charpente en bois linzo 7cmx7cm</a:t>
          </a:r>
        </a:p>
      </xdr:txBody>
    </xdr:sp>
    <xdr:clientData/>
  </xdr:twoCellAnchor>
  <xdr:twoCellAnchor>
    <xdr:from>
      <xdr:col>29</xdr:col>
      <xdr:colOff>19050</xdr:colOff>
      <xdr:row>120</xdr:row>
      <xdr:rowOff>0</xdr:rowOff>
    </xdr:from>
    <xdr:to>
      <xdr:col>43</xdr:col>
      <xdr:colOff>0</xdr:colOff>
      <xdr:row>123</xdr:row>
      <xdr:rowOff>19050</xdr:rowOff>
    </xdr:to>
    <xdr:sp macro="" textlink="">
      <xdr:nvSpPr>
        <xdr:cNvPr id="888969" name="Line 396">
          <a:extLst>
            <a:ext uri="{FF2B5EF4-FFF2-40B4-BE49-F238E27FC236}">
              <a16:creationId xmlns="" xmlns:a16="http://schemas.microsoft.com/office/drawing/2014/main" id="{00000000-0008-0000-2700-000089900D00}"/>
            </a:ext>
          </a:extLst>
        </xdr:cNvPr>
        <xdr:cNvSpPr>
          <a:spLocks noChangeShapeType="1"/>
        </xdr:cNvSpPr>
      </xdr:nvSpPr>
      <xdr:spPr bwMode="auto">
        <a:xfrm rot="10800000">
          <a:off x="3333750" y="11620500"/>
          <a:ext cx="1581150" cy="3048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43</xdr:col>
      <xdr:colOff>0</xdr:colOff>
      <xdr:row>123</xdr:row>
      <xdr:rowOff>0</xdr:rowOff>
    </xdr:from>
    <xdr:to>
      <xdr:col>54</xdr:col>
      <xdr:colOff>0</xdr:colOff>
      <xdr:row>128</xdr:row>
      <xdr:rowOff>0</xdr:rowOff>
    </xdr:to>
    <xdr:sp macro="" textlink="">
      <xdr:nvSpPr>
        <xdr:cNvPr id="50" name="Text Box 397">
          <a:extLst>
            <a:ext uri="{FF2B5EF4-FFF2-40B4-BE49-F238E27FC236}">
              <a16:creationId xmlns="" xmlns:a16="http://schemas.microsoft.com/office/drawing/2014/main" id="{00000000-0008-0000-2700-000032000000}"/>
            </a:ext>
          </a:extLst>
        </xdr:cNvPr>
        <xdr:cNvSpPr txBox="1">
          <a:spLocks noChangeArrowheads="1"/>
        </xdr:cNvSpPr>
      </xdr:nvSpPr>
      <xdr:spPr bwMode="auto">
        <a:xfrm>
          <a:off x="5029200" y="11906250"/>
          <a:ext cx="1257300" cy="4762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Chainage en beton arme 350kg/m3 avec Fb 8mm HA</a:t>
          </a:r>
        </a:p>
      </xdr:txBody>
    </xdr:sp>
    <xdr:clientData/>
  </xdr:twoCellAnchor>
  <xdr:twoCellAnchor>
    <xdr:from>
      <xdr:col>42</xdr:col>
      <xdr:colOff>57150</xdr:colOff>
      <xdr:row>137</xdr:row>
      <xdr:rowOff>19050</xdr:rowOff>
    </xdr:from>
    <xdr:to>
      <xdr:col>49</xdr:col>
      <xdr:colOff>57150</xdr:colOff>
      <xdr:row>139</xdr:row>
      <xdr:rowOff>50800</xdr:rowOff>
    </xdr:to>
    <xdr:sp macro="" textlink="">
      <xdr:nvSpPr>
        <xdr:cNvPr id="888971" name="Line 398">
          <a:extLst>
            <a:ext uri="{FF2B5EF4-FFF2-40B4-BE49-F238E27FC236}">
              <a16:creationId xmlns="" xmlns:a16="http://schemas.microsoft.com/office/drawing/2014/main" id="{00000000-0008-0000-2700-00008B900D00}"/>
            </a:ext>
          </a:extLst>
        </xdr:cNvPr>
        <xdr:cNvSpPr>
          <a:spLocks noChangeShapeType="1"/>
        </xdr:cNvSpPr>
      </xdr:nvSpPr>
      <xdr:spPr bwMode="auto">
        <a:xfrm rot="10971210" flipV="1">
          <a:off x="4857750" y="13258800"/>
          <a:ext cx="800100" cy="2222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48</xdr:col>
      <xdr:colOff>57784</xdr:colOff>
      <xdr:row>137</xdr:row>
      <xdr:rowOff>0</xdr:rowOff>
    </xdr:from>
    <xdr:to>
      <xdr:col>60</xdr:col>
      <xdr:colOff>114295</xdr:colOff>
      <xdr:row>142</xdr:row>
      <xdr:rowOff>0</xdr:rowOff>
    </xdr:to>
    <xdr:sp macro="" textlink="">
      <xdr:nvSpPr>
        <xdr:cNvPr id="52" name="Text Box 399">
          <a:extLst>
            <a:ext uri="{FF2B5EF4-FFF2-40B4-BE49-F238E27FC236}">
              <a16:creationId xmlns="" xmlns:a16="http://schemas.microsoft.com/office/drawing/2014/main" id="{00000000-0008-0000-2700-000034000000}"/>
            </a:ext>
          </a:extLst>
        </xdr:cNvPr>
        <xdr:cNvSpPr txBox="1">
          <a:spLocks noChangeArrowheads="1"/>
        </xdr:cNvSpPr>
      </xdr:nvSpPr>
      <xdr:spPr bwMode="auto">
        <a:xfrm>
          <a:off x="5667374" y="13239750"/>
          <a:ext cx="1419225" cy="4762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drainage en brique cuite au</a:t>
          </a:r>
          <a:r>
            <a:rPr lang="fr-FR" sz="1000" b="0" i="0" strike="noStrike" baseline="0">
              <a:solidFill>
                <a:srgbClr val="000000"/>
              </a:solidFill>
              <a:latin typeface="Arial"/>
              <a:cs typeface="Arial"/>
            </a:rPr>
            <a:t> MC</a:t>
          </a:r>
          <a:r>
            <a:rPr lang="fr-FR" sz="1000" b="0" i="0" strike="noStrike">
              <a:solidFill>
                <a:srgbClr val="000000"/>
              </a:solidFill>
              <a:latin typeface="Arial"/>
              <a:cs typeface="Arial"/>
            </a:rPr>
            <a:t> 300kg/m3 </a:t>
          </a:r>
        </a:p>
      </xdr:txBody>
    </xdr:sp>
    <xdr:clientData/>
  </xdr:twoCellAnchor>
  <xdr:twoCellAnchor>
    <xdr:from>
      <xdr:col>37</xdr:col>
      <xdr:colOff>0</xdr:colOff>
      <xdr:row>155</xdr:row>
      <xdr:rowOff>31750</xdr:rowOff>
    </xdr:from>
    <xdr:to>
      <xdr:col>39</xdr:col>
      <xdr:colOff>19050</xdr:colOff>
      <xdr:row>156</xdr:row>
      <xdr:rowOff>31750</xdr:rowOff>
    </xdr:to>
    <xdr:sp macro="" textlink="">
      <xdr:nvSpPr>
        <xdr:cNvPr id="888973" name="Rectangle 401">
          <a:extLst>
            <a:ext uri="{FF2B5EF4-FFF2-40B4-BE49-F238E27FC236}">
              <a16:creationId xmlns="" xmlns:a16="http://schemas.microsoft.com/office/drawing/2014/main" id="{00000000-0008-0000-2700-00008D900D00}"/>
            </a:ext>
          </a:extLst>
        </xdr:cNvPr>
        <xdr:cNvSpPr>
          <a:spLocks noChangeArrowheads="1"/>
        </xdr:cNvSpPr>
      </xdr:nvSpPr>
      <xdr:spPr bwMode="auto">
        <a:xfrm>
          <a:off x="4229100" y="14986000"/>
          <a:ext cx="247650" cy="95250"/>
        </a:xfrm>
        <a:prstGeom prst="rect">
          <a:avLst/>
        </a:prstGeom>
        <a:solidFill>
          <a:srgbClr val="FFFFFF"/>
        </a:solidFill>
        <a:ln w="9525">
          <a:solidFill>
            <a:srgbClr val="000000"/>
          </a:solidFill>
          <a:miter lim="800000"/>
          <a:headEnd/>
          <a:tailEnd/>
        </a:ln>
      </xdr:spPr>
    </xdr:sp>
    <xdr:clientData/>
  </xdr:twoCellAnchor>
  <xdr:twoCellAnchor>
    <xdr:from>
      <xdr:col>37</xdr:col>
      <xdr:colOff>6350</xdr:colOff>
      <xdr:row>151</xdr:row>
      <xdr:rowOff>0</xdr:rowOff>
    </xdr:from>
    <xdr:to>
      <xdr:col>39</xdr:col>
      <xdr:colOff>6350</xdr:colOff>
      <xdr:row>152</xdr:row>
      <xdr:rowOff>0</xdr:rowOff>
    </xdr:to>
    <xdr:sp macro="" textlink="">
      <xdr:nvSpPr>
        <xdr:cNvPr id="888974" name="Rectangle 402">
          <a:extLst>
            <a:ext uri="{FF2B5EF4-FFF2-40B4-BE49-F238E27FC236}">
              <a16:creationId xmlns="" xmlns:a16="http://schemas.microsoft.com/office/drawing/2014/main" id="{00000000-0008-0000-2700-00008E900D00}"/>
            </a:ext>
          </a:extLst>
        </xdr:cNvPr>
        <xdr:cNvSpPr>
          <a:spLocks noChangeArrowheads="1"/>
        </xdr:cNvSpPr>
      </xdr:nvSpPr>
      <xdr:spPr bwMode="auto">
        <a:xfrm>
          <a:off x="4235450" y="14573250"/>
          <a:ext cx="228600" cy="95250"/>
        </a:xfrm>
        <a:prstGeom prst="rect">
          <a:avLst/>
        </a:prstGeom>
        <a:solidFill>
          <a:srgbClr val="FFFFFF"/>
        </a:solidFill>
        <a:ln w="9525">
          <a:solidFill>
            <a:srgbClr val="000000"/>
          </a:solidFill>
          <a:miter lim="800000"/>
          <a:headEnd/>
          <a:tailEnd/>
        </a:ln>
      </xdr:spPr>
    </xdr:sp>
    <xdr:clientData/>
  </xdr:twoCellAnchor>
  <xdr:twoCellAnchor>
    <xdr:from>
      <xdr:col>37</xdr:col>
      <xdr:colOff>0</xdr:colOff>
      <xdr:row>146</xdr:row>
      <xdr:rowOff>0</xdr:rowOff>
    </xdr:from>
    <xdr:to>
      <xdr:col>39</xdr:col>
      <xdr:colOff>19050</xdr:colOff>
      <xdr:row>147</xdr:row>
      <xdr:rowOff>0</xdr:rowOff>
    </xdr:to>
    <xdr:sp macro="" textlink="">
      <xdr:nvSpPr>
        <xdr:cNvPr id="888975" name="Rectangle 403">
          <a:extLst>
            <a:ext uri="{FF2B5EF4-FFF2-40B4-BE49-F238E27FC236}">
              <a16:creationId xmlns="" xmlns:a16="http://schemas.microsoft.com/office/drawing/2014/main" id="{00000000-0008-0000-2700-00008F900D00}"/>
            </a:ext>
          </a:extLst>
        </xdr:cNvPr>
        <xdr:cNvSpPr>
          <a:spLocks noChangeArrowheads="1"/>
        </xdr:cNvSpPr>
      </xdr:nvSpPr>
      <xdr:spPr bwMode="auto">
        <a:xfrm>
          <a:off x="4229100" y="14097000"/>
          <a:ext cx="247650" cy="95250"/>
        </a:xfrm>
        <a:prstGeom prst="rect">
          <a:avLst/>
        </a:prstGeom>
        <a:solidFill>
          <a:srgbClr val="FFFFFF"/>
        </a:solidFill>
        <a:ln w="9525">
          <a:solidFill>
            <a:srgbClr val="000000"/>
          </a:solidFill>
          <a:miter lim="800000"/>
          <a:headEnd/>
          <a:tailEnd/>
        </a:ln>
      </xdr:spPr>
    </xdr:sp>
    <xdr:clientData/>
  </xdr:twoCellAnchor>
  <xdr:twoCellAnchor>
    <xdr:from>
      <xdr:col>15</xdr:col>
      <xdr:colOff>88900</xdr:colOff>
      <xdr:row>155</xdr:row>
      <xdr:rowOff>31750</xdr:rowOff>
    </xdr:from>
    <xdr:to>
      <xdr:col>17</xdr:col>
      <xdr:colOff>63500</xdr:colOff>
      <xdr:row>156</xdr:row>
      <xdr:rowOff>31750</xdr:rowOff>
    </xdr:to>
    <xdr:sp macro="" textlink="">
      <xdr:nvSpPr>
        <xdr:cNvPr id="888976" name="Rectangle 405">
          <a:extLst>
            <a:ext uri="{FF2B5EF4-FFF2-40B4-BE49-F238E27FC236}">
              <a16:creationId xmlns="" xmlns:a16="http://schemas.microsoft.com/office/drawing/2014/main" id="{00000000-0008-0000-2700-000090900D00}"/>
            </a:ext>
          </a:extLst>
        </xdr:cNvPr>
        <xdr:cNvSpPr>
          <a:spLocks noChangeArrowheads="1"/>
        </xdr:cNvSpPr>
      </xdr:nvSpPr>
      <xdr:spPr bwMode="auto">
        <a:xfrm>
          <a:off x="1803400" y="14986000"/>
          <a:ext cx="203200" cy="95250"/>
        </a:xfrm>
        <a:prstGeom prst="rect">
          <a:avLst/>
        </a:prstGeom>
        <a:solidFill>
          <a:srgbClr val="FFFFFF"/>
        </a:solidFill>
        <a:ln w="9525">
          <a:solidFill>
            <a:srgbClr val="000000"/>
          </a:solidFill>
          <a:miter lim="800000"/>
          <a:headEnd/>
          <a:tailEnd/>
        </a:ln>
      </xdr:spPr>
    </xdr:sp>
    <xdr:clientData/>
  </xdr:twoCellAnchor>
  <xdr:twoCellAnchor>
    <xdr:from>
      <xdr:col>16</xdr:col>
      <xdr:colOff>0</xdr:colOff>
      <xdr:row>151</xdr:row>
      <xdr:rowOff>0</xdr:rowOff>
    </xdr:from>
    <xdr:to>
      <xdr:col>17</xdr:col>
      <xdr:colOff>63500</xdr:colOff>
      <xdr:row>152</xdr:row>
      <xdr:rowOff>0</xdr:rowOff>
    </xdr:to>
    <xdr:sp macro="" textlink="">
      <xdr:nvSpPr>
        <xdr:cNvPr id="888977" name="Rectangle 406">
          <a:extLst>
            <a:ext uri="{FF2B5EF4-FFF2-40B4-BE49-F238E27FC236}">
              <a16:creationId xmlns="" xmlns:a16="http://schemas.microsoft.com/office/drawing/2014/main" id="{00000000-0008-0000-2700-000091900D00}"/>
            </a:ext>
          </a:extLst>
        </xdr:cNvPr>
        <xdr:cNvSpPr>
          <a:spLocks noChangeArrowheads="1"/>
        </xdr:cNvSpPr>
      </xdr:nvSpPr>
      <xdr:spPr bwMode="auto">
        <a:xfrm>
          <a:off x="1828800" y="14573250"/>
          <a:ext cx="177800" cy="95250"/>
        </a:xfrm>
        <a:prstGeom prst="rect">
          <a:avLst/>
        </a:prstGeom>
        <a:solidFill>
          <a:srgbClr val="FFFFFF"/>
        </a:solidFill>
        <a:ln w="9525">
          <a:solidFill>
            <a:srgbClr val="000000"/>
          </a:solidFill>
          <a:miter lim="800000"/>
          <a:headEnd/>
          <a:tailEnd/>
        </a:ln>
      </xdr:spPr>
    </xdr:sp>
    <xdr:clientData/>
  </xdr:twoCellAnchor>
  <xdr:twoCellAnchor>
    <xdr:from>
      <xdr:col>15</xdr:col>
      <xdr:colOff>88900</xdr:colOff>
      <xdr:row>146</xdr:row>
      <xdr:rowOff>0</xdr:rowOff>
    </xdr:from>
    <xdr:to>
      <xdr:col>17</xdr:col>
      <xdr:colOff>63500</xdr:colOff>
      <xdr:row>147</xdr:row>
      <xdr:rowOff>0</xdr:rowOff>
    </xdr:to>
    <xdr:sp macro="" textlink="">
      <xdr:nvSpPr>
        <xdr:cNvPr id="888978" name="Rectangle 407">
          <a:extLst>
            <a:ext uri="{FF2B5EF4-FFF2-40B4-BE49-F238E27FC236}">
              <a16:creationId xmlns="" xmlns:a16="http://schemas.microsoft.com/office/drawing/2014/main" id="{00000000-0008-0000-2700-000092900D00}"/>
            </a:ext>
          </a:extLst>
        </xdr:cNvPr>
        <xdr:cNvSpPr>
          <a:spLocks noChangeArrowheads="1"/>
        </xdr:cNvSpPr>
      </xdr:nvSpPr>
      <xdr:spPr bwMode="auto">
        <a:xfrm>
          <a:off x="1803400" y="14097000"/>
          <a:ext cx="203200" cy="95250"/>
        </a:xfrm>
        <a:prstGeom prst="rect">
          <a:avLst/>
        </a:prstGeom>
        <a:solidFill>
          <a:srgbClr val="FFFFFF"/>
        </a:solidFill>
        <a:ln w="9525">
          <a:solidFill>
            <a:srgbClr val="000000"/>
          </a:solidFill>
          <a:miter lim="800000"/>
          <a:headEnd/>
          <a:tailEnd/>
        </a:ln>
      </xdr:spPr>
    </xdr:sp>
    <xdr:clientData/>
  </xdr:twoCellAnchor>
  <xdr:twoCellAnchor>
    <xdr:from>
      <xdr:col>17</xdr:col>
      <xdr:colOff>57150</xdr:colOff>
      <xdr:row>129</xdr:row>
      <xdr:rowOff>38100</xdr:rowOff>
    </xdr:from>
    <xdr:to>
      <xdr:col>27</xdr:col>
      <xdr:colOff>88900</xdr:colOff>
      <xdr:row>129</xdr:row>
      <xdr:rowOff>38100</xdr:rowOff>
    </xdr:to>
    <xdr:sp macro="" textlink="">
      <xdr:nvSpPr>
        <xdr:cNvPr id="888979" name="Line 410">
          <a:extLst>
            <a:ext uri="{FF2B5EF4-FFF2-40B4-BE49-F238E27FC236}">
              <a16:creationId xmlns="" xmlns:a16="http://schemas.microsoft.com/office/drawing/2014/main" id="{00000000-0008-0000-2700-000093900D00}"/>
            </a:ext>
          </a:extLst>
        </xdr:cNvPr>
        <xdr:cNvSpPr>
          <a:spLocks noChangeShapeType="1"/>
        </xdr:cNvSpPr>
      </xdr:nvSpPr>
      <xdr:spPr bwMode="auto">
        <a:xfrm>
          <a:off x="2000250" y="12515850"/>
          <a:ext cx="11747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21</xdr:col>
      <xdr:colOff>94616</xdr:colOff>
      <xdr:row>127</xdr:row>
      <xdr:rowOff>57785</xdr:rowOff>
    </xdr:from>
    <xdr:to>
      <xdr:col>23</xdr:col>
      <xdr:colOff>114203</xdr:colOff>
      <xdr:row>133</xdr:row>
      <xdr:rowOff>12993</xdr:rowOff>
    </xdr:to>
    <xdr:sp macro="" textlink="">
      <xdr:nvSpPr>
        <xdr:cNvPr id="60" name="Text Box 411">
          <a:extLst>
            <a:ext uri="{FF2B5EF4-FFF2-40B4-BE49-F238E27FC236}">
              <a16:creationId xmlns="" xmlns:a16="http://schemas.microsoft.com/office/drawing/2014/main" id="{00000000-0008-0000-2700-00003C000000}"/>
            </a:ext>
          </a:extLst>
        </xdr:cNvPr>
        <xdr:cNvSpPr txBox="1">
          <a:spLocks noChangeArrowheads="1"/>
        </xdr:cNvSpPr>
      </xdr:nvSpPr>
      <xdr:spPr bwMode="auto">
        <a:xfrm flipV="1">
          <a:off x="2619376" y="12344400"/>
          <a:ext cx="238124" cy="5429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120</a:t>
          </a:r>
        </a:p>
      </xdr:txBody>
    </xdr:sp>
    <xdr:clientData/>
  </xdr:twoCellAnchor>
  <xdr:twoCellAnchor>
    <xdr:from>
      <xdr:col>18</xdr:col>
      <xdr:colOff>57150</xdr:colOff>
      <xdr:row>162</xdr:row>
      <xdr:rowOff>57150</xdr:rowOff>
    </xdr:from>
    <xdr:to>
      <xdr:col>35</xdr:col>
      <xdr:colOff>76200</xdr:colOff>
      <xdr:row>164</xdr:row>
      <xdr:rowOff>0</xdr:rowOff>
    </xdr:to>
    <xdr:sp macro="" textlink="">
      <xdr:nvSpPr>
        <xdr:cNvPr id="888981" name="Rectangle 412">
          <a:extLst>
            <a:ext uri="{FF2B5EF4-FFF2-40B4-BE49-F238E27FC236}">
              <a16:creationId xmlns="" xmlns:a16="http://schemas.microsoft.com/office/drawing/2014/main" id="{00000000-0008-0000-2700-000095900D00}"/>
            </a:ext>
          </a:extLst>
        </xdr:cNvPr>
        <xdr:cNvSpPr>
          <a:spLocks noChangeArrowheads="1"/>
        </xdr:cNvSpPr>
      </xdr:nvSpPr>
      <xdr:spPr bwMode="auto">
        <a:xfrm>
          <a:off x="2114550" y="15678150"/>
          <a:ext cx="1962150" cy="133350"/>
        </a:xfrm>
        <a:prstGeom prst="rect">
          <a:avLst/>
        </a:prstGeom>
        <a:solidFill>
          <a:srgbClr val="FFFFFF"/>
        </a:solidFill>
        <a:ln w="9525">
          <a:solidFill>
            <a:srgbClr val="000000"/>
          </a:solidFill>
          <a:miter lim="800000"/>
          <a:headEnd/>
          <a:tailEnd/>
        </a:ln>
      </xdr:spPr>
    </xdr:sp>
    <xdr:clientData/>
  </xdr:twoCellAnchor>
  <xdr:twoCellAnchor>
    <xdr:from>
      <xdr:col>15</xdr:col>
      <xdr:colOff>19050</xdr:colOff>
      <xdr:row>167</xdr:row>
      <xdr:rowOff>0</xdr:rowOff>
    </xdr:from>
    <xdr:to>
      <xdr:col>18</xdr:col>
      <xdr:colOff>63500</xdr:colOff>
      <xdr:row>167</xdr:row>
      <xdr:rowOff>0</xdr:rowOff>
    </xdr:to>
    <xdr:sp macro="" textlink="">
      <xdr:nvSpPr>
        <xdr:cNvPr id="888982" name="Line 413">
          <a:extLst>
            <a:ext uri="{FF2B5EF4-FFF2-40B4-BE49-F238E27FC236}">
              <a16:creationId xmlns="" xmlns:a16="http://schemas.microsoft.com/office/drawing/2014/main" id="{00000000-0008-0000-2700-000096900D00}"/>
            </a:ext>
          </a:extLst>
        </xdr:cNvPr>
        <xdr:cNvSpPr>
          <a:spLocks noChangeShapeType="1"/>
        </xdr:cNvSpPr>
      </xdr:nvSpPr>
      <xdr:spPr bwMode="auto">
        <a:xfrm>
          <a:off x="1733550" y="16097250"/>
          <a:ext cx="3873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35</xdr:col>
      <xdr:colOff>38100</xdr:colOff>
      <xdr:row>167</xdr:row>
      <xdr:rowOff>0</xdr:rowOff>
    </xdr:from>
    <xdr:to>
      <xdr:col>39</xdr:col>
      <xdr:colOff>57150</xdr:colOff>
      <xdr:row>167</xdr:row>
      <xdr:rowOff>0</xdr:rowOff>
    </xdr:to>
    <xdr:sp macro="" textlink="">
      <xdr:nvSpPr>
        <xdr:cNvPr id="888983" name="Line 416">
          <a:extLst>
            <a:ext uri="{FF2B5EF4-FFF2-40B4-BE49-F238E27FC236}">
              <a16:creationId xmlns="" xmlns:a16="http://schemas.microsoft.com/office/drawing/2014/main" id="{00000000-0008-0000-2700-000097900D00}"/>
            </a:ext>
          </a:extLst>
        </xdr:cNvPr>
        <xdr:cNvSpPr>
          <a:spLocks noChangeShapeType="1"/>
        </xdr:cNvSpPr>
      </xdr:nvSpPr>
      <xdr:spPr bwMode="auto">
        <a:xfrm>
          <a:off x="4038600" y="16097250"/>
          <a:ext cx="4762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15</xdr:col>
      <xdr:colOff>94618</xdr:colOff>
      <xdr:row>165</xdr:row>
      <xdr:rowOff>0</xdr:rowOff>
    </xdr:from>
    <xdr:to>
      <xdr:col>16</xdr:col>
      <xdr:colOff>114193</xdr:colOff>
      <xdr:row>169</xdr:row>
      <xdr:rowOff>10164</xdr:rowOff>
    </xdr:to>
    <xdr:sp macro="" textlink="">
      <xdr:nvSpPr>
        <xdr:cNvPr id="64" name="Text Box 417">
          <a:extLst>
            <a:ext uri="{FF2B5EF4-FFF2-40B4-BE49-F238E27FC236}">
              <a16:creationId xmlns="" xmlns:a16="http://schemas.microsoft.com/office/drawing/2014/main" id="{00000000-0008-0000-2700-000040000000}"/>
            </a:ext>
          </a:extLst>
        </xdr:cNvPr>
        <xdr:cNvSpPr txBox="1">
          <a:spLocks noChangeArrowheads="1"/>
        </xdr:cNvSpPr>
      </xdr:nvSpPr>
      <xdr:spPr bwMode="auto">
        <a:xfrm flipV="1">
          <a:off x="1933578" y="15906750"/>
          <a:ext cx="123822" cy="409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30</a:t>
          </a:r>
        </a:p>
      </xdr:txBody>
    </xdr:sp>
    <xdr:clientData/>
  </xdr:twoCellAnchor>
  <xdr:twoCellAnchor editAs="oneCell">
    <xdr:from>
      <xdr:col>36</xdr:col>
      <xdr:colOff>94616</xdr:colOff>
      <xdr:row>165</xdr:row>
      <xdr:rowOff>0</xdr:rowOff>
    </xdr:from>
    <xdr:to>
      <xdr:col>37</xdr:col>
      <xdr:colOff>114194</xdr:colOff>
      <xdr:row>169</xdr:row>
      <xdr:rowOff>10164</xdr:rowOff>
    </xdr:to>
    <xdr:sp macro="" textlink="">
      <xdr:nvSpPr>
        <xdr:cNvPr id="65" name="Text Box 419">
          <a:extLst>
            <a:ext uri="{FF2B5EF4-FFF2-40B4-BE49-F238E27FC236}">
              <a16:creationId xmlns="" xmlns:a16="http://schemas.microsoft.com/office/drawing/2014/main" id="{00000000-0008-0000-2700-000041000000}"/>
            </a:ext>
          </a:extLst>
        </xdr:cNvPr>
        <xdr:cNvSpPr txBox="1">
          <a:spLocks noChangeArrowheads="1"/>
        </xdr:cNvSpPr>
      </xdr:nvSpPr>
      <xdr:spPr bwMode="auto">
        <a:xfrm>
          <a:off x="4333876" y="15906750"/>
          <a:ext cx="123824" cy="409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30</a:t>
          </a:r>
        </a:p>
      </xdr:txBody>
    </xdr:sp>
    <xdr:clientData/>
  </xdr:twoCellAnchor>
  <xdr:twoCellAnchor>
    <xdr:from>
      <xdr:col>13</xdr:col>
      <xdr:colOff>63500</xdr:colOff>
      <xdr:row>162</xdr:row>
      <xdr:rowOff>19050</xdr:rowOff>
    </xdr:from>
    <xdr:to>
      <xdr:col>13</xdr:col>
      <xdr:colOff>63500</xdr:colOff>
      <xdr:row>165</xdr:row>
      <xdr:rowOff>38100</xdr:rowOff>
    </xdr:to>
    <xdr:sp macro="" textlink="">
      <xdr:nvSpPr>
        <xdr:cNvPr id="888986" name="Line 420">
          <a:extLst>
            <a:ext uri="{FF2B5EF4-FFF2-40B4-BE49-F238E27FC236}">
              <a16:creationId xmlns="" xmlns:a16="http://schemas.microsoft.com/office/drawing/2014/main" id="{00000000-0008-0000-2700-00009A900D00}"/>
            </a:ext>
          </a:extLst>
        </xdr:cNvPr>
        <xdr:cNvSpPr>
          <a:spLocks noChangeShapeType="1"/>
        </xdr:cNvSpPr>
      </xdr:nvSpPr>
      <xdr:spPr bwMode="auto">
        <a:xfrm>
          <a:off x="1549400" y="15640050"/>
          <a:ext cx="0" cy="3048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39</xdr:col>
      <xdr:colOff>57150</xdr:colOff>
      <xdr:row>164</xdr:row>
      <xdr:rowOff>0</xdr:rowOff>
    </xdr:from>
    <xdr:to>
      <xdr:col>48</xdr:col>
      <xdr:colOff>0</xdr:colOff>
      <xdr:row>164</xdr:row>
      <xdr:rowOff>12700</xdr:rowOff>
    </xdr:to>
    <xdr:sp macro="" textlink="">
      <xdr:nvSpPr>
        <xdr:cNvPr id="888987" name="Line 422">
          <a:extLst>
            <a:ext uri="{FF2B5EF4-FFF2-40B4-BE49-F238E27FC236}">
              <a16:creationId xmlns="" xmlns:a16="http://schemas.microsoft.com/office/drawing/2014/main" id="{00000000-0008-0000-2700-00009B900D00}"/>
            </a:ext>
          </a:extLst>
        </xdr:cNvPr>
        <xdr:cNvSpPr>
          <a:spLocks noChangeShapeType="1"/>
        </xdr:cNvSpPr>
      </xdr:nvSpPr>
      <xdr:spPr bwMode="auto">
        <a:xfrm rot="-10731254">
          <a:off x="4514850" y="15811500"/>
          <a:ext cx="971550" cy="127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43</xdr:col>
      <xdr:colOff>95249</xdr:colOff>
      <xdr:row>163</xdr:row>
      <xdr:rowOff>0</xdr:rowOff>
    </xdr:from>
    <xdr:to>
      <xdr:col>54</xdr:col>
      <xdr:colOff>722</xdr:colOff>
      <xdr:row>169</xdr:row>
      <xdr:rowOff>9636</xdr:rowOff>
    </xdr:to>
    <xdr:sp macro="" textlink="">
      <xdr:nvSpPr>
        <xdr:cNvPr id="68" name="Text Box 424">
          <a:extLst>
            <a:ext uri="{FF2B5EF4-FFF2-40B4-BE49-F238E27FC236}">
              <a16:creationId xmlns="" xmlns:a16="http://schemas.microsoft.com/office/drawing/2014/main" id="{00000000-0008-0000-2700-000044000000}"/>
            </a:ext>
          </a:extLst>
        </xdr:cNvPr>
        <xdr:cNvSpPr txBox="1">
          <a:spLocks noChangeArrowheads="1"/>
        </xdr:cNvSpPr>
      </xdr:nvSpPr>
      <xdr:spPr bwMode="auto">
        <a:xfrm>
          <a:off x="5143499" y="15716250"/>
          <a:ext cx="1152525" cy="5810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Semelle en beton 250kg/m3</a:t>
          </a:r>
          <a:r>
            <a:rPr lang="fr-FR" sz="1000" b="0" i="0" strike="noStrike" baseline="0">
              <a:solidFill>
                <a:srgbClr val="000000"/>
              </a:solidFill>
              <a:latin typeface="Arial"/>
              <a:cs typeface="Arial"/>
            </a:rPr>
            <a:t> avec coffrage en briques</a:t>
          </a:r>
          <a:endParaRPr lang="fr-FR" sz="1000" b="0" i="0" strike="noStrike">
            <a:solidFill>
              <a:srgbClr val="000000"/>
            </a:solidFill>
            <a:latin typeface="Arial"/>
            <a:cs typeface="Arial"/>
          </a:endParaRPr>
        </a:p>
      </xdr:txBody>
    </xdr:sp>
    <xdr:clientData/>
  </xdr:twoCellAnchor>
  <xdr:twoCellAnchor>
    <xdr:from>
      <xdr:col>24</xdr:col>
      <xdr:colOff>0</xdr:colOff>
      <xdr:row>138</xdr:row>
      <xdr:rowOff>19050</xdr:rowOff>
    </xdr:from>
    <xdr:to>
      <xdr:col>30</xdr:col>
      <xdr:colOff>0</xdr:colOff>
      <xdr:row>139</xdr:row>
      <xdr:rowOff>63500</xdr:rowOff>
    </xdr:to>
    <xdr:sp macro="" textlink="">
      <xdr:nvSpPr>
        <xdr:cNvPr id="888989" name="Rectangle 425" descr="Recycled paper">
          <a:extLst>
            <a:ext uri="{FF2B5EF4-FFF2-40B4-BE49-F238E27FC236}">
              <a16:creationId xmlns="" xmlns:a16="http://schemas.microsoft.com/office/drawing/2014/main" id="{00000000-0008-0000-2700-00009D900D00}"/>
            </a:ext>
          </a:extLst>
        </xdr:cNvPr>
        <xdr:cNvSpPr>
          <a:spLocks noChangeArrowheads="1"/>
        </xdr:cNvSpPr>
      </xdr:nvSpPr>
      <xdr:spPr bwMode="auto">
        <a:xfrm>
          <a:off x="2743200" y="13354050"/>
          <a:ext cx="685800" cy="13970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35</xdr:col>
      <xdr:colOff>63500</xdr:colOff>
      <xdr:row>162</xdr:row>
      <xdr:rowOff>0</xdr:rowOff>
    </xdr:from>
    <xdr:to>
      <xdr:col>39</xdr:col>
      <xdr:colOff>57150</xdr:colOff>
      <xdr:row>165</xdr:row>
      <xdr:rowOff>0</xdr:rowOff>
    </xdr:to>
    <xdr:sp macro="" textlink="">
      <xdr:nvSpPr>
        <xdr:cNvPr id="888990" name="Rectangle 426" descr="Recycled paper">
          <a:extLst>
            <a:ext uri="{FF2B5EF4-FFF2-40B4-BE49-F238E27FC236}">
              <a16:creationId xmlns="" xmlns:a16="http://schemas.microsoft.com/office/drawing/2014/main" id="{00000000-0008-0000-2700-00009E900D00}"/>
            </a:ext>
          </a:extLst>
        </xdr:cNvPr>
        <xdr:cNvSpPr>
          <a:spLocks noChangeArrowheads="1"/>
        </xdr:cNvSpPr>
      </xdr:nvSpPr>
      <xdr:spPr bwMode="auto">
        <a:xfrm>
          <a:off x="4064000" y="15621000"/>
          <a:ext cx="450850" cy="28575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15</xdr:col>
      <xdr:colOff>0</xdr:colOff>
      <xdr:row>162</xdr:row>
      <xdr:rowOff>19050</xdr:rowOff>
    </xdr:from>
    <xdr:to>
      <xdr:col>18</xdr:col>
      <xdr:colOff>76200</xdr:colOff>
      <xdr:row>165</xdr:row>
      <xdr:rowOff>0</xdr:rowOff>
    </xdr:to>
    <xdr:sp macro="" textlink="">
      <xdr:nvSpPr>
        <xdr:cNvPr id="888991" name="Rectangle 427" descr="Recycled paper">
          <a:extLst>
            <a:ext uri="{FF2B5EF4-FFF2-40B4-BE49-F238E27FC236}">
              <a16:creationId xmlns="" xmlns:a16="http://schemas.microsoft.com/office/drawing/2014/main" id="{00000000-0008-0000-2700-00009F900D00}"/>
            </a:ext>
          </a:extLst>
        </xdr:cNvPr>
        <xdr:cNvSpPr>
          <a:spLocks noChangeArrowheads="1"/>
        </xdr:cNvSpPr>
      </xdr:nvSpPr>
      <xdr:spPr bwMode="auto">
        <a:xfrm>
          <a:off x="1714500" y="15640050"/>
          <a:ext cx="419100" cy="26670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16</xdr:col>
      <xdr:colOff>0</xdr:colOff>
      <xdr:row>138</xdr:row>
      <xdr:rowOff>38100</xdr:rowOff>
    </xdr:from>
    <xdr:to>
      <xdr:col>22</xdr:col>
      <xdr:colOff>0</xdr:colOff>
      <xdr:row>140</xdr:row>
      <xdr:rowOff>0</xdr:rowOff>
    </xdr:to>
    <xdr:sp macro="" textlink="">
      <xdr:nvSpPr>
        <xdr:cNvPr id="888992" name="Rectangle 428" descr="Recycled paper">
          <a:extLst>
            <a:ext uri="{FF2B5EF4-FFF2-40B4-BE49-F238E27FC236}">
              <a16:creationId xmlns="" xmlns:a16="http://schemas.microsoft.com/office/drawing/2014/main" id="{00000000-0008-0000-2700-0000A0900D00}"/>
            </a:ext>
          </a:extLst>
        </xdr:cNvPr>
        <xdr:cNvSpPr>
          <a:spLocks noChangeArrowheads="1"/>
        </xdr:cNvSpPr>
      </xdr:nvSpPr>
      <xdr:spPr bwMode="auto">
        <a:xfrm>
          <a:off x="1828800" y="13373100"/>
          <a:ext cx="685800" cy="15240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31</xdr:col>
      <xdr:colOff>0</xdr:colOff>
      <xdr:row>138</xdr:row>
      <xdr:rowOff>31750</xdr:rowOff>
    </xdr:from>
    <xdr:to>
      <xdr:col>39</xdr:col>
      <xdr:colOff>0</xdr:colOff>
      <xdr:row>139</xdr:row>
      <xdr:rowOff>57150</xdr:rowOff>
    </xdr:to>
    <xdr:sp macro="" textlink="">
      <xdr:nvSpPr>
        <xdr:cNvPr id="888993" name="Rectangle 429" descr="Recycled paper">
          <a:extLst>
            <a:ext uri="{FF2B5EF4-FFF2-40B4-BE49-F238E27FC236}">
              <a16:creationId xmlns="" xmlns:a16="http://schemas.microsoft.com/office/drawing/2014/main" id="{00000000-0008-0000-2700-0000A1900D00}"/>
            </a:ext>
          </a:extLst>
        </xdr:cNvPr>
        <xdr:cNvSpPr>
          <a:spLocks noChangeArrowheads="1"/>
        </xdr:cNvSpPr>
      </xdr:nvSpPr>
      <xdr:spPr bwMode="auto">
        <a:xfrm>
          <a:off x="3543300" y="13366750"/>
          <a:ext cx="914400" cy="12065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16</xdr:col>
      <xdr:colOff>0</xdr:colOff>
      <xdr:row>119</xdr:row>
      <xdr:rowOff>19050</xdr:rowOff>
    </xdr:from>
    <xdr:to>
      <xdr:col>17</xdr:col>
      <xdr:colOff>57150</xdr:colOff>
      <xdr:row>120</xdr:row>
      <xdr:rowOff>63500</xdr:rowOff>
    </xdr:to>
    <xdr:sp macro="" textlink="">
      <xdr:nvSpPr>
        <xdr:cNvPr id="888994" name="Rectangle 431" descr="Recycled paper">
          <a:extLst>
            <a:ext uri="{FF2B5EF4-FFF2-40B4-BE49-F238E27FC236}">
              <a16:creationId xmlns="" xmlns:a16="http://schemas.microsoft.com/office/drawing/2014/main" id="{00000000-0008-0000-2700-0000A2900D00}"/>
            </a:ext>
          </a:extLst>
        </xdr:cNvPr>
        <xdr:cNvSpPr>
          <a:spLocks noChangeArrowheads="1"/>
        </xdr:cNvSpPr>
      </xdr:nvSpPr>
      <xdr:spPr bwMode="auto">
        <a:xfrm>
          <a:off x="1828800" y="11544300"/>
          <a:ext cx="171450" cy="13970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27</xdr:col>
      <xdr:colOff>76200</xdr:colOff>
      <xdr:row>119</xdr:row>
      <xdr:rowOff>19050</xdr:rowOff>
    </xdr:from>
    <xdr:to>
      <xdr:col>29</xdr:col>
      <xdr:colOff>38100</xdr:colOff>
      <xdr:row>120</xdr:row>
      <xdr:rowOff>63500</xdr:rowOff>
    </xdr:to>
    <xdr:sp macro="" textlink="">
      <xdr:nvSpPr>
        <xdr:cNvPr id="888995" name="Rectangle 432" descr="Recycled paper">
          <a:extLst>
            <a:ext uri="{FF2B5EF4-FFF2-40B4-BE49-F238E27FC236}">
              <a16:creationId xmlns="" xmlns:a16="http://schemas.microsoft.com/office/drawing/2014/main" id="{00000000-0008-0000-2700-0000A3900D00}"/>
            </a:ext>
          </a:extLst>
        </xdr:cNvPr>
        <xdr:cNvSpPr>
          <a:spLocks noChangeArrowheads="1"/>
        </xdr:cNvSpPr>
      </xdr:nvSpPr>
      <xdr:spPr bwMode="auto">
        <a:xfrm>
          <a:off x="3162300" y="11544300"/>
          <a:ext cx="190500" cy="13970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18</xdr:col>
      <xdr:colOff>76200</xdr:colOff>
      <xdr:row>162</xdr:row>
      <xdr:rowOff>63500</xdr:rowOff>
    </xdr:from>
    <xdr:to>
      <xdr:col>35</xdr:col>
      <xdr:colOff>63500</xdr:colOff>
      <xdr:row>163</xdr:row>
      <xdr:rowOff>63500</xdr:rowOff>
    </xdr:to>
    <xdr:sp macro="" textlink="">
      <xdr:nvSpPr>
        <xdr:cNvPr id="888996" name="Rectangle 433" descr="Sphere">
          <a:extLst>
            <a:ext uri="{FF2B5EF4-FFF2-40B4-BE49-F238E27FC236}">
              <a16:creationId xmlns="" xmlns:a16="http://schemas.microsoft.com/office/drawing/2014/main" id="{00000000-0008-0000-2700-0000A4900D00}"/>
            </a:ext>
          </a:extLst>
        </xdr:cNvPr>
        <xdr:cNvSpPr>
          <a:spLocks noChangeArrowheads="1"/>
        </xdr:cNvSpPr>
      </xdr:nvSpPr>
      <xdr:spPr bwMode="auto">
        <a:xfrm>
          <a:off x="2133600" y="15684500"/>
          <a:ext cx="1930400" cy="95250"/>
        </a:xfrm>
        <a:prstGeom prst="rect">
          <a:avLst/>
        </a:prstGeom>
        <a:blipFill dpi="0" rotWithShape="0">
          <a:blip xmlns:r="http://schemas.openxmlformats.org/officeDocument/2006/relationships" r:embed="rId4"/>
          <a:srcRect/>
          <a:tile tx="0" ty="0" sx="100000" sy="100000" flip="none" algn="tl"/>
        </a:blipFill>
        <a:ln w="9525">
          <a:solidFill>
            <a:srgbClr val="000000"/>
          </a:solidFill>
          <a:miter lim="800000"/>
          <a:headEnd/>
          <a:tailEnd/>
        </a:ln>
      </xdr:spPr>
    </xdr:sp>
    <xdr:clientData/>
  </xdr:twoCellAnchor>
  <xdr:twoCellAnchor>
    <xdr:from>
      <xdr:col>39</xdr:col>
      <xdr:colOff>6350</xdr:colOff>
      <xdr:row>138</xdr:row>
      <xdr:rowOff>57150</xdr:rowOff>
    </xdr:from>
    <xdr:to>
      <xdr:col>45</xdr:col>
      <xdr:colOff>31750</xdr:colOff>
      <xdr:row>139</xdr:row>
      <xdr:rowOff>57150</xdr:rowOff>
    </xdr:to>
    <xdr:sp macro="" textlink="">
      <xdr:nvSpPr>
        <xdr:cNvPr id="888997" name="Rectangle 434" descr="Horizontal brick">
          <a:extLst>
            <a:ext uri="{FF2B5EF4-FFF2-40B4-BE49-F238E27FC236}">
              <a16:creationId xmlns="" xmlns:a16="http://schemas.microsoft.com/office/drawing/2014/main" id="{00000000-0008-0000-2700-0000A5900D00}"/>
            </a:ext>
          </a:extLst>
        </xdr:cNvPr>
        <xdr:cNvSpPr>
          <a:spLocks noChangeArrowheads="1"/>
        </xdr:cNvSpPr>
      </xdr:nvSpPr>
      <xdr:spPr bwMode="auto">
        <a:xfrm rot="274534" flipV="1">
          <a:off x="4464050" y="13392150"/>
          <a:ext cx="711200" cy="95250"/>
        </a:xfrm>
        <a:prstGeom prst="rect">
          <a:avLst/>
        </a:prstGeom>
        <a:blipFill dpi="0" rotWithShape="1">
          <a:blip xmlns:r="http://schemas.openxmlformats.org/officeDocument/2006/relationships" r:embed="rId5"/>
          <a:srcRect/>
          <a:tile tx="0" ty="0" sx="100000" sy="100000" flip="none" algn="tl"/>
        </a:blipFill>
        <a:ln w="9525">
          <a:solidFill>
            <a:srgbClr val="000000"/>
          </a:solidFill>
          <a:miter lim="800000"/>
          <a:headEnd/>
          <a:tailEnd/>
        </a:ln>
      </xdr:spPr>
    </xdr:sp>
    <xdr:clientData/>
  </xdr:twoCellAnchor>
  <xdr:twoCellAnchor>
    <xdr:from>
      <xdr:col>21</xdr:col>
      <xdr:colOff>57785</xdr:colOff>
      <xdr:row>165</xdr:row>
      <xdr:rowOff>60960</xdr:rowOff>
    </xdr:from>
    <xdr:to>
      <xdr:col>28</xdr:col>
      <xdr:colOff>61232</xdr:colOff>
      <xdr:row>168</xdr:row>
      <xdr:rowOff>61364</xdr:rowOff>
    </xdr:to>
    <xdr:sp macro="" textlink="">
      <xdr:nvSpPr>
        <xdr:cNvPr id="78" name="Text Box 437">
          <a:extLst>
            <a:ext uri="{FF2B5EF4-FFF2-40B4-BE49-F238E27FC236}">
              <a16:creationId xmlns="" xmlns:a16="http://schemas.microsoft.com/office/drawing/2014/main" id="{00000000-0008-0000-2700-00004E000000}"/>
            </a:ext>
          </a:extLst>
        </xdr:cNvPr>
        <xdr:cNvSpPr txBox="1">
          <a:spLocks noChangeArrowheads="1"/>
        </xdr:cNvSpPr>
      </xdr:nvSpPr>
      <xdr:spPr bwMode="auto">
        <a:xfrm>
          <a:off x="2590800" y="15954375"/>
          <a:ext cx="762000" cy="2571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COUPE A A</a:t>
          </a:r>
        </a:p>
      </xdr:txBody>
    </xdr:sp>
    <xdr:clientData/>
  </xdr:twoCellAnchor>
  <xdr:twoCellAnchor>
    <xdr:from>
      <xdr:col>26</xdr:col>
      <xdr:colOff>6350</xdr:colOff>
      <xdr:row>12</xdr:row>
      <xdr:rowOff>12700</xdr:rowOff>
    </xdr:from>
    <xdr:to>
      <xdr:col>46</xdr:col>
      <xdr:colOff>57150</xdr:colOff>
      <xdr:row>36</xdr:row>
      <xdr:rowOff>57150</xdr:rowOff>
    </xdr:to>
    <xdr:sp macro="" textlink="">
      <xdr:nvSpPr>
        <xdr:cNvPr id="888999" name="Rectangle 447" descr="Cork">
          <a:extLst>
            <a:ext uri="{FF2B5EF4-FFF2-40B4-BE49-F238E27FC236}">
              <a16:creationId xmlns="" xmlns:a16="http://schemas.microsoft.com/office/drawing/2014/main" id="{00000000-0008-0000-2700-0000A7900D00}"/>
            </a:ext>
          </a:extLst>
        </xdr:cNvPr>
        <xdr:cNvSpPr>
          <a:spLocks noChangeArrowheads="1"/>
        </xdr:cNvSpPr>
      </xdr:nvSpPr>
      <xdr:spPr bwMode="auto">
        <a:xfrm>
          <a:off x="2978150" y="1346200"/>
          <a:ext cx="2336800" cy="23304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26</xdr:col>
      <xdr:colOff>0</xdr:colOff>
      <xdr:row>34</xdr:row>
      <xdr:rowOff>57150</xdr:rowOff>
    </xdr:from>
    <xdr:to>
      <xdr:col>32</xdr:col>
      <xdr:colOff>31750</xdr:colOff>
      <xdr:row>36</xdr:row>
      <xdr:rowOff>57150</xdr:rowOff>
    </xdr:to>
    <xdr:sp macro="" textlink="">
      <xdr:nvSpPr>
        <xdr:cNvPr id="889000" name="Rectangle 453">
          <a:extLst>
            <a:ext uri="{FF2B5EF4-FFF2-40B4-BE49-F238E27FC236}">
              <a16:creationId xmlns="" xmlns:a16="http://schemas.microsoft.com/office/drawing/2014/main" id="{00000000-0008-0000-2700-0000A8900D00}"/>
            </a:ext>
          </a:extLst>
        </xdr:cNvPr>
        <xdr:cNvSpPr>
          <a:spLocks noChangeArrowheads="1"/>
        </xdr:cNvSpPr>
      </xdr:nvSpPr>
      <xdr:spPr bwMode="auto">
        <a:xfrm>
          <a:off x="2971800" y="3486150"/>
          <a:ext cx="717550" cy="190500"/>
        </a:xfrm>
        <a:prstGeom prst="rect">
          <a:avLst/>
        </a:prstGeom>
        <a:solidFill>
          <a:srgbClr val="FFFFFF"/>
        </a:solidFill>
        <a:ln w="9525">
          <a:solidFill>
            <a:srgbClr val="000000"/>
          </a:solidFill>
          <a:miter lim="800000"/>
          <a:headEnd/>
          <a:tailEnd/>
        </a:ln>
      </xdr:spPr>
    </xdr:sp>
    <xdr:clientData/>
  </xdr:twoCellAnchor>
  <xdr:twoCellAnchor>
    <xdr:from>
      <xdr:col>26</xdr:col>
      <xdr:colOff>19050</xdr:colOff>
      <xdr:row>25</xdr:row>
      <xdr:rowOff>19050</xdr:rowOff>
    </xdr:from>
    <xdr:to>
      <xdr:col>27</xdr:col>
      <xdr:colOff>88900</xdr:colOff>
      <xdr:row>35</xdr:row>
      <xdr:rowOff>0</xdr:rowOff>
    </xdr:to>
    <xdr:sp macro="" textlink="">
      <xdr:nvSpPr>
        <xdr:cNvPr id="889001" name="Rectangle 455">
          <a:extLst>
            <a:ext uri="{FF2B5EF4-FFF2-40B4-BE49-F238E27FC236}">
              <a16:creationId xmlns="" xmlns:a16="http://schemas.microsoft.com/office/drawing/2014/main" id="{00000000-0008-0000-2700-0000A9900D00}"/>
            </a:ext>
          </a:extLst>
        </xdr:cNvPr>
        <xdr:cNvSpPr>
          <a:spLocks noChangeArrowheads="1"/>
        </xdr:cNvSpPr>
      </xdr:nvSpPr>
      <xdr:spPr bwMode="auto">
        <a:xfrm>
          <a:off x="2990850" y="2590800"/>
          <a:ext cx="184150" cy="933450"/>
        </a:xfrm>
        <a:prstGeom prst="rect">
          <a:avLst/>
        </a:prstGeom>
        <a:solidFill>
          <a:srgbClr val="FFFFFF"/>
        </a:solidFill>
        <a:ln w="9525">
          <a:solidFill>
            <a:srgbClr val="000000"/>
          </a:solidFill>
          <a:miter lim="800000"/>
          <a:headEnd/>
          <a:tailEnd/>
        </a:ln>
      </xdr:spPr>
    </xdr:sp>
    <xdr:clientData/>
  </xdr:twoCellAnchor>
  <xdr:twoCellAnchor>
    <xdr:from>
      <xdr:col>26</xdr:col>
      <xdr:colOff>0</xdr:colOff>
      <xdr:row>24</xdr:row>
      <xdr:rowOff>0</xdr:rowOff>
    </xdr:from>
    <xdr:to>
      <xdr:col>46</xdr:col>
      <xdr:colOff>19050</xdr:colOff>
      <xdr:row>25</xdr:row>
      <xdr:rowOff>19050</xdr:rowOff>
    </xdr:to>
    <xdr:sp macro="" textlink="">
      <xdr:nvSpPr>
        <xdr:cNvPr id="889002" name="Rectangle 457">
          <a:extLst>
            <a:ext uri="{FF2B5EF4-FFF2-40B4-BE49-F238E27FC236}">
              <a16:creationId xmlns="" xmlns:a16="http://schemas.microsoft.com/office/drawing/2014/main" id="{00000000-0008-0000-2700-0000AA900D00}"/>
            </a:ext>
          </a:extLst>
        </xdr:cNvPr>
        <xdr:cNvSpPr>
          <a:spLocks noChangeArrowheads="1"/>
        </xdr:cNvSpPr>
      </xdr:nvSpPr>
      <xdr:spPr bwMode="auto">
        <a:xfrm>
          <a:off x="2971800" y="2476500"/>
          <a:ext cx="2305050" cy="114300"/>
        </a:xfrm>
        <a:prstGeom prst="rect">
          <a:avLst/>
        </a:prstGeom>
        <a:solidFill>
          <a:srgbClr val="FFFFFF"/>
        </a:solidFill>
        <a:ln w="9525">
          <a:solidFill>
            <a:srgbClr val="000000"/>
          </a:solidFill>
          <a:miter lim="800000"/>
          <a:headEnd/>
          <a:tailEnd/>
        </a:ln>
      </xdr:spPr>
    </xdr:sp>
    <xdr:clientData/>
  </xdr:twoCellAnchor>
  <xdr:twoCellAnchor>
    <xdr:from>
      <xdr:col>38</xdr:col>
      <xdr:colOff>57150</xdr:colOff>
      <xdr:row>35</xdr:row>
      <xdr:rowOff>12700</xdr:rowOff>
    </xdr:from>
    <xdr:to>
      <xdr:col>44</xdr:col>
      <xdr:colOff>57150</xdr:colOff>
      <xdr:row>36</xdr:row>
      <xdr:rowOff>63500</xdr:rowOff>
    </xdr:to>
    <xdr:sp macro="" textlink="">
      <xdr:nvSpPr>
        <xdr:cNvPr id="889003" name="Rectangle 459">
          <a:extLst>
            <a:ext uri="{FF2B5EF4-FFF2-40B4-BE49-F238E27FC236}">
              <a16:creationId xmlns="" xmlns:a16="http://schemas.microsoft.com/office/drawing/2014/main" id="{00000000-0008-0000-2700-0000AB900D00}"/>
            </a:ext>
          </a:extLst>
        </xdr:cNvPr>
        <xdr:cNvSpPr>
          <a:spLocks noChangeArrowheads="1"/>
        </xdr:cNvSpPr>
      </xdr:nvSpPr>
      <xdr:spPr bwMode="auto">
        <a:xfrm>
          <a:off x="4400550" y="3536950"/>
          <a:ext cx="685800" cy="146050"/>
        </a:xfrm>
        <a:prstGeom prst="rect">
          <a:avLst/>
        </a:prstGeom>
        <a:solidFill>
          <a:srgbClr val="FFFFFF"/>
        </a:solidFill>
        <a:ln w="9525">
          <a:solidFill>
            <a:srgbClr val="000000"/>
          </a:solidFill>
          <a:miter lim="800000"/>
          <a:headEnd/>
          <a:tailEnd/>
        </a:ln>
      </xdr:spPr>
    </xdr:sp>
    <xdr:clientData/>
  </xdr:twoCellAnchor>
  <xdr:twoCellAnchor editAs="oneCell">
    <xdr:from>
      <xdr:col>21</xdr:col>
      <xdr:colOff>47626</xdr:colOff>
      <xdr:row>28</xdr:row>
      <xdr:rowOff>61597</xdr:rowOff>
    </xdr:from>
    <xdr:to>
      <xdr:col>22</xdr:col>
      <xdr:colOff>86010</xdr:colOff>
      <xdr:row>32</xdr:row>
      <xdr:rowOff>273</xdr:rowOff>
    </xdr:to>
    <xdr:sp macro="" textlink="">
      <xdr:nvSpPr>
        <xdr:cNvPr id="84" name="Text Box 473">
          <a:extLst>
            <a:ext uri="{FF2B5EF4-FFF2-40B4-BE49-F238E27FC236}">
              <a16:creationId xmlns="" xmlns:a16="http://schemas.microsoft.com/office/drawing/2014/main" id="{00000000-0008-0000-2700-000054000000}"/>
            </a:ext>
          </a:extLst>
        </xdr:cNvPr>
        <xdr:cNvSpPr txBox="1">
          <a:spLocks noChangeArrowheads="1"/>
        </xdr:cNvSpPr>
      </xdr:nvSpPr>
      <xdr:spPr bwMode="auto">
        <a:xfrm>
          <a:off x="2581276" y="2876552"/>
          <a:ext cx="161924" cy="361949"/>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ysClr val="windowText" lastClr="000000"/>
              </a:solidFill>
              <a:latin typeface="Arial"/>
              <a:cs typeface="Arial"/>
            </a:rPr>
            <a:t>160</a:t>
          </a:r>
        </a:p>
      </xdr:txBody>
    </xdr:sp>
    <xdr:clientData/>
  </xdr:twoCellAnchor>
  <xdr:twoCellAnchor>
    <xdr:from>
      <xdr:col>14</xdr:col>
      <xdr:colOff>88900</xdr:colOff>
      <xdr:row>38</xdr:row>
      <xdr:rowOff>63500</xdr:rowOff>
    </xdr:from>
    <xdr:to>
      <xdr:col>14</xdr:col>
      <xdr:colOff>88900</xdr:colOff>
      <xdr:row>39</xdr:row>
      <xdr:rowOff>19050</xdr:rowOff>
    </xdr:to>
    <xdr:sp macro="" textlink="">
      <xdr:nvSpPr>
        <xdr:cNvPr id="889005" name="Line 475">
          <a:extLst>
            <a:ext uri="{FF2B5EF4-FFF2-40B4-BE49-F238E27FC236}">
              <a16:creationId xmlns="" xmlns:a16="http://schemas.microsoft.com/office/drawing/2014/main" id="{00000000-0008-0000-2700-0000AD900D00}"/>
            </a:ext>
          </a:extLst>
        </xdr:cNvPr>
        <xdr:cNvSpPr>
          <a:spLocks noChangeShapeType="1"/>
        </xdr:cNvSpPr>
      </xdr:nvSpPr>
      <xdr:spPr bwMode="auto">
        <a:xfrm>
          <a:off x="1689100" y="3873500"/>
          <a:ext cx="0" cy="50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63500</xdr:colOff>
      <xdr:row>35</xdr:row>
      <xdr:rowOff>12700</xdr:rowOff>
    </xdr:from>
    <xdr:to>
      <xdr:col>46</xdr:col>
      <xdr:colOff>57150</xdr:colOff>
      <xdr:row>36</xdr:row>
      <xdr:rowOff>63500</xdr:rowOff>
    </xdr:to>
    <xdr:sp macro="" textlink="">
      <xdr:nvSpPr>
        <xdr:cNvPr id="889006" name="Rectangle 488" descr="Horizontal brick">
          <a:extLst>
            <a:ext uri="{FF2B5EF4-FFF2-40B4-BE49-F238E27FC236}">
              <a16:creationId xmlns="" xmlns:a16="http://schemas.microsoft.com/office/drawing/2014/main" id="{00000000-0008-0000-2700-0000AE900D00}"/>
            </a:ext>
          </a:extLst>
        </xdr:cNvPr>
        <xdr:cNvSpPr>
          <a:spLocks noChangeArrowheads="1"/>
        </xdr:cNvSpPr>
      </xdr:nvSpPr>
      <xdr:spPr bwMode="auto">
        <a:xfrm rot="-5400000">
          <a:off x="4787900" y="3155950"/>
          <a:ext cx="146050" cy="90805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26</xdr:col>
      <xdr:colOff>0</xdr:colOff>
      <xdr:row>23</xdr:row>
      <xdr:rowOff>57150</xdr:rowOff>
    </xdr:from>
    <xdr:to>
      <xdr:col>46</xdr:col>
      <xdr:colOff>19050</xdr:colOff>
      <xdr:row>25</xdr:row>
      <xdr:rowOff>38100</xdr:rowOff>
    </xdr:to>
    <xdr:sp macro="" textlink="">
      <xdr:nvSpPr>
        <xdr:cNvPr id="889007" name="Rectangle 489" descr="Horizontal brick">
          <a:extLst>
            <a:ext uri="{FF2B5EF4-FFF2-40B4-BE49-F238E27FC236}">
              <a16:creationId xmlns="" xmlns:a16="http://schemas.microsoft.com/office/drawing/2014/main" id="{00000000-0008-0000-2700-0000AF900D00}"/>
            </a:ext>
          </a:extLst>
        </xdr:cNvPr>
        <xdr:cNvSpPr>
          <a:spLocks noChangeArrowheads="1"/>
        </xdr:cNvSpPr>
      </xdr:nvSpPr>
      <xdr:spPr bwMode="auto">
        <a:xfrm rot="-5400000">
          <a:off x="4038600" y="1371600"/>
          <a:ext cx="171450" cy="230505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26</xdr:col>
      <xdr:colOff>6350</xdr:colOff>
      <xdr:row>34</xdr:row>
      <xdr:rowOff>76200</xdr:rowOff>
    </xdr:from>
    <xdr:to>
      <xdr:col>33</xdr:col>
      <xdr:colOff>19050</xdr:colOff>
      <xdr:row>36</xdr:row>
      <xdr:rowOff>57150</xdr:rowOff>
    </xdr:to>
    <xdr:sp macro="" textlink="">
      <xdr:nvSpPr>
        <xdr:cNvPr id="889008" name="Rectangle 490" descr="Horizontal brick">
          <a:extLst>
            <a:ext uri="{FF2B5EF4-FFF2-40B4-BE49-F238E27FC236}">
              <a16:creationId xmlns="" xmlns:a16="http://schemas.microsoft.com/office/drawing/2014/main" id="{00000000-0008-0000-2700-0000B0900D00}"/>
            </a:ext>
          </a:extLst>
        </xdr:cNvPr>
        <xdr:cNvSpPr>
          <a:spLocks noChangeArrowheads="1"/>
        </xdr:cNvSpPr>
      </xdr:nvSpPr>
      <xdr:spPr bwMode="auto">
        <a:xfrm rot="-5400000">
          <a:off x="3298825" y="3184525"/>
          <a:ext cx="171450" cy="8128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26</xdr:col>
      <xdr:colOff>6350</xdr:colOff>
      <xdr:row>23</xdr:row>
      <xdr:rowOff>63500</xdr:rowOff>
    </xdr:from>
    <xdr:to>
      <xdr:col>27</xdr:col>
      <xdr:colOff>76200</xdr:colOff>
      <xdr:row>36</xdr:row>
      <xdr:rowOff>50800</xdr:rowOff>
    </xdr:to>
    <xdr:sp macro="" textlink="">
      <xdr:nvSpPr>
        <xdr:cNvPr id="889009" name="Rectangle 497" descr="Horizontal brick">
          <a:extLst>
            <a:ext uri="{FF2B5EF4-FFF2-40B4-BE49-F238E27FC236}">
              <a16:creationId xmlns="" xmlns:a16="http://schemas.microsoft.com/office/drawing/2014/main" id="{00000000-0008-0000-2700-0000B1900D00}"/>
            </a:ext>
          </a:extLst>
        </xdr:cNvPr>
        <xdr:cNvSpPr>
          <a:spLocks noChangeArrowheads="1"/>
        </xdr:cNvSpPr>
      </xdr:nvSpPr>
      <xdr:spPr bwMode="auto">
        <a:xfrm rot="-5400000">
          <a:off x="2457450" y="2965450"/>
          <a:ext cx="1225550" cy="18415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45</xdr:col>
      <xdr:colOff>6350</xdr:colOff>
      <xdr:row>23</xdr:row>
      <xdr:rowOff>38100</xdr:rowOff>
    </xdr:from>
    <xdr:to>
      <xdr:col>46</xdr:col>
      <xdr:colOff>57150</xdr:colOff>
      <xdr:row>36</xdr:row>
      <xdr:rowOff>63500</xdr:rowOff>
    </xdr:to>
    <xdr:sp macro="" textlink="">
      <xdr:nvSpPr>
        <xdr:cNvPr id="889010" name="Rectangle 498" descr="Horizontal brick">
          <a:extLst>
            <a:ext uri="{FF2B5EF4-FFF2-40B4-BE49-F238E27FC236}">
              <a16:creationId xmlns="" xmlns:a16="http://schemas.microsoft.com/office/drawing/2014/main" id="{00000000-0008-0000-2700-0000B2900D00}"/>
            </a:ext>
          </a:extLst>
        </xdr:cNvPr>
        <xdr:cNvSpPr>
          <a:spLocks noChangeArrowheads="1"/>
        </xdr:cNvSpPr>
      </xdr:nvSpPr>
      <xdr:spPr bwMode="auto">
        <a:xfrm rot="-5400000">
          <a:off x="4600575" y="2968625"/>
          <a:ext cx="1263650" cy="1651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26</xdr:col>
      <xdr:colOff>19050</xdr:colOff>
      <xdr:row>17</xdr:row>
      <xdr:rowOff>63500</xdr:rowOff>
    </xdr:from>
    <xdr:to>
      <xdr:col>46</xdr:col>
      <xdr:colOff>50800</xdr:colOff>
      <xdr:row>18</xdr:row>
      <xdr:rowOff>31750</xdr:rowOff>
    </xdr:to>
    <xdr:sp macro="" textlink="">
      <xdr:nvSpPr>
        <xdr:cNvPr id="889011" name="Line 501">
          <a:extLst>
            <a:ext uri="{FF2B5EF4-FFF2-40B4-BE49-F238E27FC236}">
              <a16:creationId xmlns="" xmlns:a16="http://schemas.microsoft.com/office/drawing/2014/main" id="{00000000-0008-0000-2700-0000B3900D00}"/>
            </a:ext>
          </a:extLst>
        </xdr:cNvPr>
        <xdr:cNvSpPr>
          <a:spLocks noChangeShapeType="1"/>
        </xdr:cNvSpPr>
      </xdr:nvSpPr>
      <xdr:spPr bwMode="auto">
        <a:xfrm flipV="1">
          <a:off x="2990850" y="1873250"/>
          <a:ext cx="2317750" cy="6350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40</xdr:col>
      <xdr:colOff>60961</xdr:colOff>
      <xdr:row>16</xdr:row>
      <xdr:rowOff>3174</xdr:rowOff>
    </xdr:from>
    <xdr:to>
      <xdr:col>41</xdr:col>
      <xdr:colOff>114216</xdr:colOff>
      <xdr:row>21</xdr:row>
      <xdr:rowOff>180</xdr:rowOff>
    </xdr:to>
    <xdr:sp macro="" textlink="">
      <xdr:nvSpPr>
        <xdr:cNvPr id="92" name="Text Box 507">
          <a:extLst>
            <a:ext uri="{FF2B5EF4-FFF2-40B4-BE49-F238E27FC236}">
              <a16:creationId xmlns="" xmlns:a16="http://schemas.microsoft.com/office/drawing/2014/main" id="{00000000-0008-0000-2700-00005C000000}"/>
            </a:ext>
          </a:extLst>
        </xdr:cNvPr>
        <xdr:cNvSpPr txBox="1">
          <a:spLocks noChangeArrowheads="1"/>
        </xdr:cNvSpPr>
      </xdr:nvSpPr>
      <xdr:spPr bwMode="auto">
        <a:xfrm>
          <a:off x="4724401" y="1714499"/>
          <a:ext cx="190499" cy="47625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FFFF00"/>
              </a:solidFill>
              <a:latin typeface="Arial"/>
              <a:cs typeface="Arial"/>
            </a:rPr>
            <a:t>30</a:t>
          </a:r>
        </a:p>
      </xdr:txBody>
    </xdr:sp>
    <xdr:clientData/>
  </xdr:twoCellAnchor>
  <xdr:twoCellAnchor editAs="oneCell">
    <xdr:from>
      <xdr:col>40</xdr:col>
      <xdr:colOff>60961</xdr:colOff>
      <xdr:row>18</xdr:row>
      <xdr:rowOff>57786</xdr:rowOff>
    </xdr:from>
    <xdr:to>
      <xdr:col>41</xdr:col>
      <xdr:colOff>114216</xdr:colOff>
      <xdr:row>21</xdr:row>
      <xdr:rowOff>90930</xdr:rowOff>
    </xdr:to>
    <xdr:sp macro="" textlink="">
      <xdr:nvSpPr>
        <xdr:cNvPr id="93" name="Text Box 508">
          <a:extLst>
            <a:ext uri="{FF2B5EF4-FFF2-40B4-BE49-F238E27FC236}">
              <a16:creationId xmlns="" xmlns:a16="http://schemas.microsoft.com/office/drawing/2014/main" id="{00000000-0008-0000-2700-00005D000000}"/>
            </a:ext>
          </a:extLst>
        </xdr:cNvPr>
        <xdr:cNvSpPr txBox="1">
          <a:spLocks noChangeArrowheads="1"/>
        </xdr:cNvSpPr>
      </xdr:nvSpPr>
      <xdr:spPr bwMode="auto">
        <a:xfrm>
          <a:off x="4724401" y="1962151"/>
          <a:ext cx="190499" cy="323849"/>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FFFF00"/>
              </a:solidFill>
              <a:latin typeface="Arial"/>
              <a:cs typeface="Arial"/>
            </a:rPr>
            <a:t>30</a:t>
          </a:r>
        </a:p>
      </xdr:txBody>
    </xdr:sp>
    <xdr:clientData/>
  </xdr:twoCellAnchor>
  <xdr:twoCellAnchor editAs="oneCell">
    <xdr:from>
      <xdr:col>69</xdr:col>
      <xdr:colOff>63500</xdr:colOff>
      <xdr:row>23</xdr:row>
      <xdr:rowOff>38100</xdr:rowOff>
    </xdr:from>
    <xdr:to>
      <xdr:col>134</xdr:col>
      <xdr:colOff>0</xdr:colOff>
      <xdr:row>73</xdr:row>
      <xdr:rowOff>63500</xdr:rowOff>
    </xdr:to>
    <xdr:sp macro="" textlink="">
      <xdr:nvSpPr>
        <xdr:cNvPr id="889014" name="Text Box 510">
          <a:extLst>
            <a:ext uri="{FF2B5EF4-FFF2-40B4-BE49-F238E27FC236}">
              <a16:creationId xmlns="" xmlns:a16="http://schemas.microsoft.com/office/drawing/2014/main" id="{00000000-0008-0000-2700-0000B6900D00}"/>
            </a:ext>
          </a:extLst>
        </xdr:cNvPr>
        <xdr:cNvSpPr txBox="1">
          <a:spLocks noChangeArrowheads="1"/>
        </xdr:cNvSpPr>
      </xdr:nvSpPr>
      <xdr:spPr bwMode="auto">
        <a:xfrm>
          <a:off x="7950200" y="2419350"/>
          <a:ext cx="7366000" cy="478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28</xdr:col>
      <xdr:colOff>60960</xdr:colOff>
      <xdr:row>55</xdr:row>
      <xdr:rowOff>56514</xdr:rowOff>
    </xdr:from>
    <xdr:to>
      <xdr:col>42</xdr:col>
      <xdr:colOff>114296</xdr:colOff>
      <xdr:row>61</xdr:row>
      <xdr:rowOff>9831</xdr:rowOff>
    </xdr:to>
    <xdr:sp macro="" textlink="">
      <xdr:nvSpPr>
        <xdr:cNvPr id="95" name="Text Box 520">
          <a:extLst>
            <a:ext uri="{FF2B5EF4-FFF2-40B4-BE49-F238E27FC236}">
              <a16:creationId xmlns="" xmlns:a16="http://schemas.microsoft.com/office/drawing/2014/main" id="{00000000-0008-0000-2700-00005F000000}"/>
            </a:ext>
          </a:extLst>
        </xdr:cNvPr>
        <xdr:cNvSpPr txBox="1">
          <a:spLocks noChangeArrowheads="1"/>
        </xdr:cNvSpPr>
      </xdr:nvSpPr>
      <xdr:spPr bwMode="auto">
        <a:xfrm>
          <a:off x="3352800" y="5514974"/>
          <a:ext cx="1676400" cy="5048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ctr" rtl="0">
            <a:defRPr sz="1000"/>
          </a:pPr>
          <a:r>
            <a:rPr lang="fr-FR" sz="1000" b="1" i="0" strike="noStrike">
              <a:solidFill>
                <a:srgbClr val="000000"/>
              </a:solidFill>
              <a:latin typeface="Arial"/>
              <a:cs typeface="Arial"/>
            </a:rPr>
            <a:t>VUE EN PLAN CABINE ET DALLE + RAMPE D'ACCES</a:t>
          </a:r>
        </a:p>
      </xdr:txBody>
    </xdr:sp>
    <xdr:clientData/>
  </xdr:twoCellAnchor>
  <xdr:twoCellAnchor>
    <xdr:from>
      <xdr:col>31</xdr:col>
      <xdr:colOff>0</xdr:colOff>
      <xdr:row>107</xdr:row>
      <xdr:rowOff>31750</xdr:rowOff>
    </xdr:from>
    <xdr:to>
      <xdr:col>40</xdr:col>
      <xdr:colOff>50800</xdr:colOff>
      <xdr:row>108</xdr:row>
      <xdr:rowOff>31750</xdr:rowOff>
    </xdr:to>
    <xdr:sp macro="" textlink="">
      <xdr:nvSpPr>
        <xdr:cNvPr id="889016" name="Line 527">
          <a:extLst>
            <a:ext uri="{FF2B5EF4-FFF2-40B4-BE49-F238E27FC236}">
              <a16:creationId xmlns="" xmlns:a16="http://schemas.microsoft.com/office/drawing/2014/main" id="{00000000-0008-0000-2700-0000B8900D00}"/>
            </a:ext>
          </a:extLst>
        </xdr:cNvPr>
        <xdr:cNvSpPr>
          <a:spLocks noChangeShapeType="1"/>
        </xdr:cNvSpPr>
      </xdr:nvSpPr>
      <xdr:spPr bwMode="auto">
        <a:xfrm rot="10862374" flipV="1">
          <a:off x="3543300" y="10414000"/>
          <a:ext cx="1079500" cy="952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46</xdr:col>
      <xdr:colOff>19050</xdr:colOff>
      <xdr:row>9</xdr:row>
      <xdr:rowOff>12700</xdr:rowOff>
    </xdr:from>
    <xdr:to>
      <xdr:col>49</xdr:col>
      <xdr:colOff>6350</xdr:colOff>
      <xdr:row>12</xdr:row>
      <xdr:rowOff>19050</xdr:rowOff>
    </xdr:to>
    <xdr:sp macro="" textlink="">
      <xdr:nvSpPr>
        <xdr:cNvPr id="889017" name="Line 529">
          <a:extLst>
            <a:ext uri="{FF2B5EF4-FFF2-40B4-BE49-F238E27FC236}">
              <a16:creationId xmlns="" xmlns:a16="http://schemas.microsoft.com/office/drawing/2014/main" id="{00000000-0008-0000-2700-0000B9900D00}"/>
            </a:ext>
          </a:extLst>
        </xdr:cNvPr>
        <xdr:cNvSpPr>
          <a:spLocks noChangeShapeType="1"/>
        </xdr:cNvSpPr>
      </xdr:nvSpPr>
      <xdr:spPr bwMode="auto">
        <a:xfrm flipV="1">
          <a:off x="5276850" y="1060450"/>
          <a:ext cx="330200" cy="2921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45</xdr:col>
      <xdr:colOff>61595</xdr:colOff>
      <xdr:row>5</xdr:row>
      <xdr:rowOff>57785</xdr:rowOff>
    </xdr:from>
    <xdr:to>
      <xdr:col>55</xdr:col>
      <xdr:colOff>61595</xdr:colOff>
      <xdr:row>9</xdr:row>
      <xdr:rowOff>9918</xdr:rowOff>
    </xdr:to>
    <xdr:sp macro="" textlink="">
      <xdr:nvSpPr>
        <xdr:cNvPr id="98" name="Text Box 530">
          <a:extLst>
            <a:ext uri="{FF2B5EF4-FFF2-40B4-BE49-F238E27FC236}">
              <a16:creationId xmlns="" xmlns:a16="http://schemas.microsoft.com/office/drawing/2014/main" id="{00000000-0008-0000-2700-000062000000}"/>
            </a:ext>
          </a:extLst>
        </xdr:cNvPr>
        <xdr:cNvSpPr txBox="1">
          <a:spLocks noChangeArrowheads="1"/>
        </xdr:cNvSpPr>
      </xdr:nvSpPr>
      <xdr:spPr bwMode="auto">
        <a:xfrm>
          <a:off x="5276850" y="723900"/>
          <a:ext cx="1143000" cy="3429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Dalot amovible en BA 350kg/m3</a:t>
          </a:r>
        </a:p>
      </xdr:txBody>
    </xdr:sp>
    <xdr:clientData/>
  </xdr:twoCellAnchor>
  <xdr:twoCellAnchor>
    <xdr:from>
      <xdr:col>16</xdr:col>
      <xdr:colOff>0</xdr:colOff>
      <xdr:row>117</xdr:row>
      <xdr:rowOff>19050</xdr:rowOff>
    </xdr:from>
    <xdr:to>
      <xdr:col>17</xdr:col>
      <xdr:colOff>57150</xdr:colOff>
      <xdr:row>119</xdr:row>
      <xdr:rowOff>19050</xdr:rowOff>
    </xdr:to>
    <xdr:sp macro="" textlink="">
      <xdr:nvSpPr>
        <xdr:cNvPr id="889019" name="Rectangle 364" descr="Horizontal brick">
          <a:extLst>
            <a:ext uri="{FF2B5EF4-FFF2-40B4-BE49-F238E27FC236}">
              <a16:creationId xmlns="" xmlns:a16="http://schemas.microsoft.com/office/drawing/2014/main" id="{00000000-0008-0000-2700-0000BB900D00}"/>
            </a:ext>
          </a:extLst>
        </xdr:cNvPr>
        <xdr:cNvSpPr>
          <a:spLocks noChangeArrowheads="1"/>
        </xdr:cNvSpPr>
      </xdr:nvSpPr>
      <xdr:spPr bwMode="auto">
        <a:xfrm>
          <a:off x="1828800" y="11353800"/>
          <a:ext cx="171450" cy="1905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40</xdr:col>
      <xdr:colOff>19050</xdr:colOff>
      <xdr:row>18</xdr:row>
      <xdr:rowOff>19050</xdr:rowOff>
    </xdr:from>
    <xdr:to>
      <xdr:col>40</xdr:col>
      <xdr:colOff>19050</xdr:colOff>
      <xdr:row>21</xdr:row>
      <xdr:rowOff>57150</xdr:rowOff>
    </xdr:to>
    <xdr:cxnSp macro="">
      <xdr:nvCxnSpPr>
        <xdr:cNvPr id="889020" name="Straight Arrow Connector 236">
          <a:extLst>
            <a:ext uri="{FF2B5EF4-FFF2-40B4-BE49-F238E27FC236}">
              <a16:creationId xmlns="" xmlns:a16="http://schemas.microsoft.com/office/drawing/2014/main" id="{00000000-0008-0000-2700-0000BC900D00}"/>
            </a:ext>
          </a:extLst>
        </xdr:cNvPr>
        <xdr:cNvCxnSpPr>
          <a:cxnSpLocks noChangeShapeType="1"/>
        </xdr:cNvCxnSpPr>
      </xdr:nvCxnSpPr>
      <xdr:spPr bwMode="auto">
        <a:xfrm rot="5400000">
          <a:off x="4429125" y="2085975"/>
          <a:ext cx="32385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39</xdr:col>
      <xdr:colOff>6350</xdr:colOff>
      <xdr:row>21</xdr:row>
      <xdr:rowOff>57150</xdr:rowOff>
    </xdr:from>
    <xdr:to>
      <xdr:col>39</xdr:col>
      <xdr:colOff>6350</xdr:colOff>
      <xdr:row>23</xdr:row>
      <xdr:rowOff>57150</xdr:rowOff>
    </xdr:to>
    <xdr:cxnSp macro="">
      <xdr:nvCxnSpPr>
        <xdr:cNvPr id="889021" name="Straight Arrow Connector 240">
          <a:extLst>
            <a:ext uri="{FF2B5EF4-FFF2-40B4-BE49-F238E27FC236}">
              <a16:creationId xmlns="" xmlns:a16="http://schemas.microsoft.com/office/drawing/2014/main" id="{00000000-0008-0000-2700-0000BD900D00}"/>
            </a:ext>
          </a:extLst>
        </xdr:cNvPr>
        <xdr:cNvCxnSpPr>
          <a:cxnSpLocks noChangeShapeType="1"/>
        </xdr:cNvCxnSpPr>
      </xdr:nvCxnSpPr>
      <xdr:spPr bwMode="auto">
        <a:xfrm rot="5400000">
          <a:off x="4368800" y="2343150"/>
          <a:ext cx="1905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26</xdr:col>
      <xdr:colOff>6350</xdr:colOff>
      <xdr:row>21</xdr:row>
      <xdr:rowOff>38100</xdr:rowOff>
    </xdr:from>
    <xdr:to>
      <xdr:col>46</xdr:col>
      <xdr:colOff>50800</xdr:colOff>
      <xdr:row>21</xdr:row>
      <xdr:rowOff>76200</xdr:rowOff>
    </xdr:to>
    <xdr:sp macro="" textlink="">
      <xdr:nvSpPr>
        <xdr:cNvPr id="889022" name="Line 500">
          <a:extLst>
            <a:ext uri="{FF2B5EF4-FFF2-40B4-BE49-F238E27FC236}">
              <a16:creationId xmlns="" xmlns:a16="http://schemas.microsoft.com/office/drawing/2014/main" id="{00000000-0008-0000-2700-0000BE900D00}"/>
            </a:ext>
          </a:extLst>
        </xdr:cNvPr>
        <xdr:cNvSpPr>
          <a:spLocks noChangeShapeType="1"/>
        </xdr:cNvSpPr>
      </xdr:nvSpPr>
      <xdr:spPr bwMode="auto">
        <a:xfrm flipV="1">
          <a:off x="2978150" y="2228850"/>
          <a:ext cx="2330450" cy="3810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635</xdr:colOff>
      <xdr:row>21</xdr:row>
      <xdr:rowOff>60960</xdr:rowOff>
    </xdr:from>
    <xdr:to>
      <xdr:col>46</xdr:col>
      <xdr:colOff>57902</xdr:colOff>
      <xdr:row>23</xdr:row>
      <xdr:rowOff>58991</xdr:rowOff>
    </xdr:to>
    <xdr:sp macro="" textlink="">
      <xdr:nvSpPr>
        <xdr:cNvPr id="103" name="Rectangle 102">
          <a:extLst>
            <a:ext uri="{FF2B5EF4-FFF2-40B4-BE49-F238E27FC236}">
              <a16:creationId xmlns="" xmlns:a16="http://schemas.microsoft.com/office/drawing/2014/main" id="{00000000-0008-0000-2700-000067000000}"/>
            </a:ext>
          </a:extLst>
        </xdr:cNvPr>
        <xdr:cNvSpPr/>
      </xdr:nvSpPr>
      <xdr:spPr bwMode="auto">
        <a:xfrm>
          <a:off x="3095625" y="2238375"/>
          <a:ext cx="2333625" cy="219075"/>
        </a:xfrm>
        <a:prstGeom prst="rect">
          <a:avLst/>
        </a:prstGeom>
        <a:blipFill>
          <a:blip xmlns:r="http://schemas.openxmlformats.org/officeDocument/2006/relationships" r:embed="rId7" cstate="print"/>
          <a:tile tx="0" ty="0" sx="100000" sy="100000" flip="none" algn="tl"/>
        </a:blip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30</xdr:col>
      <xdr:colOff>0</xdr:colOff>
      <xdr:row>21</xdr:row>
      <xdr:rowOff>57150</xdr:rowOff>
    </xdr:from>
    <xdr:to>
      <xdr:col>31</xdr:col>
      <xdr:colOff>63500</xdr:colOff>
      <xdr:row>23</xdr:row>
      <xdr:rowOff>38100</xdr:rowOff>
    </xdr:to>
    <xdr:sp macro="" textlink="">
      <xdr:nvSpPr>
        <xdr:cNvPr id="889024" name="Oval 505">
          <a:extLst>
            <a:ext uri="{FF2B5EF4-FFF2-40B4-BE49-F238E27FC236}">
              <a16:creationId xmlns="" xmlns:a16="http://schemas.microsoft.com/office/drawing/2014/main" id="{00000000-0008-0000-2700-0000C0900D00}"/>
            </a:ext>
          </a:extLst>
        </xdr:cNvPr>
        <xdr:cNvSpPr>
          <a:spLocks noChangeArrowheads="1"/>
        </xdr:cNvSpPr>
      </xdr:nvSpPr>
      <xdr:spPr bwMode="auto">
        <a:xfrm flipV="1">
          <a:off x="3429000" y="2247900"/>
          <a:ext cx="177800" cy="171450"/>
        </a:xfrm>
        <a:prstGeom prst="ellipse">
          <a:avLst/>
        </a:prstGeom>
        <a:solidFill>
          <a:srgbClr val="FFFFFF"/>
        </a:solidFill>
        <a:ln w="9525">
          <a:solidFill>
            <a:srgbClr val="000000"/>
          </a:solidFill>
          <a:round/>
          <a:headEnd/>
          <a:tailEnd/>
        </a:ln>
      </xdr:spPr>
    </xdr:sp>
    <xdr:clientData/>
  </xdr:twoCellAnchor>
  <xdr:twoCellAnchor>
    <xdr:from>
      <xdr:col>40</xdr:col>
      <xdr:colOff>57150</xdr:colOff>
      <xdr:row>21</xdr:row>
      <xdr:rowOff>57150</xdr:rowOff>
    </xdr:from>
    <xdr:to>
      <xdr:col>42</xdr:col>
      <xdr:colOff>31750</xdr:colOff>
      <xdr:row>23</xdr:row>
      <xdr:rowOff>38100</xdr:rowOff>
    </xdr:to>
    <xdr:sp macro="" textlink="">
      <xdr:nvSpPr>
        <xdr:cNvPr id="889025" name="Oval 505">
          <a:extLst>
            <a:ext uri="{FF2B5EF4-FFF2-40B4-BE49-F238E27FC236}">
              <a16:creationId xmlns="" xmlns:a16="http://schemas.microsoft.com/office/drawing/2014/main" id="{00000000-0008-0000-2700-0000C1900D00}"/>
            </a:ext>
          </a:extLst>
        </xdr:cNvPr>
        <xdr:cNvSpPr>
          <a:spLocks noChangeArrowheads="1"/>
        </xdr:cNvSpPr>
      </xdr:nvSpPr>
      <xdr:spPr bwMode="auto">
        <a:xfrm flipV="1">
          <a:off x="4629150" y="2247900"/>
          <a:ext cx="203200" cy="171450"/>
        </a:xfrm>
        <a:prstGeom prst="ellipse">
          <a:avLst/>
        </a:prstGeom>
        <a:solidFill>
          <a:srgbClr val="FFFFFF"/>
        </a:solidFill>
        <a:ln w="9525">
          <a:solidFill>
            <a:srgbClr val="000000"/>
          </a:solidFill>
          <a:round/>
          <a:headEnd/>
          <a:tailEnd/>
        </a:ln>
      </xdr:spPr>
    </xdr:sp>
    <xdr:clientData/>
  </xdr:twoCellAnchor>
  <xdr:twoCellAnchor editAs="oneCell">
    <xdr:from>
      <xdr:col>48</xdr:col>
      <xdr:colOff>94615</xdr:colOff>
      <xdr:row>21</xdr:row>
      <xdr:rowOff>57785</xdr:rowOff>
    </xdr:from>
    <xdr:to>
      <xdr:col>50</xdr:col>
      <xdr:colOff>114202</xdr:colOff>
      <xdr:row>26</xdr:row>
      <xdr:rowOff>963</xdr:rowOff>
    </xdr:to>
    <xdr:sp macro="" textlink="">
      <xdr:nvSpPr>
        <xdr:cNvPr id="106" name="Text Box 507">
          <a:extLst>
            <a:ext uri="{FF2B5EF4-FFF2-40B4-BE49-F238E27FC236}">
              <a16:creationId xmlns="" xmlns:a16="http://schemas.microsoft.com/office/drawing/2014/main" id="{00000000-0008-0000-2700-00006A000000}"/>
            </a:ext>
          </a:extLst>
        </xdr:cNvPr>
        <xdr:cNvSpPr txBox="1">
          <a:spLocks noChangeArrowheads="1"/>
        </xdr:cNvSpPr>
      </xdr:nvSpPr>
      <xdr:spPr bwMode="auto">
        <a:xfrm>
          <a:off x="5695950" y="2266950"/>
          <a:ext cx="247650" cy="4000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30</a:t>
          </a:r>
        </a:p>
      </xdr:txBody>
    </xdr:sp>
    <xdr:clientData/>
  </xdr:twoCellAnchor>
  <xdr:twoCellAnchor>
    <xdr:from>
      <xdr:col>48</xdr:col>
      <xdr:colOff>19050</xdr:colOff>
      <xdr:row>21</xdr:row>
      <xdr:rowOff>19050</xdr:rowOff>
    </xdr:from>
    <xdr:to>
      <xdr:col>48</xdr:col>
      <xdr:colOff>19050</xdr:colOff>
      <xdr:row>24</xdr:row>
      <xdr:rowOff>31750</xdr:rowOff>
    </xdr:to>
    <xdr:cxnSp macro="">
      <xdr:nvCxnSpPr>
        <xdr:cNvPr id="889027" name="Straight Arrow Connector 245">
          <a:extLst>
            <a:ext uri="{FF2B5EF4-FFF2-40B4-BE49-F238E27FC236}">
              <a16:creationId xmlns="" xmlns:a16="http://schemas.microsoft.com/office/drawing/2014/main" id="{00000000-0008-0000-2700-0000C3900D00}"/>
            </a:ext>
          </a:extLst>
        </xdr:cNvPr>
        <xdr:cNvCxnSpPr>
          <a:cxnSpLocks noChangeShapeType="1"/>
        </xdr:cNvCxnSpPr>
      </xdr:nvCxnSpPr>
      <xdr:spPr bwMode="auto">
        <a:xfrm rot="5400000">
          <a:off x="5356225" y="2359025"/>
          <a:ext cx="29845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48</xdr:col>
      <xdr:colOff>60960</xdr:colOff>
      <xdr:row>15</xdr:row>
      <xdr:rowOff>3172</xdr:rowOff>
    </xdr:from>
    <xdr:to>
      <xdr:col>49</xdr:col>
      <xdr:colOff>114216</xdr:colOff>
      <xdr:row>20</xdr:row>
      <xdr:rowOff>180</xdr:rowOff>
    </xdr:to>
    <xdr:sp macro="" textlink="">
      <xdr:nvSpPr>
        <xdr:cNvPr id="108" name="Text Box 507">
          <a:extLst>
            <a:ext uri="{FF2B5EF4-FFF2-40B4-BE49-F238E27FC236}">
              <a16:creationId xmlns="" xmlns:a16="http://schemas.microsoft.com/office/drawing/2014/main" id="{00000000-0008-0000-2700-00006C000000}"/>
            </a:ext>
          </a:extLst>
        </xdr:cNvPr>
        <xdr:cNvSpPr txBox="1">
          <a:spLocks noChangeArrowheads="1"/>
        </xdr:cNvSpPr>
      </xdr:nvSpPr>
      <xdr:spPr bwMode="auto">
        <a:xfrm>
          <a:off x="5638800" y="1619247"/>
          <a:ext cx="190500" cy="47625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95</a:t>
          </a:r>
        </a:p>
      </xdr:txBody>
    </xdr:sp>
    <xdr:clientData/>
  </xdr:twoCellAnchor>
  <xdr:twoCellAnchor>
    <xdr:from>
      <xdr:col>48</xdr:col>
      <xdr:colOff>19050</xdr:colOff>
      <xdr:row>12</xdr:row>
      <xdr:rowOff>12700</xdr:rowOff>
    </xdr:from>
    <xdr:to>
      <xdr:col>48</xdr:col>
      <xdr:colOff>19050</xdr:colOff>
      <xdr:row>21</xdr:row>
      <xdr:rowOff>38100</xdr:rowOff>
    </xdr:to>
    <xdr:cxnSp macro="">
      <xdr:nvCxnSpPr>
        <xdr:cNvPr id="889029" name="Straight Arrow Connector 248">
          <a:extLst>
            <a:ext uri="{FF2B5EF4-FFF2-40B4-BE49-F238E27FC236}">
              <a16:creationId xmlns="" xmlns:a16="http://schemas.microsoft.com/office/drawing/2014/main" id="{00000000-0008-0000-2700-0000C5900D00}"/>
            </a:ext>
          </a:extLst>
        </xdr:cNvPr>
        <xdr:cNvCxnSpPr>
          <a:cxnSpLocks noChangeShapeType="1"/>
        </xdr:cNvCxnSpPr>
      </xdr:nvCxnSpPr>
      <xdr:spPr bwMode="auto">
        <a:xfrm rot="16200000" flipH="1">
          <a:off x="5064125" y="1787525"/>
          <a:ext cx="88265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21</xdr:col>
      <xdr:colOff>50800</xdr:colOff>
      <xdr:row>11</xdr:row>
      <xdr:rowOff>57150</xdr:rowOff>
    </xdr:from>
    <xdr:to>
      <xdr:col>21</xdr:col>
      <xdr:colOff>57150</xdr:colOff>
      <xdr:row>36</xdr:row>
      <xdr:rowOff>63500</xdr:rowOff>
    </xdr:to>
    <xdr:cxnSp macro="">
      <xdr:nvCxnSpPr>
        <xdr:cNvPr id="889030" name="Straight Arrow Connector 255">
          <a:extLst>
            <a:ext uri="{FF2B5EF4-FFF2-40B4-BE49-F238E27FC236}">
              <a16:creationId xmlns="" xmlns:a16="http://schemas.microsoft.com/office/drawing/2014/main" id="{00000000-0008-0000-2700-0000C6900D00}"/>
            </a:ext>
          </a:extLst>
        </xdr:cNvPr>
        <xdr:cNvCxnSpPr>
          <a:cxnSpLocks noChangeShapeType="1"/>
        </xdr:cNvCxnSpPr>
      </xdr:nvCxnSpPr>
      <xdr:spPr bwMode="auto">
        <a:xfrm rot="16200000" flipH="1">
          <a:off x="1260475" y="2486025"/>
          <a:ext cx="2387600" cy="635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19</xdr:col>
      <xdr:colOff>61597</xdr:colOff>
      <xdr:row>23</xdr:row>
      <xdr:rowOff>60961</xdr:rowOff>
    </xdr:from>
    <xdr:to>
      <xdr:col>21</xdr:col>
      <xdr:colOff>412</xdr:colOff>
      <xdr:row>27</xdr:row>
      <xdr:rowOff>88</xdr:rowOff>
    </xdr:to>
    <xdr:sp macro="" textlink="">
      <xdr:nvSpPr>
        <xdr:cNvPr id="111" name="Text Box 507">
          <a:extLst>
            <a:ext uri="{FF2B5EF4-FFF2-40B4-BE49-F238E27FC236}">
              <a16:creationId xmlns="" xmlns:a16="http://schemas.microsoft.com/office/drawing/2014/main" id="{00000000-0008-0000-2700-00006F000000}"/>
            </a:ext>
          </a:extLst>
        </xdr:cNvPr>
        <xdr:cNvSpPr txBox="1">
          <a:spLocks noChangeArrowheads="1"/>
        </xdr:cNvSpPr>
      </xdr:nvSpPr>
      <xdr:spPr bwMode="auto">
        <a:xfrm>
          <a:off x="2305052" y="2428876"/>
          <a:ext cx="209549" cy="333374"/>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285</a:t>
          </a:r>
        </a:p>
      </xdr:txBody>
    </xdr:sp>
    <xdr:clientData/>
  </xdr:twoCellAnchor>
  <xdr:twoCellAnchor>
    <xdr:from>
      <xdr:col>36</xdr:col>
      <xdr:colOff>88900</xdr:colOff>
      <xdr:row>12</xdr:row>
      <xdr:rowOff>19050</xdr:rowOff>
    </xdr:from>
    <xdr:to>
      <xdr:col>37</xdr:col>
      <xdr:colOff>0</xdr:colOff>
      <xdr:row>21</xdr:row>
      <xdr:rowOff>57150</xdr:rowOff>
    </xdr:to>
    <xdr:cxnSp macro="">
      <xdr:nvCxnSpPr>
        <xdr:cNvPr id="889032" name="Straight Connector 249">
          <a:extLst>
            <a:ext uri="{FF2B5EF4-FFF2-40B4-BE49-F238E27FC236}">
              <a16:creationId xmlns="" xmlns:a16="http://schemas.microsoft.com/office/drawing/2014/main" id="{00000000-0008-0000-2700-0000C8900D00}"/>
            </a:ext>
          </a:extLst>
        </xdr:cNvPr>
        <xdr:cNvCxnSpPr>
          <a:cxnSpLocks noChangeShapeType="1"/>
        </xdr:cNvCxnSpPr>
      </xdr:nvCxnSpPr>
      <xdr:spPr bwMode="auto">
        <a:xfrm rot="16200000" flipH="1">
          <a:off x="3768725" y="1787525"/>
          <a:ext cx="895350" cy="2540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40</xdr:col>
      <xdr:colOff>19050</xdr:colOff>
      <xdr:row>15</xdr:row>
      <xdr:rowOff>12700</xdr:rowOff>
    </xdr:from>
    <xdr:to>
      <xdr:col>40</xdr:col>
      <xdr:colOff>31750</xdr:colOff>
      <xdr:row>18</xdr:row>
      <xdr:rowOff>38100</xdr:rowOff>
    </xdr:to>
    <xdr:cxnSp macro="">
      <xdr:nvCxnSpPr>
        <xdr:cNvPr id="889033" name="Straight Arrow Connector 256">
          <a:extLst>
            <a:ext uri="{FF2B5EF4-FFF2-40B4-BE49-F238E27FC236}">
              <a16:creationId xmlns="" xmlns:a16="http://schemas.microsoft.com/office/drawing/2014/main" id="{00000000-0008-0000-2700-0000C9900D00}"/>
            </a:ext>
          </a:extLst>
        </xdr:cNvPr>
        <xdr:cNvCxnSpPr>
          <a:cxnSpLocks noChangeShapeType="1"/>
        </xdr:cNvCxnSpPr>
      </xdr:nvCxnSpPr>
      <xdr:spPr bwMode="auto">
        <a:xfrm rot="5400000">
          <a:off x="4441825" y="1781175"/>
          <a:ext cx="311150" cy="1270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26</xdr:col>
      <xdr:colOff>19050</xdr:colOff>
      <xdr:row>15</xdr:row>
      <xdr:rowOff>19050</xdr:rowOff>
    </xdr:from>
    <xdr:to>
      <xdr:col>46</xdr:col>
      <xdr:colOff>50800</xdr:colOff>
      <xdr:row>15</xdr:row>
      <xdr:rowOff>57150</xdr:rowOff>
    </xdr:to>
    <xdr:sp macro="" textlink="">
      <xdr:nvSpPr>
        <xdr:cNvPr id="889034" name="Line 501">
          <a:extLst>
            <a:ext uri="{FF2B5EF4-FFF2-40B4-BE49-F238E27FC236}">
              <a16:creationId xmlns="" xmlns:a16="http://schemas.microsoft.com/office/drawing/2014/main" id="{00000000-0008-0000-2700-0000CA900D00}"/>
            </a:ext>
          </a:extLst>
        </xdr:cNvPr>
        <xdr:cNvSpPr>
          <a:spLocks noChangeShapeType="1"/>
        </xdr:cNvSpPr>
      </xdr:nvSpPr>
      <xdr:spPr bwMode="auto">
        <a:xfrm flipV="1">
          <a:off x="2990850" y="1638300"/>
          <a:ext cx="2317750" cy="3810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40</xdr:col>
      <xdr:colOff>19050</xdr:colOff>
      <xdr:row>12</xdr:row>
      <xdr:rowOff>19050</xdr:rowOff>
    </xdr:from>
    <xdr:to>
      <xdr:col>40</xdr:col>
      <xdr:colOff>31750</xdr:colOff>
      <xdr:row>15</xdr:row>
      <xdr:rowOff>57150</xdr:rowOff>
    </xdr:to>
    <xdr:cxnSp macro="">
      <xdr:nvCxnSpPr>
        <xdr:cNvPr id="889035" name="Straight Arrow Connector 260">
          <a:extLst>
            <a:ext uri="{FF2B5EF4-FFF2-40B4-BE49-F238E27FC236}">
              <a16:creationId xmlns="" xmlns:a16="http://schemas.microsoft.com/office/drawing/2014/main" id="{00000000-0008-0000-2700-0000CB900D00}"/>
            </a:ext>
          </a:extLst>
        </xdr:cNvPr>
        <xdr:cNvCxnSpPr>
          <a:cxnSpLocks noChangeShapeType="1"/>
        </xdr:cNvCxnSpPr>
      </xdr:nvCxnSpPr>
      <xdr:spPr bwMode="auto">
        <a:xfrm rot="5400000">
          <a:off x="4435475" y="1508125"/>
          <a:ext cx="323850" cy="1270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25</xdr:col>
      <xdr:colOff>76200</xdr:colOff>
      <xdr:row>17</xdr:row>
      <xdr:rowOff>19050</xdr:rowOff>
    </xdr:from>
    <xdr:to>
      <xdr:col>37</xdr:col>
      <xdr:colOff>0</xdr:colOff>
      <xdr:row>17</xdr:row>
      <xdr:rowOff>19050</xdr:rowOff>
    </xdr:to>
    <xdr:cxnSp macro="">
      <xdr:nvCxnSpPr>
        <xdr:cNvPr id="889036" name="Straight Arrow Connector 262">
          <a:extLst>
            <a:ext uri="{FF2B5EF4-FFF2-40B4-BE49-F238E27FC236}">
              <a16:creationId xmlns="" xmlns:a16="http://schemas.microsoft.com/office/drawing/2014/main" id="{00000000-0008-0000-2700-0000CC900D00}"/>
            </a:ext>
          </a:extLst>
        </xdr:cNvPr>
        <xdr:cNvCxnSpPr>
          <a:cxnSpLocks noChangeShapeType="1"/>
        </xdr:cNvCxnSpPr>
      </xdr:nvCxnSpPr>
      <xdr:spPr bwMode="auto">
        <a:xfrm flipV="1">
          <a:off x="2933700" y="1828800"/>
          <a:ext cx="1295400" cy="0"/>
        </a:xfrm>
        <a:prstGeom prst="straightConnector1">
          <a:avLst/>
        </a:prstGeom>
        <a:noFill/>
        <a:ln w="9525" algn="ctr">
          <a:solidFill>
            <a:srgbClr val="FFFF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30</xdr:col>
      <xdr:colOff>635</xdr:colOff>
      <xdr:row>15</xdr:row>
      <xdr:rowOff>9526</xdr:rowOff>
    </xdr:from>
    <xdr:to>
      <xdr:col>34</xdr:col>
      <xdr:colOff>82219</xdr:colOff>
      <xdr:row>17</xdr:row>
      <xdr:rowOff>10136</xdr:rowOff>
    </xdr:to>
    <xdr:sp macro="" textlink="">
      <xdr:nvSpPr>
        <xdr:cNvPr id="117" name="TextBox 278">
          <a:extLst>
            <a:ext uri="{FF2B5EF4-FFF2-40B4-BE49-F238E27FC236}">
              <a16:creationId xmlns="" xmlns:a16="http://schemas.microsoft.com/office/drawing/2014/main" id="{00000000-0008-0000-2700-000075000000}"/>
            </a:ext>
          </a:extLst>
        </xdr:cNvPr>
        <xdr:cNvSpPr txBox="1"/>
      </xdr:nvSpPr>
      <xdr:spPr>
        <a:xfrm>
          <a:off x="3552825" y="1638301"/>
          <a:ext cx="533400" cy="200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solidFill>
                <a:srgbClr val="FFFF00"/>
              </a:solidFill>
            </a:rPr>
            <a:t>100</a:t>
          </a:r>
        </a:p>
      </xdr:txBody>
    </xdr:sp>
    <xdr:clientData/>
  </xdr:twoCellAnchor>
  <xdr:twoCellAnchor>
    <xdr:from>
      <xdr:col>28</xdr:col>
      <xdr:colOff>103506</xdr:colOff>
      <xdr:row>13</xdr:row>
      <xdr:rowOff>12700</xdr:rowOff>
    </xdr:from>
    <xdr:to>
      <xdr:col>29</xdr:col>
      <xdr:colOff>32286</xdr:colOff>
      <xdr:row>14</xdr:row>
      <xdr:rowOff>75914</xdr:rowOff>
    </xdr:to>
    <xdr:sp macro="" textlink="">
      <xdr:nvSpPr>
        <xdr:cNvPr id="118" name="Rectangle 117">
          <a:extLst>
            <a:ext uri="{FF2B5EF4-FFF2-40B4-BE49-F238E27FC236}">
              <a16:creationId xmlns="" xmlns:a16="http://schemas.microsoft.com/office/drawing/2014/main" id="{00000000-0008-0000-2700-000076000000}"/>
            </a:ext>
          </a:extLst>
        </xdr:cNvPr>
        <xdr:cNvSpPr/>
      </xdr:nvSpPr>
      <xdr:spPr bwMode="auto">
        <a:xfrm>
          <a:off x="3411856" y="1457325"/>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35</xdr:col>
      <xdr:colOff>57786</xdr:colOff>
      <xdr:row>13</xdr:row>
      <xdr:rowOff>60960</xdr:rowOff>
    </xdr:from>
    <xdr:to>
      <xdr:col>35</xdr:col>
      <xdr:colOff>80501</xdr:colOff>
      <xdr:row>15</xdr:row>
      <xdr:rowOff>8816</xdr:rowOff>
    </xdr:to>
    <xdr:sp macro="" textlink="">
      <xdr:nvSpPr>
        <xdr:cNvPr id="119" name="Rectangle 118">
          <a:extLst>
            <a:ext uri="{FF2B5EF4-FFF2-40B4-BE49-F238E27FC236}">
              <a16:creationId xmlns="" xmlns:a16="http://schemas.microsoft.com/office/drawing/2014/main" id="{00000000-0008-0000-2700-000077000000}"/>
            </a:ext>
          </a:extLst>
        </xdr:cNvPr>
        <xdr:cNvSpPr/>
      </xdr:nvSpPr>
      <xdr:spPr bwMode="auto">
        <a:xfrm>
          <a:off x="4154806" y="1476375"/>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38</xdr:col>
      <xdr:colOff>47626</xdr:colOff>
      <xdr:row>13</xdr:row>
      <xdr:rowOff>12700</xdr:rowOff>
    </xdr:from>
    <xdr:to>
      <xdr:col>39</xdr:col>
      <xdr:colOff>1838</xdr:colOff>
      <xdr:row>14</xdr:row>
      <xdr:rowOff>75914</xdr:rowOff>
    </xdr:to>
    <xdr:sp macro="" textlink="">
      <xdr:nvSpPr>
        <xdr:cNvPr id="120" name="Rectangle 119">
          <a:extLst>
            <a:ext uri="{FF2B5EF4-FFF2-40B4-BE49-F238E27FC236}">
              <a16:creationId xmlns="" xmlns:a16="http://schemas.microsoft.com/office/drawing/2014/main" id="{00000000-0008-0000-2700-000078000000}"/>
            </a:ext>
          </a:extLst>
        </xdr:cNvPr>
        <xdr:cNvSpPr/>
      </xdr:nvSpPr>
      <xdr:spPr bwMode="auto">
        <a:xfrm>
          <a:off x="4526281" y="1457325"/>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43</xdr:col>
      <xdr:colOff>61596</xdr:colOff>
      <xdr:row>13</xdr:row>
      <xdr:rowOff>0</xdr:rowOff>
    </xdr:from>
    <xdr:to>
      <xdr:col>44</xdr:col>
      <xdr:colOff>46290</xdr:colOff>
      <xdr:row>14</xdr:row>
      <xdr:rowOff>58067</xdr:rowOff>
    </xdr:to>
    <xdr:sp macro="" textlink="">
      <xdr:nvSpPr>
        <xdr:cNvPr id="121" name="Rectangle 120">
          <a:extLst>
            <a:ext uri="{FF2B5EF4-FFF2-40B4-BE49-F238E27FC236}">
              <a16:creationId xmlns="" xmlns:a16="http://schemas.microsoft.com/office/drawing/2014/main" id="{00000000-0008-0000-2700-000079000000}"/>
            </a:ext>
          </a:extLst>
        </xdr:cNvPr>
        <xdr:cNvSpPr/>
      </xdr:nvSpPr>
      <xdr:spPr bwMode="auto">
        <a:xfrm>
          <a:off x="5107306" y="1428750"/>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28</xdr:col>
      <xdr:colOff>103506</xdr:colOff>
      <xdr:row>15</xdr:row>
      <xdr:rowOff>74295</xdr:rowOff>
    </xdr:from>
    <xdr:to>
      <xdr:col>29</xdr:col>
      <xdr:colOff>32286</xdr:colOff>
      <xdr:row>17</xdr:row>
      <xdr:rowOff>61346</xdr:rowOff>
    </xdr:to>
    <xdr:sp macro="" textlink="">
      <xdr:nvSpPr>
        <xdr:cNvPr id="122" name="Rectangle 121">
          <a:extLst>
            <a:ext uri="{FF2B5EF4-FFF2-40B4-BE49-F238E27FC236}">
              <a16:creationId xmlns="" xmlns:a16="http://schemas.microsoft.com/office/drawing/2014/main" id="{00000000-0008-0000-2700-00007A000000}"/>
            </a:ext>
          </a:extLst>
        </xdr:cNvPr>
        <xdr:cNvSpPr/>
      </xdr:nvSpPr>
      <xdr:spPr bwMode="auto">
        <a:xfrm>
          <a:off x="3411856" y="1704975"/>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35</xdr:col>
      <xdr:colOff>27306</xdr:colOff>
      <xdr:row>15</xdr:row>
      <xdr:rowOff>74295</xdr:rowOff>
    </xdr:from>
    <xdr:to>
      <xdr:col>35</xdr:col>
      <xdr:colOff>61817</xdr:colOff>
      <xdr:row>17</xdr:row>
      <xdr:rowOff>61346</xdr:rowOff>
    </xdr:to>
    <xdr:sp macro="" textlink="">
      <xdr:nvSpPr>
        <xdr:cNvPr id="123" name="Rectangle 122">
          <a:extLst>
            <a:ext uri="{FF2B5EF4-FFF2-40B4-BE49-F238E27FC236}">
              <a16:creationId xmlns="" xmlns:a16="http://schemas.microsoft.com/office/drawing/2014/main" id="{00000000-0008-0000-2700-00007B000000}"/>
            </a:ext>
          </a:extLst>
        </xdr:cNvPr>
        <xdr:cNvSpPr/>
      </xdr:nvSpPr>
      <xdr:spPr bwMode="auto">
        <a:xfrm>
          <a:off x="4145281" y="1704975"/>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38</xdr:col>
      <xdr:colOff>47626</xdr:colOff>
      <xdr:row>16</xdr:row>
      <xdr:rowOff>0</xdr:rowOff>
    </xdr:from>
    <xdr:to>
      <xdr:col>38</xdr:col>
      <xdr:colOff>94924</xdr:colOff>
      <xdr:row>17</xdr:row>
      <xdr:rowOff>58584</xdr:rowOff>
    </xdr:to>
    <xdr:sp macro="" textlink="">
      <xdr:nvSpPr>
        <xdr:cNvPr id="124" name="Rectangle 123">
          <a:extLst>
            <a:ext uri="{FF2B5EF4-FFF2-40B4-BE49-F238E27FC236}">
              <a16:creationId xmlns="" xmlns:a16="http://schemas.microsoft.com/office/drawing/2014/main" id="{00000000-0008-0000-2700-00007C000000}"/>
            </a:ext>
          </a:extLst>
        </xdr:cNvPr>
        <xdr:cNvSpPr/>
      </xdr:nvSpPr>
      <xdr:spPr bwMode="auto">
        <a:xfrm>
          <a:off x="4516756" y="1714500"/>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43</xdr:col>
      <xdr:colOff>47626</xdr:colOff>
      <xdr:row>16</xdr:row>
      <xdr:rowOff>0</xdr:rowOff>
    </xdr:from>
    <xdr:to>
      <xdr:col>44</xdr:col>
      <xdr:colOff>1838</xdr:colOff>
      <xdr:row>17</xdr:row>
      <xdr:rowOff>58584</xdr:rowOff>
    </xdr:to>
    <xdr:sp macro="" textlink="">
      <xdr:nvSpPr>
        <xdr:cNvPr id="125" name="Rectangle 124">
          <a:extLst>
            <a:ext uri="{FF2B5EF4-FFF2-40B4-BE49-F238E27FC236}">
              <a16:creationId xmlns="" xmlns:a16="http://schemas.microsoft.com/office/drawing/2014/main" id="{00000000-0008-0000-2700-00007D000000}"/>
            </a:ext>
          </a:extLst>
        </xdr:cNvPr>
        <xdr:cNvSpPr/>
      </xdr:nvSpPr>
      <xdr:spPr bwMode="auto">
        <a:xfrm>
          <a:off x="5097781" y="1714500"/>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28</xdr:col>
      <xdr:colOff>103506</xdr:colOff>
      <xdr:row>19</xdr:row>
      <xdr:rowOff>9525</xdr:rowOff>
    </xdr:from>
    <xdr:to>
      <xdr:col>29</xdr:col>
      <xdr:colOff>36090</xdr:colOff>
      <xdr:row>20</xdr:row>
      <xdr:rowOff>58588</xdr:rowOff>
    </xdr:to>
    <xdr:sp macro="" textlink="">
      <xdr:nvSpPr>
        <xdr:cNvPr id="126" name="Rectangle 125">
          <a:extLst>
            <a:ext uri="{FF2B5EF4-FFF2-40B4-BE49-F238E27FC236}">
              <a16:creationId xmlns="" xmlns:a16="http://schemas.microsoft.com/office/drawing/2014/main" id="{00000000-0008-0000-2700-00007E000000}"/>
            </a:ext>
          </a:extLst>
        </xdr:cNvPr>
        <xdr:cNvSpPr/>
      </xdr:nvSpPr>
      <xdr:spPr bwMode="auto">
        <a:xfrm>
          <a:off x="3421381" y="2009775"/>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35</xdr:col>
      <xdr:colOff>30481</xdr:colOff>
      <xdr:row>19</xdr:row>
      <xdr:rowOff>9525</xdr:rowOff>
    </xdr:from>
    <xdr:to>
      <xdr:col>35</xdr:col>
      <xdr:colOff>58985</xdr:colOff>
      <xdr:row>20</xdr:row>
      <xdr:rowOff>58588</xdr:rowOff>
    </xdr:to>
    <xdr:sp macro="" textlink="">
      <xdr:nvSpPr>
        <xdr:cNvPr id="127" name="Rectangle 126">
          <a:extLst>
            <a:ext uri="{FF2B5EF4-FFF2-40B4-BE49-F238E27FC236}">
              <a16:creationId xmlns="" xmlns:a16="http://schemas.microsoft.com/office/drawing/2014/main" id="{00000000-0008-0000-2700-00007F000000}"/>
            </a:ext>
          </a:extLst>
        </xdr:cNvPr>
        <xdr:cNvSpPr/>
      </xdr:nvSpPr>
      <xdr:spPr bwMode="auto">
        <a:xfrm>
          <a:off x="4135756" y="2009775"/>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38</xdr:col>
      <xdr:colOff>47626</xdr:colOff>
      <xdr:row>19</xdr:row>
      <xdr:rowOff>9525</xdr:rowOff>
    </xdr:from>
    <xdr:to>
      <xdr:col>39</xdr:col>
      <xdr:colOff>1838</xdr:colOff>
      <xdr:row>20</xdr:row>
      <xdr:rowOff>58042</xdr:rowOff>
    </xdr:to>
    <xdr:sp macro="" textlink="">
      <xdr:nvSpPr>
        <xdr:cNvPr id="128" name="Rectangle 127">
          <a:extLst>
            <a:ext uri="{FF2B5EF4-FFF2-40B4-BE49-F238E27FC236}">
              <a16:creationId xmlns="" xmlns:a16="http://schemas.microsoft.com/office/drawing/2014/main" id="{00000000-0008-0000-2700-000080000000}"/>
            </a:ext>
          </a:extLst>
        </xdr:cNvPr>
        <xdr:cNvSpPr/>
      </xdr:nvSpPr>
      <xdr:spPr bwMode="auto">
        <a:xfrm>
          <a:off x="4526281" y="2019300"/>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43</xdr:col>
      <xdr:colOff>47626</xdr:colOff>
      <xdr:row>19</xdr:row>
      <xdr:rowOff>9525</xdr:rowOff>
    </xdr:from>
    <xdr:to>
      <xdr:col>43</xdr:col>
      <xdr:colOff>94924</xdr:colOff>
      <xdr:row>20</xdr:row>
      <xdr:rowOff>58042</xdr:rowOff>
    </xdr:to>
    <xdr:sp macro="" textlink="">
      <xdr:nvSpPr>
        <xdr:cNvPr id="129" name="Rectangle 128">
          <a:extLst>
            <a:ext uri="{FF2B5EF4-FFF2-40B4-BE49-F238E27FC236}">
              <a16:creationId xmlns="" xmlns:a16="http://schemas.microsoft.com/office/drawing/2014/main" id="{00000000-0008-0000-2700-000081000000}"/>
            </a:ext>
          </a:extLst>
        </xdr:cNvPr>
        <xdr:cNvSpPr/>
      </xdr:nvSpPr>
      <xdr:spPr bwMode="auto">
        <a:xfrm>
          <a:off x="5088256" y="2019300"/>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36</xdr:col>
      <xdr:colOff>63500</xdr:colOff>
      <xdr:row>11</xdr:row>
      <xdr:rowOff>12700</xdr:rowOff>
    </xdr:from>
    <xdr:to>
      <xdr:col>46</xdr:col>
      <xdr:colOff>38100</xdr:colOff>
      <xdr:row>11</xdr:row>
      <xdr:rowOff>12700</xdr:rowOff>
    </xdr:to>
    <xdr:cxnSp macro="">
      <xdr:nvCxnSpPr>
        <xdr:cNvPr id="889050" name="Straight Arrow Connector 323">
          <a:extLst>
            <a:ext uri="{FF2B5EF4-FFF2-40B4-BE49-F238E27FC236}">
              <a16:creationId xmlns="" xmlns:a16="http://schemas.microsoft.com/office/drawing/2014/main" id="{00000000-0008-0000-2700-0000DA900D00}"/>
            </a:ext>
          </a:extLst>
        </xdr:cNvPr>
        <xdr:cNvCxnSpPr>
          <a:cxnSpLocks noChangeShapeType="1"/>
        </xdr:cNvCxnSpPr>
      </xdr:nvCxnSpPr>
      <xdr:spPr bwMode="auto">
        <a:xfrm>
          <a:off x="4178300" y="1250950"/>
          <a:ext cx="11176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41</xdr:col>
      <xdr:colOff>0</xdr:colOff>
      <xdr:row>8</xdr:row>
      <xdr:rowOff>57785</xdr:rowOff>
    </xdr:from>
    <xdr:to>
      <xdr:col>45</xdr:col>
      <xdr:colOff>58304</xdr:colOff>
      <xdr:row>10</xdr:row>
      <xdr:rowOff>80280</xdr:rowOff>
    </xdr:to>
    <xdr:sp macro="" textlink="">
      <xdr:nvSpPr>
        <xdr:cNvPr id="131" name="TextBox 324">
          <a:extLst>
            <a:ext uri="{FF2B5EF4-FFF2-40B4-BE49-F238E27FC236}">
              <a16:creationId xmlns="" xmlns:a16="http://schemas.microsoft.com/office/drawing/2014/main" id="{00000000-0008-0000-2700-000083000000}"/>
            </a:ext>
          </a:extLst>
        </xdr:cNvPr>
        <xdr:cNvSpPr txBox="1"/>
      </xdr:nvSpPr>
      <xdr:spPr>
        <a:xfrm>
          <a:off x="4800600" y="1028700"/>
          <a:ext cx="533400" cy="200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t>100</a:t>
          </a:r>
        </a:p>
      </xdr:txBody>
    </xdr:sp>
    <xdr:clientData/>
  </xdr:twoCellAnchor>
  <xdr:twoCellAnchor>
    <xdr:from>
      <xdr:col>37</xdr:col>
      <xdr:colOff>50800</xdr:colOff>
      <xdr:row>12</xdr:row>
      <xdr:rowOff>19050</xdr:rowOff>
    </xdr:from>
    <xdr:to>
      <xdr:col>37</xdr:col>
      <xdr:colOff>76200</xdr:colOff>
      <xdr:row>23</xdr:row>
      <xdr:rowOff>63500</xdr:rowOff>
    </xdr:to>
    <xdr:cxnSp macro="">
      <xdr:nvCxnSpPr>
        <xdr:cNvPr id="889052" name="Straight Connector 266">
          <a:extLst>
            <a:ext uri="{FF2B5EF4-FFF2-40B4-BE49-F238E27FC236}">
              <a16:creationId xmlns="" xmlns:a16="http://schemas.microsoft.com/office/drawing/2014/main" id="{00000000-0008-0000-2700-0000DC900D00}"/>
            </a:ext>
          </a:extLst>
        </xdr:cNvPr>
        <xdr:cNvCxnSpPr>
          <a:cxnSpLocks noChangeShapeType="1"/>
        </xdr:cNvCxnSpPr>
      </xdr:nvCxnSpPr>
      <xdr:spPr bwMode="auto">
        <a:xfrm rot="16200000" flipH="1">
          <a:off x="3746500" y="1885950"/>
          <a:ext cx="1092200" cy="2540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36</xdr:col>
      <xdr:colOff>19050</xdr:colOff>
      <xdr:row>12</xdr:row>
      <xdr:rowOff>19050</xdr:rowOff>
    </xdr:from>
    <xdr:to>
      <xdr:col>36</xdr:col>
      <xdr:colOff>19050</xdr:colOff>
      <xdr:row>23</xdr:row>
      <xdr:rowOff>57150</xdr:rowOff>
    </xdr:to>
    <xdr:cxnSp macro="">
      <xdr:nvCxnSpPr>
        <xdr:cNvPr id="889053" name="Straight Connector 267">
          <a:extLst>
            <a:ext uri="{FF2B5EF4-FFF2-40B4-BE49-F238E27FC236}">
              <a16:creationId xmlns="" xmlns:a16="http://schemas.microsoft.com/office/drawing/2014/main" id="{00000000-0008-0000-2700-0000DD900D00}"/>
            </a:ext>
          </a:extLst>
        </xdr:cNvPr>
        <xdr:cNvCxnSpPr>
          <a:cxnSpLocks noChangeShapeType="1"/>
          <a:endCxn id="103" idx="2"/>
        </xdr:cNvCxnSpPr>
      </xdr:nvCxnSpPr>
      <xdr:spPr bwMode="auto">
        <a:xfrm rot="16200000" flipH="1">
          <a:off x="3590925" y="1895475"/>
          <a:ext cx="1085850" cy="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15</xdr:col>
      <xdr:colOff>0</xdr:colOff>
      <xdr:row>17</xdr:row>
      <xdr:rowOff>19050</xdr:rowOff>
    </xdr:from>
    <xdr:to>
      <xdr:col>29</xdr:col>
      <xdr:colOff>88900</xdr:colOff>
      <xdr:row>22</xdr:row>
      <xdr:rowOff>50800</xdr:rowOff>
    </xdr:to>
    <xdr:cxnSp macro="">
      <xdr:nvCxnSpPr>
        <xdr:cNvPr id="889054" name="Connecteur droit avec flèche 133">
          <a:extLst>
            <a:ext uri="{FF2B5EF4-FFF2-40B4-BE49-F238E27FC236}">
              <a16:creationId xmlns="" xmlns:a16="http://schemas.microsoft.com/office/drawing/2014/main" id="{00000000-0008-0000-2700-0000DE900D00}"/>
            </a:ext>
          </a:extLst>
        </xdr:cNvPr>
        <xdr:cNvCxnSpPr>
          <a:cxnSpLocks noChangeShapeType="1"/>
        </xdr:cNvCxnSpPr>
      </xdr:nvCxnSpPr>
      <xdr:spPr bwMode="auto">
        <a:xfrm>
          <a:off x="1714500" y="1828800"/>
          <a:ext cx="1689100" cy="508000"/>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xdr:col>
      <xdr:colOff>94614</xdr:colOff>
      <xdr:row>14</xdr:row>
      <xdr:rowOff>47315</xdr:rowOff>
    </xdr:from>
    <xdr:to>
      <xdr:col>15</xdr:col>
      <xdr:colOff>102842</xdr:colOff>
      <xdr:row>18</xdr:row>
      <xdr:rowOff>30412</xdr:rowOff>
    </xdr:to>
    <xdr:sp macro="" textlink="">
      <xdr:nvSpPr>
        <xdr:cNvPr id="135" name="ZoneTexte 134">
          <a:extLst>
            <a:ext uri="{FF2B5EF4-FFF2-40B4-BE49-F238E27FC236}">
              <a16:creationId xmlns="" xmlns:a16="http://schemas.microsoft.com/office/drawing/2014/main" id="{00000000-0008-0000-2700-000087000000}"/>
            </a:ext>
          </a:extLst>
        </xdr:cNvPr>
        <xdr:cNvSpPr txBox="1"/>
      </xdr:nvSpPr>
      <xdr:spPr>
        <a:xfrm rot="5400000">
          <a:off x="1009649" y="1014420"/>
          <a:ext cx="352425" cy="1495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vert270" wrap="square" rtlCol="0" anchor="t"/>
        <a:lstStyle/>
        <a:p>
          <a:pPr algn="ctr">
            <a:lnSpc>
              <a:spcPts val="1000"/>
            </a:lnSpc>
          </a:pPr>
          <a:r>
            <a:rPr lang="en-GB" sz="1050" b="1"/>
            <a:t>Tuyau</a:t>
          </a:r>
          <a:r>
            <a:rPr lang="en-GB" sz="1050" b="1" baseline="0"/>
            <a:t> de ventilation PVC160PN6</a:t>
          </a:r>
          <a:endParaRPr lang="en-GB" sz="1050" b="1"/>
        </a:p>
      </xdr:txBody>
    </xdr:sp>
    <xdr:clientData/>
  </xdr:twoCellAnchor>
  <xdr:twoCellAnchor>
    <xdr:from>
      <xdr:col>8</xdr:col>
      <xdr:colOff>88900</xdr:colOff>
      <xdr:row>141</xdr:row>
      <xdr:rowOff>50800</xdr:rowOff>
    </xdr:from>
    <xdr:to>
      <xdr:col>8</xdr:col>
      <xdr:colOff>88900</xdr:colOff>
      <xdr:row>144</xdr:row>
      <xdr:rowOff>12700</xdr:rowOff>
    </xdr:to>
    <xdr:cxnSp macro="">
      <xdr:nvCxnSpPr>
        <xdr:cNvPr id="889056" name="Connecteur droit 135">
          <a:extLst>
            <a:ext uri="{FF2B5EF4-FFF2-40B4-BE49-F238E27FC236}">
              <a16:creationId xmlns="" xmlns:a16="http://schemas.microsoft.com/office/drawing/2014/main" id="{00000000-0008-0000-2700-0000E0900D00}"/>
            </a:ext>
          </a:extLst>
        </xdr:cNvPr>
        <xdr:cNvCxnSpPr>
          <a:cxnSpLocks noChangeShapeType="1"/>
        </xdr:cNvCxnSpPr>
      </xdr:nvCxnSpPr>
      <xdr:spPr bwMode="auto">
        <a:xfrm rot="5400000">
          <a:off x="879475" y="13795375"/>
          <a:ext cx="24765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11</xdr:col>
      <xdr:colOff>60961</xdr:colOff>
      <xdr:row>140</xdr:row>
      <xdr:rowOff>57786</xdr:rowOff>
    </xdr:from>
    <xdr:to>
      <xdr:col>13</xdr:col>
      <xdr:colOff>114260</xdr:colOff>
      <xdr:row>145</xdr:row>
      <xdr:rowOff>630</xdr:rowOff>
    </xdr:to>
    <xdr:sp macro="" textlink="">
      <xdr:nvSpPr>
        <xdr:cNvPr id="137" name="Text Box 355">
          <a:extLst>
            <a:ext uri="{FF2B5EF4-FFF2-40B4-BE49-F238E27FC236}">
              <a16:creationId xmlns="" xmlns:a16="http://schemas.microsoft.com/office/drawing/2014/main" id="{00000000-0008-0000-2700-000089000000}"/>
            </a:ext>
          </a:extLst>
        </xdr:cNvPr>
        <xdr:cNvSpPr txBox="1">
          <a:spLocks noChangeArrowheads="1"/>
        </xdr:cNvSpPr>
      </xdr:nvSpPr>
      <xdr:spPr bwMode="auto">
        <a:xfrm>
          <a:off x="1419226" y="13601701"/>
          <a:ext cx="295274" cy="400049"/>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120</a:t>
          </a:r>
        </a:p>
      </xdr:txBody>
    </xdr:sp>
    <xdr:clientData/>
  </xdr:twoCellAnchor>
  <xdr:twoCellAnchor>
    <xdr:from>
      <xdr:col>39</xdr:col>
      <xdr:colOff>19050</xdr:colOff>
      <xdr:row>143</xdr:row>
      <xdr:rowOff>12700</xdr:rowOff>
    </xdr:from>
    <xdr:to>
      <xdr:col>45</xdr:col>
      <xdr:colOff>6350</xdr:colOff>
      <xdr:row>143</xdr:row>
      <xdr:rowOff>12700</xdr:rowOff>
    </xdr:to>
    <xdr:sp macro="" textlink="">
      <xdr:nvSpPr>
        <xdr:cNvPr id="889058" name="Line 377">
          <a:extLst>
            <a:ext uri="{FF2B5EF4-FFF2-40B4-BE49-F238E27FC236}">
              <a16:creationId xmlns="" xmlns:a16="http://schemas.microsoft.com/office/drawing/2014/main" id="{00000000-0008-0000-2700-0000E2900D00}"/>
            </a:ext>
          </a:extLst>
        </xdr:cNvPr>
        <xdr:cNvSpPr>
          <a:spLocks noChangeShapeType="1"/>
        </xdr:cNvSpPr>
      </xdr:nvSpPr>
      <xdr:spPr bwMode="auto">
        <a:xfrm>
          <a:off x="4476750" y="13823950"/>
          <a:ext cx="673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45</xdr:col>
      <xdr:colOff>31750</xdr:colOff>
      <xdr:row>141</xdr:row>
      <xdr:rowOff>57150</xdr:rowOff>
    </xdr:from>
    <xdr:to>
      <xdr:col>45</xdr:col>
      <xdr:colOff>31750</xdr:colOff>
      <xdr:row>144</xdr:row>
      <xdr:rowOff>19050</xdr:rowOff>
    </xdr:to>
    <xdr:cxnSp macro="">
      <xdr:nvCxnSpPr>
        <xdr:cNvPr id="889059" name="Connecteur droit 138">
          <a:extLst>
            <a:ext uri="{FF2B5EF4-FFF2-40B4-BE49-F238E27FC236}">
              <a16:creationId xmlns="" xmlns:a16="http://schemas.microsoft.com/office/drawing/2014/main" id="{00000000-0008-0000-2700-0000E3900D00}"/>
            </a:ext>
          </a:extLst>
        </xdr:cNvPr>
        <xdr:cNvCxnSpPr>
          <a:cxnSpLocks noChangeShapeType="1"/>
        </xdr:cNvCxnSpPr>
      </xdr:nvCxnSpPr>
      <xdr:spPr bwMode="auto">
        <a:xfrm rot="5400000">
          <a:off x="5051425" y="13801725"/>
          <a:ext cx="24765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41</xdr:col>
      <xdr:colOff>57787</xdr:colOff>
      <xdr:row>141</xdr:row>
      <xdr:rowOff>60960</xdr:rowOff>
    </xdr:from>
    <xdr:to>
      <xdr:col>44</xdr:col>
      <xdr:colOff>251</xdr:colOff>
      <xdr:row>145</xdr:row>
      <xdr:rowOff>9214</xdr:rowOff>
    </xdr:to>
    <xdr:sp macro="" textlink="">
      <xdr:nvSpPr>
        <xdr:cNvPr id="140" name="Text Box 355">
          <a:extLst>
            <a:ext uri="{FF2B5EF4-FFF2-40B4-BE49-F238E27FC236}">
              <a16:creationId xmlns="" xmlns:a16="http://schemas.microsoft.com/office/drawing/2014/main" id="{00000000-0008-0000-2700-00008C000000}"/>
            </a:ext>
          </a:extLst>
        </xdr:cNvPr>
        <xdr:cNvSpPr txBox="1">
          <a:spLocks noChangeArrowheads="1"/>
        </xdr:cNvSpPr>
      </xdr:nvSpPr>
      <xdr:spPr bwMode="auto">
        <a:xfrm>
          <a:off x="4857752" y="13658850"/>
          <a:ext cx="285748" cy="3619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50</a:t>
          </a:r>
        </a:p>
      </xdr:txBody>
    </xdr:sp>
    <xdr:clientData/>
  </xdr:twoCellAnchor>
  <xdr:twoCellAnchor>
    <xdr:from>
      <xdr:col>35</xdr:col>
      <xdr:colOff>19050</xdr:colOff>
      <xdr:row>156</xdr:row>
      <xdr:rowOff>50800</xdr:rowOff>
    </xdr:from>
    <xdr:to>
      <xdr:col>35</xdr:col>
      <xdr:colOff>19050</xdr:colOff>
      <xdr:row>163</xdr:row>
      <xdr:rowOff>0</xdr:rowOff>
    </xdr:to>
    <xdr:cxnSp macro="">
      <xdr:nvCxnSpPr>
        <xdr:cNvPr id="889061" name="Connecteur droit avec flèche 140">
          <a:extLst>
            <a:ext uri="{FF2B5EF4-FFF2-40B4-BE49-F238E27FC236}">
              <a16:creationId xmlns="" xmlns:a16="http://schemas.microsoft.com/office/drawing/2014/main" id="{00000000-0008-0000-2700-0000E5900D00}"/>
            </a:ext>
          </a:extLst>
        </xdr:cNvPr>
        <xdr:cNvCxnSpPr>
          <a:cxnSpLocks noChangeShapeType="1"/>
        </xdr:cNvCxnSpPr>
      </xdr:nvCxnSpPr>
      <xdr:spPr bwMode="auto">
        <a:xfrm rot="5400000">
          <a:off x="3711575" y="15408275"/>
          <a:ext cx="61595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33</xdr:col>
      <xdr:colOff>60962</xdr:colOff>
      <xdr:row>158</xdr:row>
      <xdr:rowOff>60960</xdr:rowOff>
    </xdr:from>
    <xdr:to>
      <xdr:col>34</xdr:col>
      <xdr:colOff>114217</xdr:colOff>
      <xdr:row>163</xdr:row>
      <xdr:rowOff>9396</xdr:rowOff>
    </xdr:to>
    <xdr:sp macro="" textlink="">
      <xdr:nvSpPr>
        <xdr:cNvPr id="142" name="Text Box 419">
          <a:extLst>
            <a:ext uri="{FF2B5EF4-FFF2-40B4-BE49-F238E27FC236}">
              <a16:creationId xmlns="" xmlns:a16="http://schemas.microsoft.com/office/drawing/2014/main" id="{00000000-0008-0000-2700-00008E000000}"/>
            </a:ext>
          </a:extLst>
        </xdr:cNvPr>
        <xdr:cNvSpPr txBox="1">
          <a:spLocks noChangeArrowheads="1"/>
        </xdr:cNvSpPr>
      </xdr:nvSpPr>
      <xdr:spPr bwMode="auto">
        <a:xfrm>
          <a:off x="3933827" y="15278100"/>
          <a:ext cx="180973" cy="4476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50</a:t>
          </a:r>
        </a:p>
      </xdr:txBody>
    </xdr:sp>
    <xdr:clientData/>
  </xdr:twoCellAnchor>
  <xdr:twoCellAnchor>
    <xdr:from>
      <xdr:col>34</xdr:col>
      <xdr:colOff>57150</xdr:colOff>
      <xdr:row>156</xdr:row>
      <xdr:rowOff>38100</xdr:rowOff>
    </xdr:from>
    <xdr:to>
      <xdr:col>36</xdr:col>
      <xdr:colOff>57150</xdr:colOff>
      <xdr:row>156</xdr:row>
      <xdr:rowOff>38100</xdr:rowOff>
    </xdr:to>
    <xdr:cxnSp macro="">
      <xdr:nvCxnSpPr>
        <xdr:cNvPr id="889063" name="Connecteur droit 142">
          <a:extLst>
            <a:ext uri="{FF2B5EF4-FFF2-40B4-BE49-F238E27FC236}">
              <a16:creationId xmlns="" xmlns:a16="http://schemas.microsoft.com/office/drawing/2014/main" id="{00000000-0008-0000-2700-0000E7900D00}"/>
            </a:ext>
          </a:extLst>
        </xdr:cNvPr>
        <xdr:cNvCxnSpPr>
          <a:cxnSpLocks noChangeShapeType="1"/>
        </xdr:cNvCxnSpPr>
      </xdr:nvCxnSpPr>
      <xdr:spPr bwMode="auto">
        <a:xfrm rot="10800000">
          <a:off x="3943350" y="15087600"/>
          <a:ext cx="22860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39</xdr:col>
      <xdr:colOff>19050</xdr:colOff>
      <xdr:row>146</xdr:row>
      <xdr:rowOff>38100</xdr:rowOff>
    </xdr:from>
    <xdr:to>
      <xdr:col>46</xdr:col>
      <xdr:colOff>31750</xdr:colOff>
      <xdr:row>152</xdr:row>
      <xdr:rowOff>12700</xdr:rowOff>
    </xdr:to>
    <xdr:cxnSp macro="">
      <xdr:nvCxnSpPr>
        <xdr:cNvPr id="889064" name="Connecteur droit avec flèche 143">
          <a:extLst>
            <a:ext uri="{FF2B5EF4-FFF2-40B4-BE49-F238E27FC236}">
              <a16:creationId xmlns="" xmlns:a16="http://schemas.microsoft.com/office/drawing/2014/main" id="{00000000-0008-0000-2700-0000E8900D00}"/>
            </a:ext>
          </a:extLst>
        </xdr:cNvPr>
        <xdr:cNvCxnSpPr>
          <a:cxnSpLocks noChangeShapeType="1"/>
          <a:endCxn id="888975" idx="3"/>
        </xdr:cNvCxnSpPr>
      </xdr:nvCxnSpPr>
      <xdr:spPr bwMode="auto">
        <a:xfrm rot="10800000">
          <a:off x="4476750" y="14135100"/>
          <a:ext cx="812800" cy="5461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39</xdr:col>
      <xdr:colOff>19050</xdr:colOff>
      <xdr:row>152</xdr:row>
      <xdr:rowOff>31750</xdr:rowOff>
    </xdr:from>
    <xdr:to>
      <xdr:col>46</xdr:col>
      <xdr:colOff>31750</xdr:colOff>
      <xdr:row>155</xdr:row>
      <xdr:rowOff>63500</xdr:rowOff>
    </xdr:to>
    <xdr:cxnSp macro="">
      <xdr:nvCxnSpPr>
        <xdr:cNvPr id="889065" name="Connecteur droit avec flèche 144">
          <a:extLst>
            <a:ext uri="{FF2B5EF4-FFF2-40B4-BE49-F238E27FC236}">
              <a16:creationId xmlns="" xmlns:a16="http://schemas.microsoft.com/office/drawing/2014/main" id="{00000000-0008-0000-2700-0000E9900D00}"/>
            </a:ext>
          </a:extLst>
        </xdr:cNvPr>
        <xdr:cNvCxnSpPr>
          <a:cxnSpLocks noChangeShapeType="1"/>
          <a:endCxn id="888973" idx="3"/>
        </xdr:cNvCxnSpPr>
      </xdr:nvCxnSpPr>
      <xdr:spPr bwMode="auto">
        <a:xfrm rot="10800000" flipV="1">
          <a:off x="4476750" y="14700250"/>
          <a:ext cx="812800" cy="3175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45</xdr:col>
      <xdr:colOff>47625</xdr:colOff>
      <xdr:row>151</xdr:row>
      <xdr:rowOff>9525</xdr:rowOff>
    </xdr:from>
    <xdr:to>
      <xdr:col>59</xdr:col>
      <xdr:colOff>61804</xdr:colOff>
      <xdr:row>153</xdr:row>
      <xdr:rowOff>60498</xdr:rowOff>
    </xdr:to>
    <xdr:sp macro="" textlink="">
      <xdr:nvSpPr>
        <xdr:cNvPr id="146" name="Text Box 388">
          <a:extLst>
            <a:ext uri="{FF2B5EF4-FFF2-40B4-BE49-F238E27FC236}">
              <a16:creationId xmlns="" xmlns:a16="http://schemas.microsoft.com/office/drawing/2014/main" id="{00000000-0008-0000-2700-000092000000}"/>
            </a:ext>
          </a:extLst>
        </xdr:cNvPr>
        <xdr:cNvSpPr txBox="1">
          <a:spLocks noChangeArrowheads="1"/>
        </xdr:cNvSpPr>
      </xdr:nvSpPr>
      <xdr:spPr bwMode="auto">
        <a:xfrm>
          <a:off x="5324475" y="14592300"/>
          <a:ext cx="1552575" cy="2095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Trous</a:t>
          </a:r>
          <a:r>
            <a:rPr lang="fr-FR" sz="1000" b="1" i="0" strike="noStrike" baseline="0">
              <a:solidFill>
                <a:srgbClr val="000000"/>
              </a:solidFill>
              <a:latin typeface="Arial"/>
              <a:cs typeface="Arial"/>
            </a:rPr>
            <a:t> pour barbacanes</a:t>
          </a:r>
          <a:endParaRPr lang="fr-FR" sz="1000" b="1" i="0" strike="noStrike">
            <a:solidFill>
              <a:srgbClr val="000000"/>
            </a:solidFill>
            <a:latin typeface="Arial"/>
            <a:cs typeface="Arial"/>
          </a:endParaRPr>
        </a:p>
      </xdr:txBody>
    </xdr:sp>
    <xdr:clientData/>
  </xdr:twoCellAnchor>
  <xdr:twoCellAnchor>
    <xdr:from>
      <xdr:col>31</xdr:col>
      <xdr:colOff>57785</xdr:colOff>
      <xdr:row>137</xdr:row>
      <xdr:rowOff>60960</xdr:rowOff>
    </xdr:from>
    <xdr:to>
      <xdr:col>32</xdr:col>
      <xdr:colOff>80280</xdr:colOff>
      <xdr:row>139</xdr:row>
      <xdr:rowOff>8816</xdr:rowOff>
    </xdr:to>
    <xdr:sp macro="" textlink="">
      <xdr:nvSpPr>
        <xdr:cNvPr id="147" name="Arc plein 146">
          <a:extLst>
            <a:ext uri="{FF2B5EF4-FFF2-40B4-BE49-F238E27FC236}">
              <a16:creationId xmlns="" xmlns:a16="http://schemas.microsoft.com/office/drawing/2014/main" id="{00000000-0008-0000-2700-000093000000}"/>
            </a:ext>
          </a:extLst>
        </xdr:cNvPr>
        <xdr:cNvSpPr/>
      </xdr:nvSpPr>
      <xdr:spPr bwMode="auto">
        <a:xfrm>
          <a:off x="3733800" y="13287375"/>
          <a:ext cx="123825" cy="161925"/>
        </a:xfrm>
        <a:prstGeom prst="blockArc">
          <a:avLst/>
        </a:prstGeom>
        <a:solidFill>
          <a:schemeClr val="tx1">
            <a:lumMod val="65000"/>
            <a:lumOff val="3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p>
      </xdr:txBody>
    </xdr:sp>
    <xdr:clientData/>
  </xdr:twoCellAnchor>
  <xdr:twoCellAnchor>
    <xdr:from>
      <xdr:col>36</xdr:col>
      <xdr:colOff>57785</xdr:colOff>
      <xdr:row>137</xdr:row>
      <xdr:rowOff>60960</xdr:rowOff>
    </xdr:from>
    <xdr:to>
      <xdr:col>37</xdr:col>
      <xdr:colOff>48598</xdr:colOff>
      <xdr:row>139</xdr:row>
      <xdr:rowOff>8816</xdr:rowOff>
    </xdr:to>
    <xdr:sp macro="" textlink="">
      <xdr:nvSpPr>
        <xdr:cNvPr id="148" name="Arc plein 147">
          <a:extLst>
            <a:ext uri="{FF2B5EF4-FFF2-40B4-BE49-F238E27FC236}">
              <a16:creationId xmlns="" xmlns:a16="http://schemas.microsoft.com/office/drawing/2014/main" id="{00000000-0008-0000-2700-000094000000}"/>
            </a:ext>
          </a:extLst>
        </xdr:cNvPr>
        <xdr:cNvSpPr/>
      </xdr:nvSpPr>
      <xdr:spPr bwMode="auto">
        <a:xfrm>
          <a:off x="4286250" y="13287375"/>
          <a:ext cx="123825" cy="161925"/>
        </a:xfrm>
        <a:prstGeom prst="blockArc">
          <a:avLst/>
        </a:prstGeom>
        <a:solidFill>
          <a:schemeClr val="tx1">
            <a:lumMod val="65000"/>
            <a:lumOff val="3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p>
      </xdr:txBody>
    </xdr:sp>
    <xdr:clientData/>
  </xdr:twoCellAnchor>
  <xdr:twoCellAnchor>
    <xdr:from>
      <xdr:col>65</xdr:col>
      <xdr:colOff>63500</xdr:colOff>
      <xdr:row>14</xdr:row>
      <xdr:rowOff>19050</xdr:rowOff>
    </xdr:from>
    <xdr:to>
      <xdr:col>70</xdr:col>
      <xdr:colOff>31750</xdr:colOff>
      <xdr:row>14</xdr:row>
      <xdr:rowOff>31750</xdr:rowOff>
    </xdr:to>
    <xdr:cxnSp macro="">
      <xdr:nvCxnSpPr>
        <xdr:cNvPr id="889069" name="Connecteur droit avec flèche 148">
          <a:extLst>
            <a:ext uri="{FF2B5EF4-FFF2-40B4-BE49-F238E27FC236}">
              <a16:creationId xmlns="" xmlns:a16="http://schemas.microsoft.com/office/drawing/2014/main" id="{00000000-0008-0000-2700-0000ED900D00}"/>
            </a:ext>
          </a:extLst>
        </xdr:cNvPr>
        <xdr:cNvCxnSpPr>
          <a:cxnSpLocks noChangeShapeType="1"/>
          <a:stCxn id="331" idx="2"/>
        </xdr:cNvCxnSpPr>
      </xdr:nvCxnSpPr>
      <xdr:spPr bwMode="auto">
        <a:xfrm rot="10800000" flipH="1" flipV="1">
          <a:off x="7493000" y="1543050"/>
          <a:ext cx="539750" cy="1270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40</xdr:col>
      <xdr:colOff>60960</xdr:colOff>
      <xdr:row>27</xdr:row>
      <xdr:rowOff>74295</xdr:rowOff>
    </xdr:from>
    <xdr:to>
      <xdr:col>42</xdr:col>
      <xdr:colOff>60960</xdr:colOff>
      <xdr:row>32</xdr:row>
      <xdr:rowOff>1778</xdr:rowOff>
    </xdr:to>
    <xdr:grpSp>
      <xdr:nvGrpSpPr>
        <xdr:cNvPr id="397" name="Groupe 149">
          <a:extLst>
            <a:ext uri="{FF2B5EF4-FFF2-40B4-BE49-F238E27FC236}">
              <a16:creationId xmlns="" xmlns:a16="http://schemas.microsoft.com/office/drawing/2014/main" id="{00000000-0008-0000-2700-00008D010000}"/>
            </a:ext>
          </a:extLst>
        </xdr:cNvPr>
        <xdr:cNvGrpSpPr/>
      </xdr:nvGrpSpPr>
      <xdr:grpSpPr>
        <a:xfrm rot="16200000">
          <a:off x="4545393" y="2924112"/>
          <a:ext cx="403733" cy="228600"/>
          <a:chOff x="7810500" y="1704976"/>
          <a:chExt cx="1104900" cy="514350"/>
        </a:xfrm>
        <a:solidFill>
          <a:schemeClr val="tx2">
            <a:lumMod val="60000"/>
            <a:lumOff val="40000"/>
          </a:schemeClr>
        </a:solidFill>
      </xdr:grpSpPr>
      <xdr:sp macro="" textlink="">
        <xdr:nvSpPr>
          <xdr:cNvPr id="151" name="Ellipse 150">
            <a:extLst>
              <a:ext uri="{FF2B5EF4-FFF2-40B4-BE49-F238E27FC236}">
                <a16:creationId xmlns="" xmlns:a16="http://schemas.microsoft.com/office/drawing/2014/main" id="{00000000-0008-0000-2700-000097000000}"/>
              </a:ext>
            </a:extLst>
          </xdr:cNvPr>
          <xdr:cNvSpPr/>
        </xdr:nvSpPr>
        <xdr:spPr bwMode="auto">
          <a:xfrm>
            <a:off x="8562626" y="1753555"/>
            <a:ext cx="260672" cy="342900"/>
          </a:xfrm>
          <a:prstGeom prst="ellipse">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152" name="Organigramme : Délai 151">
            <a:extLst>
              <a:ext uri="{FF2B5EF4-FFF2-40B4-BE49-F238E27FC236}">
                <a16:creationId xmlns="" xmlns:a16="http://schemas.microsoft.com/office/drawing/2014/main" id="{00000000-0008-0000-2700-000098000000}"/>
              </a:ext>
            </a:extLst>
          </xdr:cNvPr>
          <xdr:cNvSpPr/>
        </xdr:nvSpPr>
        <xdr:spPr bwMode="auto">
          <a:xfrm>
            <a:off x="8805919" y="1753555"/>
            <a:ext cx="538721" cy="342900"/>
          </a:xfrm>
          <a:prstGeom prst="flowChartDelay">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153" name="Ellipse 152">
            <a:extLst>
              <a:ext uri="{FF2B5EF4-FFF2-40B4-BE49-F238E27FC236}">
                <a16:creationId xmlns="" xmlns:a16="http://schemas.microsoft.com/office/drawing/2014/main" id="{00000000-0008-0000-2700-000099000000}"/>
              </a:ext>
            </a:extLst>
          </xdr:cNvPr>
          <xdr:cNvSpPr/>
        </xdr:nvSpPr>
        <xdr:spPr bwMode="auto">
          <a:xfrm>
            <a:off x="9066591" y="1667830"/>
            <a:ext cx="295428" cy="514350"/>
          </a:xfrm>
          <a:prstGeom prst="ellipse">
            <a:avLst/>
          </a:prstGeom>
          <a:solidFill>
            <a:schemeClr val="accent1">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grpSp>
    <xdr:clientData/>
  </xdr:twoCellAnchor>
  <xdr:twoCellAnchor editAs="oneCell">
    <xdr:from>
      <xdr:col>30</xdr:col>
      <xdr:colOff>94618</xdr:colOff>
      <xdr:row>25</xdr:row>
      <xdr:rowOff>57787</xdr:rowOff>
    </xdr:from>
    <xdr:to>
      <xdr:col>31</xdr:col>
      <xdr:colOff>114196</xdr:colOff>
      <xdr:row>28</xdr:row>
      <xdr:rowOff>90749</xdr:rowOff>
    </xdr:to>
    <xdr:sp macro="" textlink="">
      <xdr:nvSpPr>
        <xdr:cNvPr id="154" name="Text Box 507">
          <a:extLst>
            <a:ext uri="{FF2B5EF4-FFF2-40B4-BE49-F238E27FC236}">
              <a16:creationId xmlns="" xmlns:a16="http://schemas.microsoft.com/office/drawing/2014/main" id="{00000000-0008-0000-2700-00009A000000}"/>
            </a:ext>
          </a:extLst>
        </xdr:cNvPr>
        <xdr:cNvSpPr txBox="1">
          <a:spLocks noChangeArrowheads="1"/>
        </xdr:cNvSpPr>
      </xdr:nvSpPr>
      <xdr:spPr bwMode="auto">
        <a:xfrm>
          <a:off x="3638553" y="2628902"/>
          <a:ext cx="133348" cy="32384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FFFF00"/>
              </a:solidFill>
              <a:latin typeface="Arial"/>
              <a:cs typeface="Arial"/>
            </a:rPr>
            <a:t>25</a:t>
          </a:r>
        </a:p>
      </xdr:txBody>
    </xdr:sp>
    <xdr:clientData/>
  </xdr:twoCellAnchor>
  <xdr:twoCellAnchor>
    <xdr:from>
      <xdr:col>16</xdr:col>
      <xdr:colOff>0</xdr:colOff>
      <xdr:row>139</xdr:row>
      <xdr:rowOff>38100</xdr:rowOff>
    </xdr:from>
    <xdr:to>
      <xdr:col>22</xdr:col>
      <xdr:colOff>0</xdr:colOff>
      <xdr:row>139</xdr:row>
      <xdr:rowOff>38100</xdr:rowOff>
    </xdr:to>
    <xdr:cxnSp macro="">
      <xdr:nvCxnSpPr>
        <xdr:cNvPr id="889072" name="Connecteur droit 154">
          <a:extLst>
            <a:ext uri="{FF2B5EF4-FFF2-40B4-BE49-F238E27FC236}">
              <a16:creationId xmlns="" xmlns:a16="http://schemas.microsoft.com/office/drawing/2014/main" id="{00000000-0008-0000-2700-0000F0900D00}"/>
            </a:ext>
          </a:extLst>
        </xdr:cNvPr>
        <xdr:cNvCxnSpPr>
          <a:cxnSpLocks noChangeShapeType="1"/>
        </xdr:cNvCxnSpPr>
      </xdr:nvCxnSpPr>
      <xdr:spPr bwMode="auto">
        <a:xfrm rot="10800000" flipH="1">
          <a:off x="1828800" y="13468350"/>
          <a:ext cx="6858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16</xdr:col>
      <xdr:colOff>47625</xdr:colOff>
      <xdr:row>138</xdr:row>
      <xdr:rowOff>47625</xdr:rowOff>
    </xdr:from>
    <xdr:to>
      <xdr:col>17</xdr:col>
      <xdr:colOff>1351</xdr:colOff>
      <xdr:row>139</xdr:row>
      <xdr:rowOff>12943</xdr:rowOff>
    </xdr:to>
    <xdr:sp macro="" textlink="">
      <xdr:nvSpPr>
        <xdr:cNvPr id="156" name="Ellipse 155">
          <a:extLst>
            <a:ext uri="{FF2B5EF4-FFF2-40B4-BE49-F238E27FC236}">
              <a16:creationId xmlns="" xmlns:a16="http://schemas.microsoft.com/office/drawing/2014/main" id="{00000000-0008-0000-2700-00009C000000}"/>
            </a:ext>
          </a:extLst>
        </xdr:cNvPr>
        <xdr:cNvSpPr/>
      </xdr:nvSpPr>
      <xdr:spPr bwMode="auto">
        <a:xfrm>
          <a:off x="2009775" y="13401675"/>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26</xdr:col>
      <xdr:colOff>635</xdr:colOff>
      <xdr:row>138</xdr:row>
      <xdr:rowOff>57785</xdr:rowOff>
    </xdr:from>
    <xdr:to>
      <xdr:col>26</xdr:col>
      <xdr:colOff>59370</xdr:colOff>
      <xdr:row>139</xdr:row>
      <xdr:rowOff>11712</xdr:rowOff>
    </xdr:to>
    <xdr:sp macro="" textlink="">
      <xdr:nvSpPr>
        <xdr:cNvPr id="157" name="Ellipse 156">
          <a:extLst>
            <a:ext uri="{FF2B5EF4-FFF2-40B4-BE49-F238E27FC236}">
              <a16:creationId xmlns="" xmlns:a16="http://schemas.microsoft.com/office/drawing/2014/main" id="{00000000-0008-0000-2700-00009D000000}"/>
            </a:ext>
          </a:extLst>
        </xdr:cNvPr>
        <xdr:cNvSpPr/>
      </xdr:nvSpPr>
      <xdr:spPr bwMode="auto">
        <a:xfrm>
          <a:off x="3095625" y="13411200"/>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24</xdr:col>
      <xdr:colOff>47625</xdr:colOff>
      <xdr:row>138</xdr:row>
      <xdr:rowOff>57785</xdr:rowOff>
    </xdr:from>
    <xdr:to>
      <xdr:col>25</xdr:col>
      <xdr:colOff>1351</xdr:colOff>
      <xdr:row>139</xdr:row>
      <xdr:rowOff>11712</xdr:rowOff>
    </xdr:to>
    <xdr:sp macro="" textlink="">
      <xdr:nvSpPr>
        <xdr:cNvPr id="158" name="Ellipse 157">
          <a:extLst>
            <a:ext uri="{FF2B5EF4-FFF2-40B4-BE49-F238E27FC236}">
              <a16:creationId xmlns="" xmlns:a16="http://schemas.microsoft.com/office/drawing/2014/main" id="{00000000-0008-0000-2700-00009E000000}"/>
            </a:ext>
          </a:extLst>
        </xdr:cNvPr>
        <xdr:cNvSpPr/>
      </xdr:nvSpPr>
      <xdr:spPr bwMode="auto">
        <a:xfrm>
          <a:off x="2924175" y="13411200"/>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19</xdr:col>
      <xdr:colOff>47625</xdr:colOff>
      <xdr:row>138</xdr:row>
      <xdr:rowOff>47625</xdr:rowOff>
    </xdr:from>
    <xdr:to>
      <xdr:col>20</xdr:col>
      <xdr:colOff>1351</xdr:colOff>
      <xdr:row>139</xdr:row>
      <xdr:rowOff>12943</xdr:rowOff>
    </xdr:to>
    <xdr:sp macro="" textlink="">
      <xdr:nvSpPr>
        <xdr:cNvPr id="159" name="Ellipse 158">
          <a:extLst>
            <a:ext uri="{FF2B5EF4-FFF2-40B4-BE49-F238E27FC236}">
              <a16:creationId xmlns="" xmlns:a16="http://schemas.microsoft.com/office/drawing/2014/main" id="{00000000-0008-0000-2700-00009F000000}"/>
            </a:ext>
          </a:extLst>
        </xdr:cNvPr>
        <xdr:cNvSpPr/>
      </xdr:nvSpPr>
      <xdr:spPr bwMode="auto">
        <a:xfrm>
          <a:off x="2352675" y="13401675"/>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21</xdr:col>
      <xdr:colOff>61595</xdr:colOff>
      <xdr:row>138</xdr:row>
      <xdr:rowOff>57785</xdr:rowOff>
    </xdr:from>
    <xdr:to>
      <xdr:col>21</xdr:col>
      <xdr:colOff>57531</xdr:colOff>
      <xdr:row>139</xdr:row>
      <xdr:rowOff>10543</xdr:rowOff>
    </xdr:to>
    <xdr:sp macro="" textlink="">
      <xdr:nvSpPr>
        <xdr:cNvPr id="160" name="Ellipse 159">
          <a:extLst>
            <a:ext uri="{FF2B5EF4-FFF2-40B4-BE49-F238E27FC236}">
              <a16:creationId xmlns="" xmlns:a16="http://schemas.microsoft.com/office/drawing/2014/main" id="{00000000-0008-0000-2700-0000A0000000}"/>
            </a:ext>
          </a:extLst>
        </xdr:cNvPr>
        <xdr:cNvSpPr/>
      </xdr:nvSpPr>
      <xdr:spPr bwMode="auto">
        <a:xfrm>
          <a:off x="2533650" y="13392150"/>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18</xdr:col>
      <xdr:colOff>20320</xdr:colOff>
      <xdr:row>138</xdr:row>
      <xdr:rowOff>47625</xdr:rowOff>
    </xdr:from>
    <xdr:to>
      <xdr:col>18</xdr:col>
      <xdr:colOff>59528</xdr:colOff>
      <xdr:row>139</xdr:row>
      <xdr:rowOff>12943</xdr:rowOff>
    </xdr:to>
    <xdr:sp macro="" textlink="">
      <xdr:nvSpPr>
        <xdr:cNvPr id="161" name="Ellipse 160">
          <a:extLst>
            <a:ext uri="{FF2B5EF4-FFF2-40B4-BE49-F238E27FC236}">
              <a16:creationId xmlns="" xmlns:a16="http://schemas.microsoft.com/office/drawing/2014/main" id="{00000000-0008-0000-2700-0000A1000000}"/>
            </a:ext>
          </a:extLst>
        </xdr:cNvPr>
        <xdr:cNvSpPr/>
      </xdr:nvSpPr>
      <xdr:spPr bwMode="auto">
        <a:xfrm>
          <a:off x="2200275" y="13401675"/>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29</xdr:col>
      <xdr:colOff>60960</xdr:colOff>
      <xdr:row>138</xdr:row>
      <xdr:rowOff>57785</xdr:rowOff>
    </xdr:from>
    <xdr:to>
      <xdr:col>29</xdr:col>
      <xdr:colOff>87451</xdr:colOff>
      <xdr:row>139</xdr:row>
      <xdr:rowOff>11712</xdr:rowOff>
    </xdr:to>
    <xdr:sp macro="" textlink="">
      <xdr:nvSpPr>
        <xdr:cNvPr id="162" name="Ellipse 161">
          <a:extLst>
            <a:ext uri="{FF2B5EF4-FFF2-40B4-BE49-F238E27FC236}">
              <a16:creationId xmlns="" xmlns:a16="http://schemas.microsoft.com/office/drawing/2014/main" id="{00000000-0008-0000-2700-0000A2000000}"/>
            </a:ext>
          </a:extLst>
        </xdr:cNvPr>
        <xdr:cNvSpPr/>
      </xdr:nvSpPr>
      <xdr:spPr bwMode="auto">
        <a:xfrm>
          <a:off x="3467100" y="13411200"/>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27</xdr:col>
      <xdr:colOff>94615</xdr:colOff>
      <xdr:row>138</xdr:row>
      <xdr:rowOff>57785</xdr:rowOff>
    </xdr:from>
    <xdr:to>
      <xdr:col>28</xdr:col>
      <xdr:colOff>25271</xdr:colOff>
      <xdr:row>139</xdr:row>
      <xdr:rowOff>11712</xdr:rowOff>
    </xdr:to>
    <xdr:sp macro="" textlink="">
      <xdr:nvSpPr>
        <xdr:cNvPr id="163" name="Ellipse 162">
          <a:extLst>
            <a:ext uri="{FF2B5EF4-FFF2-40B4-BE49-F238E27FC236}">
              <a16:creationId xmlns="" xmlns:a16="http://schemas.microsoft.com/office/drawing/2014/main" id="{00000000-0008-0000-2700-0000A3000000}"/>
            </a:ext>
          </a:extLst>
        </xdr:cNvPr>
        <xdr:cNvSpPr/>
      </xdr:nvSpPr>
      <xdr:spPr bwMode="auto">
        <a:xfrm>
          <a:off x="3295650" y="13411200"/>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24</xdr:col>
      <xdr:colOff>6350</xdr:colOff>
      <xdr:row>139</xdr:row>
      <xdr:rowOff>38100</xdr:rowOff>
    </xdr:from>
    <xdr:to>
      <xdr:col>30</xdr:col>
      <xdr:colOff>6350</xdr:colOff>
      <xdr:row>139</xdr:row>
      <xdr:rowOff>38100</xdr:rowOff>
    </xdr:to>
    <xdr:cxnSp macro="">
      <xdr:nvCxnSpPr>
        <xdr:cNvPr id="889081" name="Connecteur droit 163">
          <a:extLst>
            <a:ext uri="{FF2B5EF4-FFF2-40B4-BE49-F238E27FC236}">
              <a16:creationId xmlns="" xmlns:a16="http://schemas.microsoft.com/office/drawing/2014/main" id="{00000000-0008-0000-2700-0000F9900D00}"/>
            </a:ext>
          </a:extLst>
        </xdr:cNvPr>
        <xdr:cNvCxnSpPr>
          <a:cxnSpLocks noChangeShapeType="1"/>
        </xdr:cNvCxnSpPr>
      </xdr:nvCxnSpPr>
      <xdr:spPr bwMode="auto">
        <a:xfrm rot="10800000" flipH="1">
          <a:off x="2749550" y="13468350"/>
          <a:ext cx="6858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30</xdr:col>
      <xdr:colOff>63500</xdr:colOff>
      <xdr:row>139</xdr:row>
      <xdr:rowOff>19050</xdr:rowOff>
    </xdr:from>
    <xdr:to>
      <xdr:col>39</xdr:col>
      <xdr:colOff>19050</xdr:colOff>
      <xdr:row>139</xdr:row>
      <xdr:rowOff>19050</xdr:rowOff>
    </xdr:to>
    <xdr:cxnSp macro="">
      <xdr:nvCxnSpPr>
        <xdr:cNvPr id="889082" name="Connecteur droit 164">
          <a:extLst>
            <a:ext uri="{FF2B5EF4-FFF2-40B4-BE49-F238E27FC236}">
              <a16:creationId xmlns="" xmlns:a16="http://schemas.microsoft.com/office/drawing/2014/main" id="{00000000-0008-0000-2700-0000FA900D00}"/>
            </a:ext>
          </a:extLst>
        </xdr:cNvPr>
        <xdr:cNvCxnSpPr>
          <a:cxnSpLocks noChangeShapeType="1"/>
        </xdr:cNvCxnSpPr>
      </xdr:nvCxnSpPr>
      <xdr:spPr bwMode="auto">
        <a:xfrm>
          <a:off x="3492500" y="13449300"/>
          <a:ext cx="98425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35</xdr:col>
      <xdr:colOff>81915</xdr:colOff>
      <xdr:row>138</xdr:row>
      <xdr:rowOff>57785</xdr:rowOff>
    </xdr:from>
    <xdr:to>
      <xdr:col>36</xdr:col>
      <xdr:colOff>47465</xdr:colOff>
      <xdr:row>139</xdr:row>
      <xdr:rowOff>10543</xdr:rowOff>
    </xdr:to>
    <xdr:sp macro="" textlink="">
      <xdr:nvSpPr>
        <xdr:cNvPr id="166" name="Ellipse 165">
          <a:extLst>
            <a:ext uri="{FF2B5EF4-FFF2-40B4-BE49-F238E27FC236}">
              <a16:creationId xmlns="" xmlns:a16="http://schemas.microsoft.com/office/drawing/2014/main" id="{00000000-0008-0000-2700-0000A6000000}"/>
            </a:ext>
          </a:extLst>
        </xdr:cNvPr>
        <xdr:cNvSpPr/>
      </xdr:nvSpPr>
      <xdr:spPr bwMode="auto">
        <a:xfrm>
          <a:off x="4200525" y="13392150"/>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31</xdr:col>
      <xdr:colOff>94615</xdr:colOff>
      <xdr:row>138</xdr:row>
      <xdr:rowOff>57785</xdr:rowOff>
    </xdr:from>
    <xdr:to>
      <xdr:col>32</xdr:col>
      <xdr:colOff>25271</xdr:colOff>
      <xdr:row>139</xdr:row>
      <xdr:rowOff>10543</xdr:rowOff>
    </xdr:to>
    <xdr:sp macro="" textlink="">
      <xdr:nvSpPr>
        <xdr:cNvPr id="167" name="Ellipse 166">
          <a:extLst>
            <a:ext uri="{FF2B5EF4-FFF2-40B4-BE49-F238E27FC236}">
              <a16:creationId xmlns="" xmlns:a16="http://schemas.microsoft.com/office/drawing/2014/main" id="{00000000-0008-0000-2700-0000A7000000}"/>
            </a:ext>
          </a:extLst>
        </xdr:cNvPr>
        <xdr:cNvSpPr/>
      </xdr:nvSpPr>
      <xdr:spPr bwMode="auto">
        <a:xfrm>
          <a:off x="3752850" y="13392150"/>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37</xdr:col>
      <xdr:colOff>81915</xdr:colOff>
      <xdr:row>138</xdr:row>
      <xdr:rowOff>47625</xdr:rowOff>
    </xdr:from>
    <xdr:to>
      <xdr:col>38</xdr:col>
      <xdr:colOff>47465</xdr:colOff>
      <xdr:row>139</xdr:row>
      <xdr:rowOff>12943</xdr:rowOff>
    </xdr:to>
    <xdr:sp macro="" textlink="">
      <xdr:nvSpPr>
        <xdr:cNvPr id="168" name="Ellipse 167">
          <a:extLst>
            <a:ext uri="{FF2B5EF4-FFF2-40B4-BE49-F238E27FC236}">
              <a16:creationId xmlns="" xmlns:a16="http://schemas.microsoft.com/office/drawing/2014/main" id="{00000000-0008-0000-2700-0000A8000000}"/>
            </a:ext>
          </a:extLst>
        </xdr:cNvPr>
        <xdr:cNvSpPr/>
      </xdr:nvSpPr>
      <xdr:spPr bwMode="auto">
        <a:xfrm>
          <a:off x="4429125" y="13401675"/>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33</xdr:col>
      <xdr:colOff>94615</xdr:colOff>
      <xdr:row>138</xdr:row>
      <xdr:rowOff>47625</xdr:rowOff>
    </xdr:from>
    <xdr:to>
      <xdr:col>34</xdr:col>
      <xdr:colOff>44271</xdr:colOff>
      <xdr:row>139</xdr:row>
      <xdr:rowOff>12943</xdr:rowOff>
    </xdr:to>
    <xdr:sp macro="" textlink="">
      <xdr:nvSpPr>
        <xdr:cNvPr id="169" name="Ellipse 168">
          <a:extLst>
            <a:ext uri="{FF2B5EF4-FFF2-40B4-BE49-F238E27FC236}">
              <a16:creationId xmlns="" xmlns:a16="http://schemas.microsoft.com/office/drawing/2014/main" id="{00000000-0008-0000-2700-0000A9000000}"/>
            </a:ext>
          </a:extLst>
        </xdr:cNvPr>
        <xdr:cNvSpPr/>
      </xdr:nvSpPr>
      <xdr:spPr bwMode="auto">
        <a:xfrm>
          <a:off x="3990975" y="13401675"/>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14</xdr:col>
      <xdr:colOff>38100</xdr:colOff>
      <xdr:row>139</xdr:row>
      <xdr:rowOff>57150</xdr:rowOff>
    </xdr:from>
    <xdr:to>
      <xdr:col>20</xdr:col>
      <xdr:colOff>63500</xdr:colOff>
      <xdr:row>152</xdr:row>
      <xdr:rowOff>12700</xdr:rowOff>
    </xdr:to>
    <xdr:cxnSp macro="">
      <xdr:nvCxnSpPr>
        <xdr:cNvPr id="889087" name="Connecteur droit avec flèche 169">
          <a:extLst>
            <a:ext uri="{FF2B5EF4-FFF2-40B4-BE49-F238E27FC236}">
              <a16:creationId xmlns="" xmlns:a16="http://schemas.microsoft.com/office/drawing/2014/main" id="{00000000-0008-0000-2700-0000FF900D00}"/>
            </a:ext>
          </a:extLst>
        </xdr:cNvPr>
        <xdr:cNvCxnSpPr>
          <a:cxnSpLocks noChangeShapeType="1"/>
        </xdr:cNvCxnSpPr>
      </xdr:nvCxnSpPr>
      <xdr:spPr bwMode="auto">
        <a:xfrm rot="5400000" flipH="1" flipV="1">
          <a:off x="1397000" y="13728700"/>
          <a:ext cx="1193800" cy="7112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3</xdr:col>
      <xdr:colOff>1</xdr:colOff>
      <xdr:row>151</xdr:row>
      <xdr:rowOff>60960</xdr:rowOff>
    </xdr:from>
    <xdr:to>
      <xdr:col>11</xdr:col>
      <xdr:colOff>0</xdr:colOff>
      <xdr:row>168</xdr:row>
      <xdr:rowOff>61558</xdr:rowOff>
    </xdr:to>
    <xdr:sp macro="" textlink="">
      <xdr:nvSpPr>
        <xdr:cNvPr id="171" name="Text Box 421">
          <a:extLst>
            <a:ext uri="{FF2B5EF4-FFF2-40B4-BE49-F238E27FC236}">
              <a16:creationId xmlns="" xmlns:a16="http://schemas.microsoft.com/office/drawing/2014/main" id="{00000000-0008-0000-2700-0000AB000000}"/>
            </a:ext>
          </a:extLst>
        </xdr:cNvPr>
        <xdr:cNvSpPr txBox="1">
          <a:spLocks noChangeArrowheads="1"/>
        </xdr:cNvSpPr>
      </xdr:nvSpPr>
      <xdr:spPr bwMode="auto">
        <a:xfrm>
          <a:off x="457201" y="14620875"/>
          <a:ext cx="914399" cy="15906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Plancher d'épaisseur 8cm</a:t>
          </a:r>
          <a:r>
            <a:rPr lang="fr-FR" sz="1000" b="0" i="0" strike="noStrike" baseline="0">
              <a:solidFill>
                <a:srgbClr val="000000"/>
              </a:solidFill>
              <a:latin typeface="Arial"/>
              <a:cs typeface="Arial"/>
            </a:rPr>
            <a:t> avec </a:t>
          </a:r>
          <a:r>
            <a:rPr lang="fr-FR" sz="1000" b="0" i="0" strike="noStrike">
              <a:solidFill>
                <a:srgbClr val="000000"/>
              </a:solidFill>
              <a:latin typeface="Arial"/>
              <a:cs typeface="Arial"/>
            </a:rPr>
            <a:t>Fers</a:t>
          </a:r>
          <a:r>
            <a:rPr lang="fr-FR" sz="1000" b="0" i="0" strike="noStrike" baseline="0">
              <a:solidFill>
                <a:srgbClr val="000000"/>
              </a:solidFill>
              <a:latin typeface="Arial"/>
              <a:cs typeface="Arial"/>
            </a:rPr>
            <a:t> de 10mm, espacement:18cm</a:t>
          </a:r>
          <a:endParaRPr lang="fr-FR" sz="1000" b="0" i="0" strike="noStrike">
            <a:solidFill>
              <a:srgbClr val="000000"/>
            </a:solidFill>
            <a:latin typeface="Arial"/>
            <a:cs typeface="Arial"/>
          </a:endParaRPr>
        </a:p>
      </xdr:txBody>
    </xdr:sp>
    <xdr:clientData/>
  </xdr:twoCellAnchor>
  <xdr:twoCellAnchor>
    <xdr:from>
      <xdr:col>44</xdr:col>
      <xdr:colOff>63500</xdr:colOff>
      <xdr:row>12</xdr:row>
      <xdr:rowOff>19050</xdr:rowOff>
    </xdr:from>
    <xdr:to>
      <xdr:col>44</xdr:col>
      <xdr:colOff>76200</xdr:colOff>
      <xdr:row>23</xdr:row>
      <xdr:rowOff>63500</xdr:rowOff>
    </xdr:to>
    <xdr:cxnSp macro="">
      <xdr:nvCxnSpPr>
        <xdr:cNvPr id="889089" name="Straight Connector 267">
          <a:extLst>
            <a:ext uri="{FF2B5EF4-FFF2-40B4-BE49-F238E27FC236}">
              <a16:creationId xmlns="" xmlns:a16="http://schemas.microsoft.com/office/drawing/2014/main" id="{00000000-0008-0000-2700-000001910D00}"/>
            </a:ext>
          </a:extLst>
        </xdr:cNvPr>
        <xdr:cNvCxnSpPr>
          <a:cxnSpLocks noChangeShapeType="1"/>
        </xdr:cNvCxnSpPr>
      </xdr:nvCxnSpPr>
      <xdr:spPr bwMode="auto">
        <a:xfrm rot="16200000" flipH="1">
          <a:off x="4552950" y="1892300"/>
          <a:ext cx="1092200" cy="1270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26</xdr:col>
      <xdr:colOff>0</xdr:colOff>
      <xdr:row>13</xdr:row>
      <xdr:rowOff>12700</xdr:rowOff>
    </xdr:from>
    <xdr:to>
      <xdr:col>46</xdr:col>
      <xdr:colOff>31750</xdr:colOff>
      <xdr:row>13</xdr:row>
      <xdr:rowOff>19050</xdr:rowOff>
    </xdr:to>
    <xdr:cxnSp macro="">
      <xdr:nvCxnSpPr>
        <xdr:cNvPr id="889090" name="Straight Connector 267">
          <a:extLst>
            <a:ext uri="{FF2B5EF4-FFF2-40B4-BE49-F238E27FC236}">
              <a16:creationId xmlns="" xmlns:a16="http://schemas.microsoft.com/office/drawing/2014/main" id="{00000000-0008-0000-2700-000002910D00}"/>
            </a:ext>
          </a:extLst>
        </xdr:cNvPr>
        <xdr:cNvCxnSpPr>
          <a:cxnSpLocks noChangeShapeType="1"/>
        </xdr:cNvCxnSpPr>
      </xdr:nvCxnSpPr>
      <xdr:spPr bwMode="auto">
        <a:xfrm flipV="1">
          <a:off x="2971800" y="1441450"/>
          <a:ext cx="2317750" cy="635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39</xdr:col>
      <xdr:colOff>60960</xdr:colOff>
      <xdr:row>106</xdr:row>
      <xdr:rowOff>60960</xdr:rowOff>
    </xdr:from>
    <xdr:to>
      <xdr:col>53</xdr:col>
      <xdr:colOff>634</xdr:colOff>
      <xdr:row>109</xdr:row>
      <xdr:rowOff>9273</xdr:rowOff>
    </xdr:to>
    <xdr:sp macro="" textlink="">
      <xdr:nvSpPr>
        <xdr:cNvPr id="174" name="ZoneTexte 173">
          <a:extLst>
            <a:ext uri="{FF2B5EF4-FFF2-40B4-BE49-F238E27FC236}">
              <a16:creationId xmlns="" xmlns:a16="http://schemas.microsoft.com/office/drawing/2014/main" id="{00000000-0008-0000-2700-0000AE000000}"/>
            </a:ext>
          </a:extLst>
        </xdr:cNvPr>
        <xdr:cNvSpPr txBox="1"/>
      </xdr:nvSpPr>
      <xdr:spPr>
        <a:xfrm>
          <a:off x="4610100" y="10325100"/>
          <a:ext cx="15716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Toiles moustiquaire</a:t>
          </a:r>
        </a:p>
      </xdr:txBody>
    </xdr:sp>
    <xdr:clientData/>
  </xdr:twoCellAnchor>
  <xdr:twoCellAnchor>
    <xdr:from>
      <xdr:col>34</xdr:col>
      <xdr:colOff>47297</xdr:colOff>
      <xdr:row>30</xdr:row>
      <xdr:rowOff>48270</xdr:rowOff>
    </xdr:from>
    <xdr:to>
      <xdr:col>38</xdr:col>
      <xdr:colOff>58123</xdr:colOff>
      <xdr:row>31</xdr:row>
      <xdr:rowOff>27903</xdr:rowOff>
    </xdr:to>
    <xdr:cxnSp macro="">
      <xdr:nvCxnSpPr>
        <xdr:cNvPr id="175" name="Connecteur droit avec flèche 174">
          <a:extLst>
            <a:ext uri="{FF2B5EF4-FFF2-40B4-BE49-F238E27FC236}">
              <a16:creationId xmlns="" xmlns:a16="http://schemas.microsoft.com/office/drawing/2014/main" id="{00000000-0008-0000-2700-0000AF000000}"/>
            </a:ext>
          </a:extLst>
        </xdr:cNvPr>
        <xdr:cNvCxnSpPr/>
      </xdr:nvCxnSpPr>
      <xdr:spPr>
        <a:xfrm>
          <a:off x="4079547" y="3123575"/>
          <a:ext cx="417881" cy="28427"/>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50800</xdr:colOff>
      <xdr:row>25</xdr:row>
      <xdr:rowOff>12700</xdr:rowOff>
    </xdr:from>
    <xdr:to>
      <xdr:col>44</xdr:col>
      <xdr:colOff>6350</xdr:colOff>
      <xdr:row>32</xdr:row>
      <xdr:rowOff>19050</xdr:rowOff>
    </xdr:to>
    <xdr:grpSp>
      <xdr:nvGrpSpPr>
        <xdr:cNvPr id="889093" name="Groupe 175">
          <a:extLst>
            <a:ext uri="{FF2B5EF4-FFF2-40B4-BE49-F238E27FC236}">
              <a16:creationId xmlns="" xmlns:a16="http://schemas.microsoft.com/office/drawing/2014/main" id="{00000000-0008-0000-2700-000005910D00}"/>
            </a:ext>
          </a:extLst>
        </xdr:cNvPr>
        <xdr:cNvGrpSpPr>
          <a:grpSpLocks/>
        </xdr:cNvGrpSpPr>
      </xdr:nvGrpSpPr>
      <xdr:grpSpPr bwMode="auto">
        <a:xfrm>
          <a:off x="3251200" y="2584450"/>
          <a:ext cx="1784350" cy="673100"/>
          <a:chOff x="1323975" y="2790824"/>
          <a:chExt cx="1780169" cy="686594"/>
        </a:xfrm>
      </xdr:grpSpPr>
      <xdr:grpSp>
        <xdr:nvGrpSpPr>
          <xdr:cNvPr id="396" name="Groupe 277">
            <a:extLst>
              <a:ext uri="{FF2B5EF4-FFF2-40B4-BE49-F238E27FC236}">
                <a16:creationId xmlns="" xmlns:a16="http://schemas.microsoft.com/office/drawing/2014/main" id="{00000000-0008-0000-2700-00008C010000}"/>
              </a:ext>
            </a:extLst>
          </xdr:cNvPr>
          <xdr:cNvGrpSpPr/>
        </xdr:nvGrpSpPr>
        <xdr:grpSpPr>
          <a:xfrm rot="16200000">
            <a:off x="1553683" y="3143158"/>
            <a:ext cx="427502" cy="228064"/>
            <a:chOff x="7810500" y="1704976"/>
            <a:chExt cx="1104900" cy="514350"/>
          </a:xfrm>
          <a:solidFill>
            <a:schemeClr val="tx2">
              <a:lumMod val="60000"/>
              <a:lumOff val="40000"/>
            </a:schemeClr>
          </a:solidFill>
        </xdr:grpSpPr>
        <xdr:sp macro="" textlink="">
          <xdr:nvSpPr>
            <xdr:cNvPr id="189" name="Ellipse 188">
              <a:extLst>
                <a:ext uri="{FF2B5EF4-FFF2-40B4-BE49-F238E27FC236}">
                  <a16:creationId xmlns="" xmlns:a16="http://schemas.microsoft.com/office/drawing/2014/main" id="{00000000-0008-0000-2700-0000BD000000}"/>
                </a:ext>
              </a:extLst>
            </xdr:cNvPr>
            <xdr:cNvSpPr/>
          </xdr:nvSpPr>
          <xdr:spPr bwMode="auto">
            <a:xfrm>
              <a:off x="7994650" y="1804989"/>
              <a:ext cx="301336" cy="342900"/>
            </a:xfrm>
            <a:prstGeom prst="ellipse">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190" name="Organigramme : Délai 189">
              <a:extLst>
                <a:ext uri="{FF2B5EF4-FFF2-40B4-BE49-F238E27FC236}">
                  <a16:creationId xmlns="" xmlns:a16="http://schemas.microsoft.com/office/drawing/2014/main" id="{00000000-0008-0000-2700-0000BE000000}"/>
                </a:ext>
              </a:extLst>
            </xdr:cNvPr>
            <xdr:cNvSpPr/>
          </xdr:nvSpPr>
          <xdr:spPr bwMode="auto">
            <a:xfrm>
              <a:off x="8145318" y="1819276"/>
              <a:ext cx="803564" cy="314325"/>
            </a:xfrm>
            <a:prstGeom prst="flowChartDelay">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191" name="Ellipse 190">
              <a:extLst>
                <a:ext uri="{FF2B5EF4-FFF2-40B4-BE49-F238E27FC236}">
                  <a16:creationId xmlns="" xmlns:a16="http://schemas.microsoft.com/office/drawing/2014/main" id="{00000000-0008-0000-2700-0000BF000000}"/>
                </a:ext>
              </a:extLst>
            </xdr:cNvPr>
            <xdr:cNvSpPr/>
          </xdr:nvSpPr>
          <xdr:spPr bwMode="auto">
            <a:xfrm>
              <a:off x="8563841" y="1704976"/>
              <a:ext cx="518968" cy="514350"/>
            </a:xfrm>
            <a:prstGeom prst="ellipse">
              <a:avLst/>
            </a:prstGeom>
            <a:solidFill>
              <a:schemeClr val="accent1">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grpSp>
      <xdr:cxnSp macro="">
        <xdr:nvCxnSpPr>
          <xdr:cNvPr id="889295" name="Connecteur droit avec flèche 177">
            <a:extLst>
              <a:ext uri="{FF2B5EF4-FFF2-40B4-BE49-F238E27FC236}">
                <a16:creationId xmlns="" xmlns:a16="http://schemas.microsoft.com/office/drawing/2014/main" id="{00000000-0008-0000-2700-0000CF910D00}"/>
              </a:ext>
            </a:extLst>
          </xdr:cNvPr>
          <xdr:cNvCxnSpPr>
            <a:cxnSpLocks noChangeShapeType="1"/>
          </xdr:cNvCxnSpPr>
        </xdr:nvCxnSpPr>
        <xdr:spPr bwMode="auto">
          <a:xfrm rot="16200000" flipH="1">
            <a:off x="1647826" y="2905123"/>
            <a:ext cx="238125" cy="9527"/>
          </a:xfrm>
          <a:prstGeom prst="straightConnector1">
            <a:avLst/>
          </a:prstGeom>
          <a:noFill/>
          <a:ln w="12700"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xnSp macro="">
        <xdr:nvCxnSpPr>
          <xdr:cNvPr id="889296" name="Connecteur droit avec flèche 178">
            <a:extLst>
              <a:ext uri="{FF2B5EF4-FFF2-40B4-BE49-F238E27FC236}">
                <a16:creationId xmlns="" xmlns:a16="http://schemas.microsoft.com/office/drawing/2014/main" id="{00000000-0008-0000-2700-0000D0910D00}"/>
              </a:ext>
            </a:extLst>
          </xdr:cNvPr>
          <xdr:cNvCxnSpPr>
            <a:cxnSpLocks noChangeShapeType="1"/>
          </xdr:cNvCxnSpPr>
        </xdr:nvCxnSpPr>
        <xdr:spPr bwMode="auto">
          <a:xfrm rot="5400000">
            <a:off x="2575722" y="3262314"/>
            <a:ext cx="429415" cy="793"/>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180" name="Text Box 507">
            <a:extLst>
              <a:ext uri="{FF2B5EF4-FFF2-40B4-BE49-F238E27FC236}">
                <a16:creationId xmlns="" xmlns:a16="http://schemas.microsoft.com/office/drawing/2014/main" id="{00000000-0008-0000-2700-0000B4000000}"/>
              </a:ext>
            </a:extLst>
          </xdr:cNvPr>
          <xdr:cNvSpPr txBox="1">
            <a:spLocks noChangeArrowheads="1"/>
          </xdr:cNvSpPr>
        </xdr:nvSpPr>
        <xdr:spPr bwMode="auto">
          <a:xfrm>
            <a:off x="2590999" y="3160030"/>
            <a:ext cx="228064" cy="278524"/>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200" b="1" i="0" strike="noStrike">
                <a:solidFill>
                  <a:srgbClr val="FFFF00"/>
                </a:solidFill>
                <a:latin typeface="Arial"/>
                <a:cs typeface="Arial"/>
              </a:rPr>
              <a:t>28</a:t>
            </a:r>
          </a:p>
        </xdr:txBody>
      </xdr:sp>
      <xdr:sp macro="" textlink="">
        <xdr:nvSpPr>
          <xdr:cNvPr id="181" name="Text Box 507">
            <a:extLst>
              <a:ext uri="{FF2B5EF4-FFF2-40B4-BE49-F238E27FC236}">
                <a16:creationId xmlns="" xmlns:a16="http://schemas.microsoft.com/office/drawing/2014/main" id="{00000000-0008-0000-2700-0000B5000000}"/>
              </a:ext>
            </a:extLst>
          </xdr:cNvPr>
          <xdr:cNvSpPr txBox="1">
            <a:spLocks noChangeArrowheads="1"/>
          </xdr:cNvSpPr>
        </xdr:nvSpPr>
        <xdr:spPr bwMode="auto">
          <a:xfrm>
            <a:off x="1323975" y="2985143"/>
            <a:ext cx="266075" cy="21375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200" b="1" i="0" strike="noStrike">
                <a:solidFill>
                  <a:srgbClr val="FFFF00"/>
                </a:solidFill>
                <a:latin typeface="Arial"/>
                <a:cs typeface="Arial"/>
              </a:rPr>
              <a:t>30</a:t>
            </a:r>
          </a:p>
        </xdr:txBody>
      </xdr:sp>
      <xdr:sp macro="" textlink="">
        <xdr:nvSpPr>
          <xdr:cNvPr id="182" name="Rectangle 181">
            <a:extLst>
              <a:ext uri="{FF2B5EF4-FFF2-40B4-BE49-F238E27FC236}">
                <a16:creationId xmlns="" xmlns:a16="http://schemas.microsoft.com/office/drawing/2014/main" id="{00000000-0008-0000-2700-0000B6000000}"/>
              </a:ext>
            </a:extLst>
          </xdr:cNvPr>
          <xdr:cNvSpPr/>
        </xdr:nvSpPr>
        <xdr:spPr bwMode="auto">
          <a:xfrm rot="2557756">
            <a:off x="2914090" y="3257190"/>
            <a:ext cx="190054" cy="77728"/>
          </a:xfrm>
          <a:prstGeom prst="rect">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183" name="Rectangle 182">
            <a:extLst>
              <a:ext uri="{FF2B5EF4-FFF2-40B4-BE49-F238E27FC236}">
                <a16:creationId xmlns="" xmlns:a16="http://schemas.microsoft.com/office/drawing/2014/main" id="{00000000-0008-0000-2700-0000B7000000}"/>
              </a:ext>
            </a:extLst>
          </xdr:cNvPr>
          <xdr:cNvSpPr/>
        </xdr:nvSpPr>
        <xdr:spPr bwMode="auto">
          <a:xfrm rot="2557756" flipH="1">
            <a:off x="2514978" y="3205371"/>
            <a:ext cx="76021" cy="207274"/>
          </a:xfrm>
          <a:prstGeom prst="rect">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xnSp macro="">
        <xdr:nvCxnSpPr>
          <xdr:cNvPr id="184" name="Connecteur droit avec flèche 183">
            <a:extLst>
              <a:ext uri="{FF2B5EF4-FFF2-40B4-BE49-F238E27FC236}">
                <a16:creationId xmlns="" xmlns:a16="http://schemas.microsoft.com/office/drawing/2014/main" id="{00000000-0008-0000-2700-0000B8000000}"/>
              </a:ext>
            </a:extLst>
          </xdr:cNvPr>
          <xdr:cNvCxnSpPr/>
        </xdr:nvCxnSpPr>
        <xdr:spPr>
          <a:xfrm>
            <a:off x="1875131" y="3108212"/>
            <a:ext cx="829901" cy="32387"/>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85" name="ZoneTexte 184">
            <a:extLst>
              <a:ext uri="{FF2B5EF4-FFF2-40B4-BE49-F238E27FC236}">
                <a16:creationId xmlns="" xmlns:a16="http://schemas.microsoft.com/office/drawing/2014/main" id="{00000000-0008-0000-2700-0000B9000000}"/>
              </a:ext>
            </a:extLst>
          </xdr:cNvPr>
          <xdr:cNvSpPr txBox="1"/>
        </xdr:nvSpPr>
        <xdr:spPr>
          <a:xfrm>
            <a:off x="2103195" y="2933325"/>
            <a:ext cx="411783" cy="226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solidFill>
                  <a:srgbClr val="FFFF00"/>
                </a:solidFill>
              </a:rPr>
              <a:t>70</a:t>
            </a:r>
          </a:p>
        </xdr:txBody>
      </xdr:sp>
      <xdr:sp macro="" textlink="">
        <xdr:nvSpPr>
          <xdr:cNvPr id="186" name="Rectangle 185">
            <a:extLst>
              <a:ext uri="{FF2B5EF4-FFF2-40B4-BE49-F238E27FC236}">
                <a16:creationId xmlns="" xmlns:a16="http://schemas.microsoft.com/office/drawing/2014/main" id="{00000000-0008-0000-2700-0000BA000000}"/>
              </a:ext>
            </a:extLst>
          </xdr:cNvPr>
          <xdr:cNvSpPr/>
        </xdr:nvSpPr>
        <xdr:spPr bwMode="auto">
          <a:xfrm rot="2557756" flipH="1">
            <a:off x="1514029" y="3179462"/>
            <a:ext cx="76021" cy="200796"/>
          </a:xfrm>
          <a:prstGeom prst="rect">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187" name="Rectangle 186">
            <a:extLst>
              <a:ext uri="{FF2B5EF4-FFF2-40B4-BE49-F238E27FC236}">
                <a16:creationId xmlns="" xmlns:a16="http://schemas.microsoft.com/office/drawing/2014/main" id="{00000000-0008-0000-2700-0000BB000000}"/>
              </a:ext>
            </a:extLst>
          </xdr:cNvPr>
          <xdr:cNvSpPr/>
        </xdr:nvSpPr>
        <xdr:spPr bwMode="auto">
          <a:xfrm rot="2557756">
            <a:off x="1913141" y="3257190"/>
            <a:ext cx="190054" cy="64773"/>
          </a:xfrm>
          <a:prstGeom prst="rect">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188" name="ZoneTexte 187">
            <a:extLst>
              <a:ext uri="{FF2B5EF4-FFF2-40B4-BE49-F238E27FC236}">
                <a16:creationId xmlns="" xmlns:a16="http://schemas.microsoft.com/office/drawing/2014/main" id="{00000000-0008-0000-2700-0000BC000000}"/>
              </a:ext>
            </a:extLst>
          </xdr:cNvPr>
          <xdr:cNvSpPr txBox="1"/>
        </xdr:nvSpPr>
        <xdr:spPr>
          <a:xfrm>
            <a:off x="2109530" y="3160030"/>
            <a:ext cx="348432" cy="1943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solidFill>
                  <a:srgbClr val="FFFF00"/>
                </a:solidFill>
              </a:rPr>
              <a:t>30</a:t>
            </a:r>
          </a:p>
        </xdr:txBody>
      </xdr:sp>
    </xdr:grpSp>
    <xdr:clientData/>
  </xdr:twoCellAnchor>
  <xdr:twoCellAnchor editAs="oneCell">
    <xdr:from>
      <xdr:col>40</xdr:col>
      <xdr:colOff>60960</xdr:colOff>
      <xdr:row>13</xdr:row>
      <xdr:rowOff>9525</xdr:rowOff>
    </xdr:from>
    <xdr:to>
      <xdr:col>41</xdr:col>
      <xdr:colOff>114216</xdr:colOff>
      <xdr:row>17</xdr:row>
      <xdr:rowOff>182</xdr:rowOff>
    </xdr:to>
    <xdr:sp macro="" textlink="">
      <xdr:nvSpPr>
        <xdr:cNvPr id="192" name="Text Box 507">
          <a:extLst>
            <a:ext uri="{FF2B5EF4-FFF2-40B4-BE49-F238E27FC236}">
              <a16:creationId xmlns="" xmlns:a16="http://schemas.microsoft.com/office/drawing/2014/main" id="{00000000-0008-0000-2700-0000C0000000}"/>
            </a:ext>
          </a:extLst>
        </xdr:cNvPr>
        <xdr:cNvSpPr txBox="1">
          <a:spLocks noChangeArrowheads="1"/>
        </xdr:cNvSpPr>
      </xdr:nvSpPr>
      <xdr:spPr bwMode="auto">
        <a:xfrm>
          <a:off x="4733925" y="1447800"/>
          <a:ext cx="180975" cy="3619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FFFF00"/>
              </a:solidFill>
              <a:latin typeface="Arial"/>
              <a:cs typeface="Arial"/>
            </a:rPr>
            <a:t>35</a:t>
          </a:r>
        </a:p>
      </xdr:txBody>
    </xdr:sp>
    <xdr:clientData/>
  </xdr:twoCellAnchor>
  <xdr:twoCellAnchor>
    <xdr:from>
      <xdr:col>20</xdr:col>
      <xdr:colOff>61595</xdr:colOff>
      <xdr:row>11</xdr:row>
      <xdr:rowOff>74295</xdr:rowOff>
    </xdr:from>
    <xdr:to>
      <xdr:col>22</xdr:col>
      <xdr:colOff>57627</xdr:colOff>
      <xdr:row>11</xdr:row>
      <xdr:rowOff>75089</xdr:rowOff>
    </xdr:to>
    <xdr:cxnSp macro="">
      <xdr:nvCxnSpPr>
        <xdr:cNvPr id="193" name="Connecteur droit 192">
          <a:extLst>
            <a:ext uri="{FF2B5EF4-FFF2-40B4-BE49-F238E27FC236}">
              <a16:creationId xmlns="" xmlns:a16="http://schemas.microsoft.com/office/drawing/2014/main" id="{00000000-0008-0000-2700-0000C1000000}"/>
            </a:ext>
          </a:extLst>
        </xdr:cNvPr>
        <xdr:cNvCxnSpPr/>
      </xdr:nvCxnSpPr>
      <xdr:spPr>
        <a:xfrm>
          <a:off x="2419350" y="1323975"/>
          <a:ext cx="266700"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635</xdr:colOff>
      <xdr:row>36</xdr:row>
      <xdr:rowOff>57785</xdr:rowOff>
    </xdr:from>
    <xdr:to>
      <xdr:col>16</xdr:col>
      <xdr:colOff>47858</xdr:colOff>
      <xdr:row>36</xdr:row>
      <xdr:rowOff>57785</xdr:rowOff>
    </xdr:to>
    <xdr:cxnSp macro="">
      <xdr:nvCxnSpPr>
        <xdr:cNvPr id="194" name="Connecteur droit 193">
          <a:extLst>
            <a:ext uri="{FF2B5EF4-FFF2-40B4-BE49-F238E27FC236}">
              <a16:creationId xmlns="" xmlns:a16="http://schemas.microsoft.com/office/drawing/2014/main" id="{00000000-0008-0000-2700-0000C2000000}"/>
            </a:ext>
          </a:extLst>
        </xdr:cNvPr>
        <xdr:cNvCxnSpPr/>
      </xdr:nvCxnSpPr>
      <xdr:spPr>
        <a:xfrm flipV="1">
          <a:off x="1724025" y="3695700"/>
          <a:ext cx="28575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38100</xdr:colOff>
      <xdr:row>110</xdr:row>
      <xdr:rowOff>19050</xdr:rowOff>
    </xdr:from>
    <xdr:to>
      <xdr:col>116</xdr:col>
      <xdr:colOff>19050</xdr:colOff>
      <xdr:row>159</xdr:row>
      <xdr:rowOff>19050</xdr:rowOff>
    </xdr:to>
    <xdr:grpSp>
      <xdr:nvGrpSpPr>
        <xdr:cNvPr id="889097" name="Groupe 194">
          <a:extLst>
            <a:ext uri="{FF2B5EF4-FFF2-40B4-BE49-F238E27FC236}">
              <a16:creationId xmlns="" xmlns:a16="http://schemas.microsoft.com/office/drawing/2014/main" id="{00000000-0008-0000-2700-000009910D00}"/>
            </a:ext>
          </a:extLst>
        </xdr:cNvPr>
        <xdr:cNvGrpSpPr>
          <a:grpSpLocks/>
        </xdr:cNvGrpSpPr>
      </xdr:nvGrpSpPr>
      <xdr:grpSpPr bwMode="auto">
        <a:xfrm>
          <a:off x="8267700" y="10687050"/>
          <a:ext cx="5010150" cy="4667250"/>
          <a:chOff x="12544425" y="8620121"/>
          <a:chExt cx="4029075" cy="4667255"/>
        </a:xfrm>
      </xdr:grpSpPr>
      <xdr:sp macro="" textlink="">
        <xdr:nvSpPr>
          <xdr:cNvPr id="889279" name="Rectangle 343">
            <a:extLst>
              <a:ext uri="{FF2B5EF4-FFF2-40B4-BE49-F238E27FC236}">
                <a16:creationId xmlns="" xmlns:a16="http://schemas.microsoft.com/office/drawing/2014/main" id="{00000000-0008-0000-2700-0000BF910D00}"/>
              </a:ext>
            </a:extLst>
          </xdr:cNvPr>
          <xdr:cNvSpPr>
            <a:spLocks noChangeArrowheads="1"/>
          </xdr:cNvSpPr>
        </xdr:nvSpPr>
        <xdr:spPr bwMode="auto">
          <a:xfrm>
            <a:off x="13439776" y="8848725"/>
            <a:ext cx="133349" cy="2924175"/>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sp macro="" textlink="">
        <xdr:nvSpPr>
          <xdr:cNvPr id="889280" name="Rectangle 354" descr="Outlined diamond">
            <a:extLst>
              <a:ext uri="{FF2B5EF4-FFF2-40B4-BE49-F238E27FC236}">
                <a16:creationId xmlns="" xmlns:a16="http://schemas.microsoft.com/office/drawing/2014/main" id="{00000000-0008-0000-2700-0000C0910D00}"/>
              </a:ext>
            </a:extLst>
          </xdr:cNvPr>
          <xdr:cNvSpPr>
            <a:spLocks noChangeArrowheads="1"/>
          </xdr:cNvSpPr>
        </xdr:nvSpPr>
        <xdr:spPr bwMode="auto">
          <a:xfrm flipV="1">
            <a:off x="13401676" y="8620121"/>
            <a:ext cx="209550" cy="228600"/>
          </a:xfrm>
          <a:prstGeom prst="rect">
            <a:avLst/>
          </a:prstGeom>
          <a:blipFill dpi="0" rotWithShape="0">
            <a:blip xmlns:r="http://schemas.openxmlformats.org/officeDocument/2006/relationships" r:embed="rId2"/>
            <a:srcRect/>
            <a:tile tx="0" ty="0" sx="100000" sy="100000" flip="none" algn="tl"/>
          </a:blipFill>
          <a:ln w="9525">
            <a:solidFill>
              <a:srgbClr val="000000"/>
            </a:solidFill>
            <a:miter lim="800000"/>
            <a:headEnd/>
            <a:tailEnd/>
          </a:ln>
        </xdr:spPr>
      </xdr:sp>
      <xdr:sp macro="" textlink="">
        <xdr:nvSpPr>
          <xdr:cNvPr id="889281" name="Rectangle 343">
            <a:extLst>
              <a:ext uri="{FF2B5EF4-FFF2-40B4-BE49-F238E27FC236}">
                <a16:creationId xmlns="" xmlns:a16="http://schemas.microsoft.com/office/drawing/2014/main" id="{00000000-0008-0000-2700-0000C1910D00}"/>
              </a:ext>
            </a:extLst>
          </xdr:cNvPr>
          <xdr:cNvSpPr>
            <a:spLocks noChangeArrowheads="1"/>
          </xdr:cNvSpPr>
        </xdr:nvSpPr>
        <xdr:spPr bwMode="auto">
          <a:xfrm>
            <a:off x="15154276" y="8820150"/>
            <a:ext cx="152400" cy="304800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sp macro="" textlink="">
        <xdr:nvSpPr>
          <xdr:cNvPr id="889282" name="Rectangle 354" descr="Outlined diamond">
            <a:extLst>
              <a:ext uri="{FF2B5EF4-FFF2-40B4-BE49-F238E27FC236}">
                <a16:creationId xmlns="" xmlns:a16="http://schemas.microsoft.com/office/drawing/2014/main" id="{00000000-0008-0000-2700-0000C2910D00}"/>
              </a:ext>
            </a:extLst>
          </xdr:cNvPr>
          <xdr:cNvSpPr>
            <a:spLocks noChangeArrowheads="1"/>
          </xdr:cNvSpPr>
        </xdr:nvSpPr>
        <xdr:spPr bwMode="auto">
          <a:xfrm flipV="1">
            <a:off x="15125700" y="8620122"/>
            <a:ext cx="209549" cy="228600"/>
          </a:xfrm>
          <a:prstGeom prst="rect">
            <a:avLst/>
          </a:prstGeom>
          <a:blipFill dpi="0" rotWithShape="0">
            <a:blip xmlns:r="http://schemas.openxmlformats.org/officeDocument/2006/relationships" r:embed="rId2"/>
            <a:srcRect/>
            <a:tile tx="0" ty="0" sx="100000" sy="100000" flip="none" algn="tl"/>
          </a:blipFill>
          <a:ln w="9525">
            <a:solidFill>
              <a:srgbClr val="000000"/>
            </a:solidFill>
            <a:miter lim="800000"/>
            <a:headEnd/>
            <a:tailEnd/>
          </a:ln>
        </xdr:spPr>
      </xdr:sp>
      <xdr:sp macro="" textlink="">
        <xdr:nvSpPr>
          <xdr:cNvPr id="889283" name="Rectangle 439" descr="Newsprint">
            <a:extLst>
              <a:ext uri="{FF2B5EF4-FFF2-40B4-BE49-F238E27FC236}">
                <a16:creationId xmlns="" xmlns:a16="http://schemas.microsoft.com/office/drawing/2014/main" id="{00000000-0008-0000-2700-0000C3910D00}"/>
              </a:ext>
            </a:extLst>
          </xdr:cNvPr>
          <xdr:cNvSpPr>
            <a:spLocks noChangeArrowheads="1"/>
          </xdr:cNvSpPr>
        </xdr:nvSpPr>
        <xdr:spPr bwMode="auto">
          <a:xfrm>
            <a:off x="12887325" y="10182225"/>
            <a:ext cx="3362326" cy="2143125"/>
          </a:xfrm>
          <a:prstGeom prst="rect">
            <a:avLst/>
          </a:prstGeom>
          <a:blipFill dpi="0" rotWithShape="0">
            <a:blip xmlns:r="http://schemas.openxmlformats.org/officeDocument/2006/relationships" r:embed="rId5"/>
            <a:srcRect/>
            <a:tile tx="0" ty="0" sx="100000" sy="100000" flip="none" algn="tl"/>
          </a:blipFill>
          <a:ln w="9525">
            <a:solidFill>
              <a:srgbClr val="000000"/>
            </a:solidFill>
            <a:miter lim="800000"/>
            <a:headEnd/>
            <a:tailEnd/>
          </a:ln>
        </xdr:spPr>
      </xdr:sp>
      <xdr:sp macro="" textlink="">
        <xdr:nvSpPr>
          <xdr:cNvPr id="889284" name="Rectangle 441">
            <a:extLst>
              <a:ext uri="{FF2B5EF4-FFF2-40B4-BE49-F238E27FC236}">
                <a16:creationId xmlns="" xmlns:a16="http://schemas.microsoft.com/office/drawing/2014/main" id="{00000000-0008-0000-2700-0000C4910D00}"/>
              </a:ext>
            </a:extLst>
          </xdr:cNvPr>
          <xdr:cNvSpPr>
            <a:spLocks noChangeArrowheads="1"/>
          </xdr:cNvSpPr>
        </xdr:nvSpPr>
        <xdr:spPr bwMode="auto">
          <a:xfrm rot="5400000">
            <a:off x="14478000" y="8296275"/>
            <a:ext cx="133349" cy="3905250"/>
          </a:xfrm>
          <a:prstGeom prst="rect">
            <a:avLst/>
          </a:prstGeom>
          <a:solidFill>
            <a:srgbClr val="00B0F0">
              <a:alpha val="58038"/>
            </a:srgbClr>
          </a:solidFill>
          <a:ln w="9525">
            <a:solidFill>
              <a:srgbClr val="000000"/>
            </a:solidFill>
            <a:miter lim="800000"/>
            <a:headEnd/>
            <a:tailEnd/>
          </a:ln>
        </xdr:spPr>
      </xdr:sp>
      <xdr:sp macro="" textlink="">
        <xdr:nvSpPr>
          <xdr:cNvPr id="889285" name="Rectangle 26" descr="Light vertical">
            <a:extLst>
              <a:ext uri="{FF2B5EF4-FFF2-40B4-BE49-F238E27FC236}">
                <a16:creationId xmlns="" xmlns:a16="http://schemas.microsoft.com/office/drawing/2014/main" id="{00000000-0008-0000-2700-0000C5910D00}"/>
              </a:ext>
            </a:extLst>
          </xdr:cNvPr>
          <xdr:cNvSpPr>
            <a:spLocks noChangeArrowheads="1"/>
          </xdr:cNvSpPr>
        </xdr:nvSpPr>
        <xdr:spPr bwMode="auto">
          <a:xfrm>
            <a:off x="12544425" y="9201150"/>
            <a:ext cx="4000500" cy="981075"/>
          </a:xfrm>
          <a:prstGeom prst="rect">
            <a:avLst/>
          </a:prstGeom>
          <a:blipFill dpi="0" rotWithShape="0">
            <a:blip xmlns:r="http://schemas.openxmlformats.org/officeDocument/2006/relationships" r:embed="rId8"/>
            <a:srcRect/>
            <a:tile tx="0" ty="0" sx="100000" sy="100000" flip="none" algn="tl"/>
          </a:blipFill>
          <a:ln w="9525">
            <a:solidFill>
              <a:srgbClr val="000000"/>
            </a:solidFill>
            <a:miter lim="800000"/>
            <a:headEnd/>
            <a:tailEnd/>
          </a:ln>
        </xdr:spPr>
      </xdr:sp>
      <xdr:sp macro="" textlink="">
        <xdr:nvSpPr>
          <xdr:cNvPr id="889286" name="Rectangle 442">
            <a:extLst>
              <a:ext uri="{FF2B5EF4-FFF2-40B4-BE49-F238E27FC236}">
                <a16:creationId xmlns="" xmlns:a16="http://schemas.microsoft.com/office/drawing/2014/main" id="{00000000-0008-0000-2700-0000C6910D00}"/>
              </a:ext>
            </a:extLst>
          </xdr:cNvPr>
          <xdr:cNvSpPr>
            <a:spLocks noChangeArrowheads="1"/>
          </xdr:cNvSpPr>
        </xdr:nvSpPr>
        <xdr:spPr bwMode="auto">
          <a:xfrm>
            <a:off x="14163675" y="10344150"/>
            <a:ext cx="857250" cy="1905000"/>
          </a:xfrm>
          <a:prstGeom prst="rect">
            <a:avLst/>
          </a:prstGeom>
          <a:solidFill>
            <a:srgbClr val="00B0F0">
              <a:alpha val="56862"/>
            </a:srgbClr>
          </a:solidFill>
          <a:ln w="9525">
            <a:solidFill>
              <a:srgbClr val="000000"/>
            </a:solidFill>
            <a:miter lim="800000"/>
            <a:headEnd/>
            <a:tailEnd/>
          </a:ln>
        </xdr:spPr>
      </xdr:sp>
      <xdr:sp macro="" textlink="">
        <xdr:nvSpPr>
          <xdr:cNvPr id="889287" name="Rectangle 443" descr="Diagonal brick">
            <a:extLst>
              <a:ext uri="{FF2B5EF4-FFF2-40B4-BE49-F238E27FC236}">
                <a16:creationId xmlns="" xmlns:a16="http://schemas.microsoft.com/office/drawing/2014/main" id="{00000000-0008-0000-2700-0000C7910D00}"/>
              </a:ext>
            </a:extLst>
          </xdr:cNvPr>
          <xdr:cNvSpPr>
            <a:spLocks noChangeArrowheads="1"/>
          </xdr:cNvSpPr>
        </xdr:nvSpPr>
        <xdr:spPr bwMode="auto">
          <a:xfrm>
            <a:off x="12801599" y="12258674"/>
            <a:ext cx="3600451" cy="180976"/>
          </a:xfrm>
          <a:prstGeom prst="rect">
            <a:avLst/>
          </a:prstGeom>
          <a:blipFill dpi="0" rotWithShape="0">
            <a:blip xmlns:r="http://schemas.openxmlformats.org/officeDocument/2006/relationships" r:embed="rId9"/>
            <a:srcRect/>
            <a:tile tx="0" ty="0" sx="100000" sy="100000" flip="none" algn="tl"/>
          </a:blipFill>
          <a:ln w="9525">
            <a:solidFill>
              <a:srgbClr val="000000"/>
            </a:solidFill>
            <a:miter lim="800000"/>
            <a:headEnd/>
            <a:tailEnd/>
          </a:ln>
        </xdr:spPr>
      </xdr:sp>
      <xdr:sp macro="" textlink="">
        <xdr:nvSpPr>
          <xdr:cNvPr id="205" name="Text Box 446">
            <a:extLst>
              <a:ext uri="{FF2B5EF4-FFF2-40B4-BE49-F238E27FC236}">
                <a16:creationId xmlns="" xmlns:a16="http://schemas.microsoft.com/office/drawing/2014/main" id="{00000000-0008-0000-2700-0000CD000000}"/>
              </a:ext>
            </a:extLst>
          </xdr:cNvPr>
          <xdr:cNvSpPr txBox="1">
            <a:spLocks noChangeArrowheads="1"/>
          </xdr:cNvSpPr>
        </xdr:nvSpPr>
        <xdr:spPr bwMode="auto">
          <a:xfrm>
            <a:off x="13550417" y="12703175"/>
            <a:ext cx="3023083" cy="584201"/>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ctr" rtl="0">
              <a:defRPr sz="1000"/>
            </a:pPr>
            <a:r>
              <a:rPr lang="fr-FR" sz="1000" b="1" i="0" strike="noStrike">
                <a:solidFill>
                  <a:srgbClr val="000000"/>
                </a:solidFill>
                <a:latin typeface="Arial"/>
                <a:cs typeface="Arial"/>
              </a:rPr>
              <a:t>FAÇADE PRINCIPALE </a:t>
            </a:r>
            <a:r>
              <a:rPr lang="fr-FR" sz="1000" b="1" i="0" strike="noStrike" baseline="0">
                <a:solidFill>
                  <a:srgbClr val="000000"/>
                </a:solidFill>
                <a:latin typeface="Arial"/>
                <a:cs typeface="Arial"/>
              </a:rPr>
              <a:t> LATRINE DE 1 PORTE AVEC ACCES AUX PERSONNES EN MOBILITE REDUITE  AU CS</a:t>
            </a:r>
            <a:endParaRPr lang="fr-FR" sz="1000" b="1" i="0" strike="noStrike">
              <a:solidFill>
                <a:srgbClr val="000000"/>
              </a:solidFill>
              <a:latin typeface="Arial"/>
              <a:cs typeface="Arial"/>
            </a:endParaRPr>
          </a:p>
        </xdr:txBody>
      </xdr:sp>
      <xdr:sp macro="" textlink="">
        <xdr:nvSpPr>
          <xdr:cNvPr id="206" name="Trapezoid 230">
            <a:extLst>
              <a:ext uri="{FF2B5EF4-FFF2-40B4-BE49-F238E27FC236}">
                <a16:creationId xmlns="" xmlns:a16="http://schemas.microsoft.com/office/drawing/2014/main" id="{00000000-0008-0000-2700-0000CE000000}"/>
              </a:ext>
            </a:extLst>
          </xdr:cNvPr>
          <xdr:cNvSpPr/>
        </xdr:nvSpPr>
        <xdr:spPr bwMode="auto">
          <a:xfrm rot="10800000">
            <a:off x="14352147" y="10467973"/>
            <a:ext cx="474910" cy="342900"/>
          </a:xfrm>
          <a:prstGeom prst="trapezoid">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p>
        </xdr:txBody>
      </xdr:sp>
      <xdr:cxnSp macro="">
        <xdr:nvCxnSpPr>
          <xdr:cNvPr id="889290" name="Connecteur droit avec flèche 206">
            <a:extLst>
              <a:ext uri="{FF2B5EF4-FFF2-40B4-BE49-F238E27FC236}">
                <a16:creationId xmlns="" xmlns:a16="http://schemas.microsoft.com/office/drawing/2014/main" id="{00000000-0008-0000-2700-0000CA910D00}"/>
              </a:ext>
            </a:extLst>
          </xdr:cNvPr>
          <xdr:cNvCxnSpPr>
            <a:cxnSpLocks noChangeShapeType="1"/>
          </xdr:cNvCxnSpPr>
        </xdr:nvCxnSpPr>
        <xdr:spPr bwMode="auto">
          <a:xfrm rot="5400000">
            <a:off x="12892088" y="8901115"/>
            <a:ext cx="552450" cy="9525"/>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xnSp macro="">
        <xdr:nvCxnSpPr>
          <xdr:cNvPr id="889291" name="Connecteur droit 207">
            <a:extLst>
              <a:ext uri="{FF2B5EF4-FFF2-40B4-BE49-F238E27FC236}">
                <a16:creationId xmlns="" xmlns:a16="http://schemas.microsoft.com/office/drawing/2014/main" id="{00000000-0008-0000-2700-0000CB910D00}"/>
              </a:ext>
            </a:extLst>
          </xdr:cNvPr>
          <xdr:cNvCxnSpPr>
            <a:cxnSpLocks noChangeShapeType="1"/>
          </xdr:cNvCxnSpPr>
        </xdr:nvCxnSpPr>
        <xdr:spPr bwMode="auto">
          <a:xfrm rot="16200000" flipV="1">
            <a:off x="13206413" y="8434387"/>
            <a:ext cx="1588" cy="390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sp macro="" textlink="">
        <xdr:nvSpPr>
          <xdr:cNvPr id="209" name="ZoneTexte 208">
            <a:extLst>
              <a:ext uri="{FF2B5EF4-FFF2-40B4-BE49-F238E27FC236}">
                <a16:creationId xmlns="" xmlns:a16="http://schemas.microsoft.com/office/drawing/2014/main" id="{00000000-0008-0000-2700-0000D1000000}"/>
              </a:ext>
            </a:extLst>
          </xdr:cNvPr>
          <xdr:cNvSpPr txBox="1"/>
        </xdr:nvSpPr>
        <xdr:spPr>
          <a:xfrm>
            <a:off x="12753794" y="8753471"/>
            <a:ext cx="674066" cy="234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50cm</a:t>
            </a:r>
          </a:p>
        </xdr:txBody>
      </xdr:sp>
      <xdr:cxnSp macro="">
        <xdr:nvCxnSpPr>
          <xdr:cNvPr id="210" name="Connecteur droit 209">
            <a:extLst>
              <a:ext uri="{FF2B5EF4-FFF2-40B4-BE49-F238E27FC236}">
                <a16:creationId xmlns="" xmlns:a16="http://schemas.microsoft.com/office/drawing/2014/main" id="{00000000-0008-0000-2700-0000D2000000}"/>
              </a:ext>
            </a:extLst>
          </xdr:cNvPr>
          <xdr:cNvCxnSpPr/>
        </xdr:nvCxnSpPr>
        <xdr:spPr>
          <a:xfrm>
            <a:off x="12554638" y="9261472"/>
            <a:ext cx="3962690" cy="190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79</xdr:col>
      <xdr:colOff>0</xdr:colOff>
      <xdr:row>86</xdr:row>
      <xdr:rowOff>38100</xdr:rowOff>
    </xdr:from>
    <xdr:to>
      <xdr:col>109</xdr:col>
      <xdr:colOff>88900</xdr:colOff>
      <xdr:row>88</xdr:row>
      <xdr:rowOff>38100</xdr:rowOff>
    </xdr:to>
    <xdr:sp macro="" textlink="">
      <xdr:nvSpPr>
        <xdr:cNvPr id="889098" name="Rectangle 443" descr="Diagonal brick">
          <a:extLst>
            <a:ext uri="{FF2B5EF4-FFF2-40B4-BE49-F238E27FC236}">
              <a16:creationId xmlns="" xmlns:a16="http://schemas.microsoft.com/office/drawing/2014/main" id="{00000000-0008-0000-2700-00000A910D00}"/>
            </a:ext>
          </a:extLst>
        </xdr:cNvPr>
        <xdr:cNvSpPr>
          <a:spLocks noChangeArrowheads="1"/>
        </xdr:cNvSpPr>
      </xdr:nvSpPr>
      <xdr:spPr bwMode="auto">
        <a:xfrm>
          <a:off x="9029700" y="8420100"/>
          <a:ext cx="3517900" cy="190500"/>
        </a:xfrm>
        <a:prstGeom prst="rect">
          <a:avLst/>
        </a:prstGeom>
        <a:blipFill dpi="0" rotWithShape="0">
          <a:blip xmlns:r="http://schemas.openxmlformats.org/officeDocument/2006/relationships" r:embed="rId9"/>
          <a:srcRect/>
          <a:tile tx="0" ty="0" sx="100000" sy="100000" flip="none" algn="tl"/>
        </a:blipFill>
        <a:ln w="9525">
          <a:solidFill>
            <a:srgbClr val="000000"/>
          </a:solidFill>
          <a:miter lim="800000"/>
          <a:headEnd/>
          <a:tailEnd/>
        </a:ln>
      </xdr:spPr>
    </xdr:sp>
    <xdr:clientData/>
  </xdr:twoCellAnchor>
  <xdr:twoCellAnchor>
    <xdr:from>
      <xdr:col>81</xdr:col>
      <xdr:colOff>6350</xdr:colOff>
      <xdr:row>62</xdr:row>
      <xdr:rowOff>19050</xdr:rowOff>
    </xdr:from>
    <xdr:to>
      <xdr:col>99</xdr:col>
      <xdr:colOff>76200</xdr:colOff>
      <xdr:row>86</xdr:row>
      <xdr:rowOff>19050</xdr:rowOff>
    </xdr:to>
    <xdr:sp macro="" textlink="">
      <xdr:nvSpPr>
        <xdr:cNvPr id="889099" name="Rectangle 439" descr="Newsprint">
          <a:extLst>
            <a:ext uri="{FF2B5EF4-FFF2-40B4-BE49-F238E27FC236}">
              <a16:creationId xmlns="" xmlns:a16="http://schemas.microsoft.com/office/drawing/2014/main" id="{00000000-0008-0000-2700-00000B910D00}"/>
            </a:ext>
          </a:extLst>
        </xdr:cNvPr>
        <xdr:cNvSpPr>
          <a:spLocks noChangeArrowheads="1"/>
        </xdr:cNvSpPr>
      </xdr:nvSpPr>
      <xdr:spPr bwMode="auto">
        <a:xfrm>
          <a:off x="9264650" y="6115050"/>
          <a:ext cx="2127250" cy="2286000"/>
        </a:xfrm>
        <a:prstGeom prst="rect">
          <a:avLst/>
        </a:prstGeom>
        <a:blipFill dpi="0" rotWithShape="0">
          <a:blip xmlns:r="http://schemas.openxmlformats.org/officeDocument/2006/relationships" r:embed="rId5"/>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99</xdr:col>
      <xdr:colOff>94616</xdr:colOff>
      <xdr:row>85</xdr:row>
      <xdr:rowOff>74295</xdr:rowOff>
    </xdr:from>
    <xdr:to>
      <xdr:col>108</xdr:col>
      <xdr:colOff>665</xdr:colOff>
      <xdr:row>87</xdr:row>
      <xdr:rowOff>17219</xdr:rowOff>
    </xdr:to>
    <xdr:sp macro="" textlink="">
      <xdr:nvSpPr>
        <xdr:cNvPr id="213" name="Rectangle 212">
          <a:extLst>
            <a:ext uri="{FF2B5EF4-FFF2-40B4-BE49-F238E27FC236}">
              <a16:creationId xmlns="" xmlns:a16="http://schemas.microsoft.com/office/drawing/2014/main" id="{00000000-0008-0000-2700-0000D5000000}"/>
            </a:ext>
          </a:extLst>
        </xdr:cNvPr>
        <xdr:cNvSpPr/>
      </xdr:nvSpPr>
      <xdr:spPr bwMode="auto">
        <a:xfrm>
          <a:off x="11525251" y="8372475"/>
          <a:ext cx="942974" cy="123825"/>
        </a:xfrm>
        <a:prstGeom prst="rect">
          <a:avLst/>
        </a:prstGeom>
        <a:blipFill>
          <a:blip xmlns:r="http://schemas.openxmlformats.org/officeDocument/2006/relationships" r:embed="rId10" cstate="print"/>
          <a:tile tx="0" ty="0" sx="100000" sy="100000" flip="none" algn="tl"/>
        </a:blip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102</xdr:col>
      <xdr:colOff>47477</xdr:colOff>
      <xdr:row>84</xdr:row>
      <xdr:rowOff>61406</xdr:rowOff>
    </xdr:from>
    <xdr:to>
      <xdr:col>103</xdr:col>
      <xdr:colOff>59015</xdr:colOff>
      <xdr:row>86</xdr:row>
      <xdr:rowOff>46864</xdr:rowOff>
    </xdr:to>
    <xdr:sp macro="" textlink="">
      <xdr:nvSpPr>
        <xdr:cNvPr id="214" name="Arc plein 213">
          <a:extLst>
            <a:ext uri="{FF2B5EF4-FFF2-40B4-BE49-F238E27FC236}">
              <a16:creationId xmlns="" xmlns:a16="http://schemas.microsoft.com/office/drawing/2014/main" id="{00000000-0008-0000-2700-0000D6000000}"/>
            </a:ext>
          </a:extLst>
        </xdr:cNvPr>
        <xdr:cNvSpPr/>
      </xdr:nvSpPr>
      <xdr:spPr bwMode="auto">
        <a:xfrm>
          <a:off x="11828632" y="8269416"/>
          <a:ext cx="108025" cy="166600"/>
        </a:xfrm>
        <a:prstGeom prst="blockArc">
          <a:avLst/>
        </a:prstGeom>
        <a:solidFill>
          <a:schemeClr val="tx1">
            <a:lumMod val="65000"/>
            <a:lumOff val="3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p>
      </xdr:txBody>
    </xdr:sp>
    <xdr:clientData/>
  </xdr:twoCellAnchor>
  <xdr:twoCellAnchor>
    <xdr:from>
      <xdr:col>105</xdr:col>
      <xdr:colOff>80188</xdr:colOff>
      <xdr:row>84</xdr:row>
      <xdr:rowOff>75689</xdr:rowOff>
    </xdr:from>
    <xdr:to>
      <xdr:col>106</xdr:col>
      <xdr:colOff>80263</xdr:colOff>
      <xdr:row>86</xdr:row>
      <xdr:rowOff>48207</xdr:rowOff>
    </xdr:to>
    <xdr:sp macro="" textlink="">
      <xdr:nvSpPr>
        <xdr:cNvPr id="215" name="Arc plein 214">
          <a:extLst>
            <a:ext uri="{FF2B5EF4-FFF2-40B4-BE49-F238E27FC236}">
              <a16:creationId xmlns="" xmlns:a16="http://schemas.microsoft.com/office/drawing/2014/main" id="{00000000-0008-0000-2700-0000D7000000}"/>
            </a:ext>
          </a:extLst>
        </xdr:cNvPr>
        <xdr:cNvSpPr/>
      </xdr:nvSpPr>
      <xdr:spPr bwMode="auto">
        <a:xfrm>
          <a:off x="12205513" y="8277349"/>
          <a:ext cx="108025" cy="166600"/>
        </a:xfrm>
        <a:prstGeom prst="blockArc">
          <a:avLst/>
        </a:prstGeom>
        <a:solidFill>
          <a:schemeClr val="tx1">
            <a:lumMod val="65000"/>
            <a:lumOff val="3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p>
      </xdr:txBody>
    </xdr:sp>
    <xdr:clientData/>
  </xdr:twoCellAnchor>
  <xdr:twoCellAnchor>
    <xdr:from>
      <xdr:col>80</xdr:col>
      <xdr:colOff>61592</xdr:colOff>
      <xdr:row>54</xdr:row>
      <xdr:rowOff>47625</xdr:rowOff>
    </xdr:from>
    <xdr:to>
      <xdr:col>99</xdr:col>
      <xdr:colOff>84348</xdr:colOff>
      <xdr:row>62</xdr:row>
      <xdr:rowOff>61069</xdr:rowOff>
    </xdr:to>
    <xdr:sp macro="" textlink="">
      <xdr:nvSpPr>
        <xdr:cNvPr id="216" name="Triangle rectangle 215">
          <a:extLst>
            <a:ext uri="{FF2B5EF4-FFF2-40B4-BE49-F238E27FC236}">
              <a16:creationId xmlns="" xmlns:a16="http://schemas.microsoft.com/office/drawing/2014/main" id="{00000000-0008-0000-2700-0000D8000000}"/>
            </a:ext>
          </a:extLst>
        </xdr:cNvPr>
        <xdr:cNvSpPr/>
      </xdr:nvSpPr>
      <xdr:spPr>
        <a:xfrm flipH="1">
          <a:off x="9277347" y="5400675"/>
          <a:ext cx="2238377" cy="737823"/>
        </a:xfrm>
        <a:prstGeom prst="rtTriangle">
          <a:avLst/>
        </a:prstGeom>
        <a:blipFill>
          <a:blip xmlns:r="http://schemas.openxmlformats.org/officeDocument/2006/relationships" r:embed="rId5" cstate="print"/>
          <a:tile tx="0" ty="0" sx="100000" sy="100000" flip="none" algn="tl"/>
        </a:blipFill>
        <a:ln w="9525">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78</xdr:col>
      <xdr:colOff>635</xdr:colOff>
      <xdr:row>92</xdr:row>
      <xdr:rowOff>57784</xdr:rowOff>
    </xdr:from>
    <xdr:to>
      <xdr:col>113</xdr:col>
      <xdr:colOff>60960</xdr:colOff>
      <xdr:row>98</xdr:row>
      <xdr:rowOff>58040</xdr:rowOff>
    </xdr:to>
    <xdr:sp macro="" textlink="">
      <xdr:nvSpPr>
        <xdr:cNvPr id="217" name="Text Box 446">
          <a:extLst>
            <a:ext uri="{FF2B5EF4-FFF2-40B4-BE49-F238E27FC236}">
              <a16:creationId xmlns="" xmlns:a16="http://schemas.microsoft.com/office/drawing/2014/main" id="{00000000-0008-0000-2700-0000D9000000}"/>
            </a:ext>
          </a:extLst>
        </xdr:cNvPr>
        <xdr:cNvSpPr txBox="1">
          <a:spLocks noChangeArrowheads="1"/>
        </xdr:cNvSpPr>
      </xdr:nvSpPr>
      <xdr:spPr bwMode="auto">
        <a:xfrm>
          <a:off x="9039225" y="9029699"/>
          <a:ext cx="4029075" cy="542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ctr" rtl="0">
            <a:defRPr sz="1000"/>
          </a:pPr>
          <a:r>
            <a:rPr lang="fr-FR" sz="1000" b="1" i="0" strike="noStrike">
              <a:solidFill>
                <a:srgbClr val="000000"/>
              </a:solidFill>
              <a:latin typeface="Arial"/>
              <a:cs typeface="Arial"/>
            </a:rPr>
            <a:t>PROFIL DROIT BLOC</a:t>
          </a:r>
          <a:r>
            <a:rPr lang="fr-FR" sz="1000" b="1" i="0" strike="noStrike" baseline="0">
              <a:solidFill>
                <a:srgbClr val="000000"/>
              </a:solidFill>
              <a:latin typeface="Arial"/>
              <a:cs typeface="Arial"/>
            </a:rPr>
            <a:t> LATRINE DE 1 PORTES AVEC ACCES AUX PERSONNES AVEC MOBILITE REDUITE</a:t>
          </a:r>
          <a:endParaRPr lang="fr-FR" sz="1000" b="1" i="0" strike="noStrike">
            <a:solidFill>
              <a:srgbClr val="000000"/>
            </a:solidFill>
            <a:latin typeface="Arial"/>
            <a:cs typeface="Arial"/>
          </a:endParaRPr>
        </a:p>
      </xdr:txBody>
    </xdr:sp>
    <xdr:clientData/>
  </xdr:twoCellAnchor>
  <xdr:twoCellAnchor>
    <xdr:from>
      <xdr:col>0</xdr:col>
      <xdr:colOff>88900</xdr:colOff>
      <xdr:row>64</xdr:row>
      <xdr:rowOff>12700</xdr:rowOff>
    </xdr:from>
    <xdr:to>
      <xdr:col>48</xdr:col>
      <xdr:colOff>0</xdr:colOff>
      <xdr:row>95</xdr:row>
      <xdr:rowOff>12700</xdr:rowOff>
    </xdr:to>
    <xdr:grpSp>
      <xdr:nvGrpSpPr>
        <xdr:cNvPr id="889105" name="Groupe 217">
          <a:extLst>
            <a:ext uri="{FF2B5EF4-FFF2-40B4-BE49-F238E27FC236}">
              <a16:creationId xmlns="" xmlns:a16="http://schemas.microsoft.com/office/drawing/2014/main" id="{00000000-0008-0000-2700-000011910D00}"/>
            </a:ext>
          </a:extLst>
        </xdr:cNvPr>
        <xdr:cNvGrpSpPr>
          <a:grpSpLocks/>
        </xdr:cNvGrpSpPr>
      </xdr:nvGrpSpPr>
      <xdr:grpSpPr bwMode="auto">
        <a:xfrm>
          <a:off x="88900" y="6299200"/>
          <a:ext cx="5397500" cy="2952750"/>
          <a:chOff x="609600" y="5229225"/>
          <a:chExt cx="5362576" cy="2952750"/>
        </a:xfrm>
      </xdr:grpSpPr>
      <xdr:sp macro="" textlink="">
        <xdr:nvSpPr>
          <xdr:cNvPr id="889247" name="Rectangle 259" descr="Cork">
            <a:extLst>
              <a:ext uri="{FF2B5EF4-FFF2-40B4-BE49-F238E27FC236}">
                <a16:creationId xmlns="" xmlns:a16="http://schemas.microsoft.com/office/drawing/2014/main" id="{00000000-0008-0000-2700-00009F910D00}"/>
              </a:ext>
            </a:extLst>
          </xdr:cNvPr>
          <xdr:cNvSpPr>
            <a:spLocks noChangeArrowheads="1"/>
          </xdr:cNvSpPr>
        </xdr:nvSpPr>
        <xdr:spPr bwMode="auto">
          <a:xfrm>
            <a:off x="3019424" y="6153150"/>
            <a:ext cx="2943225" cy="1781175"/>
          </a:xfrm>
          <a:prstGeom prst="rect">
            <a:avLst/>
          </a:prstGeom>
          <a:blipFill dpi="0" rotWithShape="0">
            <a:blip xmlns:r="http://schemas.openxmlformats.org/officeDocument/2006/relationships" r:embed="rId7"/>
            <a:srcRect/>
            <a:tile tx="0" ty="0" sx="100000" sy="100000" flip="none" algn="tl"/>
          </a:blipFill>
          <a:ln w="9525">
            <a:solidFill>
              <a:srgbClr val="000000"/>
            </a:solidFill>
            <a:miter lim="800000"/>
            <a:headEnd/>
            <a:tailEnd/>
          </a:ln>
        </xdr:spPr>
      </xdr:sp>
      <xdr:cxnSp macro="">
        <xdr:nvCxnSpPr>
          <xdr:cNvPr id="220" name="Connecteur droit 219">
            <a:extLst>
              <a:ext uri="{FF2B5EF4-FFF2-40B4-BE49-F238E27FC236}">
                <a16:creationId xmlns="" xmlns:a16="http://schemas.microsoft.com/office/drawing/2014/main" id="{00000000-0008-0000-2700-0000DC000000}"/>
              </a:ext>
            </a:extLst>
          </xdr:cNvPr>
          <xdr:cNvCxnSpPr/>
        </xdr:nvCxnSpPr>
        <xdr:spPr>
          <a:xfrm rot="5400000">
            <a:off x="2927530" y="5797550"/>
            <a:ext cx="18415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21" name="Connecteur droit 220">
            <a:extLst>
              <a:ext uri="{FF2B5EF4-FFF2-40B4-BE49-F238E27FC236}">
                <a16:creationId xmlns="" xmlns:a16="http://schemas.microsoft.com/office/drawing/2014/main" id="{00000000-0008-0000-2700-0000DD000000}"/>
              </a:ext>
            </a:extLst>
          </xdr:cNvPr>
          <xdr:cNvCxnSpPr/>
        </xdr:nvCxnSpPr>
        <xdr:spPr>
          <a:xfrm rot="5400000">
            <a:off x="5867422" y="5803921"/>
            <a:ext cx="203200" cy="630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nvGrpSpPr>
          <xdr:cNvPr id="889250" name="Groupe 390">
            <a:extLst>
              <a:ext uri="{FF2B5EF4-FFF2-40B4-BE49-F238E27FC236}">
                <a16:creationId xmlns="" xmlns:a16="http://schemas.microsoft.com/office/drawing/2014/main" id="{00000000-0008-0000-2700-0000A2910D00}"/>
              </a:ext>
            </a:extLst>
          </xdr:cNvPr>
          <xdr:cNvGrpSpPr>
            <a:grpSpLocks/>
          </xdr:cNvGrpSpPr>
        </xdr:nvGrpSpPr>
        <xdr:grpSpPr bwMode="auto">
          <a:xfrm>
            <a:off x="609600" y="5229225"/>
            <a:ext cx="5353053" cy="2952750"/>
            <a:chOff x="609600" y="5229225"/>
            <a:chExt cx="5353053" cy="2952750"/>
          </a:xfrm>
        </xdr:grpSpPr>
        <xdr:sp macro="" textlink="">
          <xdr:nvSpPr>
            <xdr:cNvPr id="223" name="Text Box 171">
              <a:extLst>
                <a:ext uri="{FF2B5EF4-FFF2-40B4-BE49-F238E27FC236}">
                  <a16:creationId xmlns="" xmlns:a16="http://schemas.microsoft.com/office/drawing/2014/main" id="{00000000-0008-0000-2700-0000DF000000}"/>
                </a:ext>
              </a:extLst>
            </xdr:cNvPr>
            <xdr:cNvSpPr txBox="1">
              <a:spLocks noChangeArrowheads="1"/>
            </xdr:cNvSpPr>
          </xdr:nvSpPr>
          <xdr:spPr bwMode="auto">
            <a:xfrm>
              <a:off x="3991177" y="5641975"/>
              <a:ext cx="529949" cy="196850"/>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2.00 m</a:t>
              </a:r>
            </a:p>
          </xdr:txBody>
        </xdr:sp>
        <xdr:sp macro="" textlink="">
          <xdr:nvSpPr>
            <xdr:cNvPr id="889252" name="Line 260">
              <a:extLst>
                <a:ext uri="{FF2B5EF4-FFF2-40B4-BE49-F238E27FC236}">
                  <a16:creationId xmlns="" xmlns:a16="http://schemas.microsoft.com/office/drawing/2014/main" id="{00000000-0008-0000-2700-0000A4910D00}"/>
                </a:ext>
              </a:extLst>
            </xdr:cNvPr>
            <xdr:cNvSpPr>
              <a:spLocks noChangeShapeType="1"/>
            </xdr:cNvSpPr>
          </xdr:nvSpPr>
          <xdr:spPr bwMode="auto">
            <a:xfrm flipH="1">
              <a:off x="2647950" y="5953125"/>
              <a:ext cx="0" cy="22288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225" name="Text Box 261">
              <a:extLst>
                <a:ext uri="{FF2B5EF4-FFF2-40B4-BE49-F238E27FC236}">
                  <a16:creationId xmlns="" xmlns:a16="http://schemas.microsoft.com/office/drawing/2014/main" id="{00000000-0008-0000-2700-0000E1000000}"/>
                </a:ext>
              </a:extLst>
            </xdr:cNvPr>
            <xdr:cNvSpPr txBox="1">
              <a:spLocks noChangeArrowheads="1"/>
            </xdr:cNvSpPr>
          </xdr:nvSpPr>
          <xdr:spPr bwMode="auto">
            <a:xfrm>
              <a:off x="2180519" y="6918325"/>
              <a:ext cx="441624" cy="2159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2.85m</a:t>
              </a:r>
            </a:p>
          </xdr:txBody>
        </xdr:sp>
        <xdr:sp macro="" textlink="">
          <xdr:nvSpPr>
            <xdr:cNvPr id="889254" name="Rectangle 263" descr="Horizontal brick">
              <a:extLst>
                <a:ext uri="{FF2B5EF4-FFF2-40B4-BE49-F238E27FC236}">
                  <a16:creationId xmlns="" xmlns:a16="http://schemas.microsoft.com/office/drawing/2014/main" id="{00000000-0008-0000-2700-0000A6910D00}"/>
                </a:ext>
              </a:extLst>
            </xdr:cNvPr>
            <xdr:cNvSpPr>
              <a:spLocks noChangeArrowheads="1"/>
            </xdr:cNvSpPr>
          </xdr:nvSpPr>
          <xdr:spPr bwMode="auto">
            <a:xfrm>
              <a:off x="4362450" y="6124575"/>
              <a:ext cx="209550" cy="1857375"/>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sp macro="" textlink="">
          <xdr:nvSpPr>
            <xdr:cNvPr id="889255" name="Rectangle 264" descr="Horizontal brick">
              <a:extLst>
                <a:ext uri="{FF2B5EF4-FFF2-40B4-BE49-F238E27FC236}">
                  <a16:creationId xmlns="" xmlns:a16="http://schemas.microsoft.com/office/drawing/2014/main" id="{00000000-0008-0000-2700-0000A7910D00}"/>
                </a:ext>
              </a:extLst>
            </xdr:cNvPr>
            <xdr:cNvSpPr>
              <a:spLocks noChangeArrowheads="1"/>
            </xdr:cNvSpPr>
          </xdr:nvSpPr>
          <xdr:spPr bwMode="auto">
            <a:xfrm>
              <a:off x="3019425" y="6143625"/>
              <a:ext cx="209550" cy="1819275"/>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sp macro="" textlink="">
          <xdr:nvSpPr>
            <xdr:cNvPr id="889256" name="Rectangle 265" descr="Horizontal brick">
              <a:extLst>
                <a:ext uri="{FF2B5EF4-FFF2-40B4-BE49-F238E27FC236}">
                  <a16:creationId xmlns="" xmlns:a16="http://schemas.microsoft.com/office/drawing/2014/main" id="{00000000-0008-0000-2700-0000A8910D00}"/>
                </a:ext>
              </a:extLst>
            </xdr:cNvPr>
            <xdr:cNvSpPr>
              <a:spLocks noChangeArrowheads="1"/>
            </xdr:cNvSpPr>
          </xdr:nvSpPr>
          <xdr:spPr bwMode="auto">
            <a:xfrm>
              <a:off x="5753100" y="6143625"/>
              <a:ext cx="209550" cy="1819275"/>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sp macro="" textlink="">
          <xdr:nvSpPr>
            <xdr:cNvPr id="889257" name="Rectangle 266" descr="Horizontal brick">
              <a:extLst>
                <a:ext uri="{FF2B5EF4-FFF2-40B4-BE49-F238E27FC236}">
                  <a16:creationId xmlns="" xmlns:a16="http://schemas.microsoft.com/office/drawing/2014/main" id="{00000000-0008-0000-2700-0000A9910D00}"/>
                </a:ext>
              </a:extLst>
            </xdr:cNvPr>
            <xdr:cNvSpPr>
              <a:spLocks noChangeArrowheads="1"/>
            </xdr:cNvSpPr>
          </xdr:nvSpPr>
          <xdr:spPr bwMode="auto">
            <a:xfrm rot="-5400000">
              <a:off x="4391027" y="4591049"/>
              <a:ext cx="180975" cy="2962275"/>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sp macro="" textlink="">
          <xdr:nvSpPr>
            <xdr:cNvPr id="889258" name="Rectangle 267" descr="Horizontal brick">
              <a:extLst>
                <a:ext uri="{FF2B5EF4-FFF2-40B4-BE49-F238E27FC236}">
                  <a16:creationId xmlns="" xmlns:a16="http://schemas.microsoft.com/office/drawing/2014/main" id="{00000000-0008-0000-2700-0000AA910D00}"/>
                </a:ext>
              </a:extLst>
            </xdr:cNvPr>
            <xdr:cNvSpPr>
              <a:spLocks noChangeArrowheads="1"/>
            </xdr:cNvSpPr>
          </xdr:nvSpPr>
          <xdr:spPr bwMode="auto">
            <a:xfrm rot="-5400000">
              <a:off x="4376739" y="6567485"/>
              <a:ext cx="228599" cy="2943228"/>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sp macro="" textlink="">
          <xdr:nvSpPr>
            <xdr:cNvPr id="889259" name="Line 268">
              <a:extLst>
                <a:ext uri="{FF2B5EF4-FFF2-40B4-BE49-F238E27FC236}">
                  <a16:creationId xmlns="" xmlns:a16="http://schemas.microsoft.com/office/drawing/2014/main" id="{00000000-0008-0000-2700-0000AB910D00}"/>
                </a:ext>
              </a:extLst>
            </xdr:cNvPr>
            <xdr:cNvSpPr>
              <a:spLocks noChangeShapeType="1"/>
            </xdr:cNvSpPr>
          </xdr:nvSpPr>
          <xdr:spPr bwMode="auto">
            <a:xfrm>
              <a:off x="3200400" y="7515225"/>
              <a:ext cx="1181100" cy="45719"/>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232" name="Text Box 269">
              <a:extLst>
                <a:ext uri="{FF2B5EF4-FFF2-40B4-BE49-F238E27FC236}">
                  <a16:creationId xmlns="" xmlns:a16="http://schemas.microsoft.com/office/drawing/2014/main" id="{00000000-0008-0000-2700-0000E8000000}"/>
                </a:ext>
              </a:extLst>
            </xdr:cNvPr>
            <xdr:cNvSpPr txBox="1">
              <a:spLocks noChangeArrowheads="1"/>
            </xdr:cNvSpPr>
          </xdr:nvSpPr>
          <xdr:spPr bwMode="auto">
            <a:xfrm>
              <a:off x="3682041" y="7381875"/>
              <a:ext cx="340681" cy="1651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0.7m</a:t>
              </a:r>
            </a:p>
          </xdr:txBody>
        </xdr:sp>
        <xdr:sp macro="" textlink="">
          <xdr:nvSpPr>
            <xdr:cNvPr id="889261" name="Line 270">
              <a:extLst>
                <a:ext uri="{FF2B5EF4-FFF2-40B4-BE49-F238E27FC236}">
                  <a16:creationId xmlns="" xmlns:a16="http://schemas.microsoft.com/office/drawing/2014/main" id="{00000000-0008-0000-2700-0000AD910D00}"/>
                </a:ext>
              </a:extLst>
            </xdr:cNvPr>
            <xdr:cNvSpPr>
              <a:spLocks noChangeShapeType="1"/>
            </xdr:cNvSpPr>
          </xdr:nvSpPr>
          <xdr:spPr bwMode="auto">
            <a:xfrm>
              <a:off x="4572001" y="7543800"/>
              <a:ext cx="1171574" cy="45719"/>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234" name="Text Box 272">
              <a:extLst>
                <a:ext uri="{FF2B5EF4-FFF2-40B4-BE49-F238E27FC236}">
                  <a16:creationId xmlns="" xmlns:a16="http://schemas.microsoft.com/office/drawing/2014/main" id="{00000000-0008-0000-2700-0000EA000000}"/>
                </a:ext>
              </a:extLst>
            </xdr:cNvPr>
            <xdr:cNvSpPr txBox="1">
              <a:spLocks noChangeArrowheads="1"/>
            </xdr:cNvSpPr>
          </xdr:nvSpPr>
          <xdr:spPr bwMode="auto">
            <a:xfrm>
              <a:off x="4615760" y="6689725"/>
              <a:ext cx="466860" cy="2476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2.45m</a:t>
              </a:r>
            </a:p>
          </xdr:txBody>
        </xdr:sp>
        <xdr:sp macro="" textlink="">
          <xdr:nvSpPr>
            <xdr:cNvPr id="235" name="Text Box 273">
              <a:extLst>
                <a:ext uri="{FF2B5EF4-FFF2-40B4-BE49-F238E27FC236}">
                  <a16:creationId xmlns="" xmlns:a16="http://schemas.microsoft.com/office/drawing/2014/main" id="{00000000-0008-0000-2700-0000EB000000}"/>
                </a:ext>
              </a:extLst>
            </xdr:cNvPr>
            <xdr:cNvSpPr txBox="1">
              <a:spLocks noChangeArrowheads="1"/>
            </xdr:cNvSpPr>
          </xdr:nvSpPr>
          <xdr:spPr bwMode="auto">
            <a:xfrm>
              <a:off x="5120473" y="7343775"/>
              <a:ext cx="403770" cy="2032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0.70m</a:t>
              </a:r>
            </a:p>
          </xdr:txBody>
        </xdr:sp>
        <xdr:sp macro="" textlink="">
          <xdr:nvSpPr>
            <xdr:cNvPr id="889264" name="Line 274">
              <a:extLst>
                <a:ext uri="{FF2B5EF4-FFF2-40B4-BE49-F238E27FC236}">
                  <a16:creationId xmlns="" xmlns:a16="http://schemas.microsoft.com/office/drawing/2014/main" id="{00000000-0008-0000-2700-0000B0910D00}"/>
                </a:ext>
              </a:extLst>
            </xdr:cNvPr>
            <xdr:cNvSpPr>
              <a:spLocks noChangeShapeType="1"/>
            </xdr:cNvSpPr>
          </xdr:nvSpPr>
          <xdr:spPr bwMode="auto">
            <a:xfrm flipH="1">
              <a:off x="5010150" y="6143625"/>
              <a:ext cx="0" cy="17907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889265" name="Line 275">
              <a:extLst>
                <a:ext uri="{FF2B5EF4-FFF2-40B4-BE49-F238E27FC236}">
                  <a16:creationId xmlns="" xmlns:a16="http://schemas.microsoft.com/office/drawing/2014/main" id="{00000000-0008-0000-2700-0000B1910D00}"/>
                </a:ext>
              </a:extLst>
            </xdr:cNvPr>
            <xdr:cNvSpPr>
              <a:spLocks noChangeShapeType="1"/>
            </xdr:cNvSpPr>
          </xdr:nvSpPr>
          <xdr:spPr bwMode="auto">
            <a:xfrm flipH="1" flipV="1">
              <a:off x="2019300" y="6048374"/>
              <a:ext cx="981075" cy="495297"/>
            </a:xfrm>
            <a:prstGeom prst="line">
              <a:avLst/>
            </a:prstGeom>
            <a:noFill/>
            <a:ln w="9525">
              <a:solidFill>
                <a:srgbClr val="000000"/>
              </a:solidFill>
              <a:round/>
              <a:headEnd type="triangle" w="med" len="med"/>
              <a:tailEnd/>
            </a:ln>
            <a:extLst>
              <a:ext uri="{909E8E84-426E-40DD-AFC4-6F175D3DCCD1}">
                <a14:hiddenFill xmlns:a14="http://schemas.microsoft.com/office/drawing/2010/main">
                  <a:noFill/>
                </a14:hiddenFill>
              </a:ext>
            </a:extLst>
          </xdr:spPr>
        </xdr:sp>
        <xdr:sp macro="" textlink="">
          <xdr:nvSpPr>
            <xdr:cNvPr id="889266" name="Rectangle 314">
              <a:extLst>
                <a:ext uri="{FF2B5EF4-FFF2-40B4-BE49-F238E27FC236}">
                  <a16:creationId xmlns="" xmlns:a16="http://schemas.microsoft.com/office/drawing/2014/main" id="{00000000-0008-0000-2700-0000B2910D00}"/>
                </a:ext>
              </a:extLst>
            </xdr:cNvPr>
            <xdr:cNvSpPr>
              <a:spLocks noChangeArrowheads="1"/>
            </xdr:cNvSpPr>
          </xdr:nvSpPr>
          <xdr:spPr bwMode="auto">
            <a:xfrm>
              <a:off x="3400425" y="7934325"/>
              <a:ext cx="114300" cy="200025"/>
            </a:xfrm>
            <a:prstGeom prst="rect">
              <a:avLst/>
            </a:prstGeom>
            <a:solidFill>
              <a:srgbClr val="969696"/>
            </a:solidFill>
            <a:ln w="9525">
              <a:solidFill>
                <a:srgbClr val="000000"/>
              </a:solidFill>
              <a:miter lim="800000"/>
              <a:headEnd/>
              <a:tailEnd/>
            </a:ln>
          </xdr:spPr>
        </xdr:sp>
        <xdr:sp macro="" textlink="">
          <xdr:nvSpPr>
            <xdr:cNvPr id="889267" name="Rectangle 315">
              <a:extLst>
                <a:ext uri="{FF2B5EF4-FFF2-40B4-BE49-F238E27FC236}">
                  <a16:creationId xmlns="" xmlns:a16="http://schemas.microsoft.com/office/drawing/2014/main" id="{00000000-0008-0000-2700-0000B3910D00}"/>
                </a:ext>
              </a:extLst>
            </xdr:cNvPr>
            <xdr:cNvSpPr>
              <a:spLocks noChangeArrowheads="1"/>
            </xdr:cNvSpPr>
          </xdr:nvSpPr>
          <xdr:spPr bwMode="auto">
            <a:xfrm>
              <a:off x="4124325" y="7943850"/>
              <a:ext cx="114300" cy="200025"/>
            </a:xfrm>
            <a:prstGeom prst="rect">
              <a:avLst/>
            </a:prstGeom>
            <a:solidFill>
              <a:srgbClr val="969696"/>
            </a:solidFill>
            <a:ln w="9525">
              <a:solidFill>
                <a:srgbClr val="000000"/>
              </a:solidFill>
              <a:miter lim="800000"/>
              <a:headEnd/>
              <a:tailEnd/>
            </a:ln>
          </xdr:spPr>
        </xdr:sp>
        <xdr:sp macro="" textlink="">
          <xdr:nvSpPr>
            <xdr:cNvPr id="889268" name="Rectangle 316">
              <a:extLst>
                <a:ext uri="{FF2B5EF4-FFF2-40B4-BE49-F238E27FC236}">
                  <a16:creationId xmlns="" xmlns:a16="http://schemas.microsoft.com/office/drawing/2014/main" id="{00000000-0008-0000-2700-0000B4910D00}"/>
                </a:ext>
              </a:extLst>
            </xdr:cNvPr>
            <xdr:cNvSpPr>
              <a:spLocks noChangeArrowheads="1"/>
            </xdr:cNvSpPr>
          </xdr:nvSpPr>
          <xdr:spPr bwMode="auto">
            <a:xfrm>
              <a:off x="5419725" y="5972175"/>
              <a:ext cx="114300" cy="200025"/>
            </a:xfrm>
            <a:prstGeom prst="rect">
              <a:avLst/>
            </a:prstGeom>
            <a:solidFill>
              <a:srgbClr val="969696"/>
            </a:solidFill>
            <a:ln w="9525">
              <a:solidFill>
                <a:srgbClr val="000000"/>
              </a:solidFill>
              <a:miter lim="800000"/>
              <a:headEnd/>
              <a:tailEnd/>
            </a:ln>
          </xdr:spPr>
        </xdr:sp>
        <xdr:sp macro="" textlink="">
          <xdr:nvSpPr>
            <xdr:cNvPr id="889269" name="Rectangle 317">
              <a:extLst>
                <a:ext uri="{FF2B5EF4-FFF2-40B4-BE49-F238E27FC236}">
                  <a16:creationId xmlns="" xmlns:a16="http://schemas.microsoft.com/office/drawing/2014/main" id="{00000000-0008-0000-2700-0000B5910D00}"/>
                </a:ext>
              </a:extLst>
            </xdr:cNvPr>
            <xdr:cNvSpPr>
              <a:spLocks noChangeArrowheads="1"/>
            </xdr:cNvSpPr>
          </xdr:nvSpPr>
          <xdr:spPr bwMode="auto">
            <a:xfrm>
              <a:off x="3362325" y="5962650"/>
              <a:ext cx="114300" cy="200025"/>
            </a:xfrm>
            <a:prstGeom prst="rect">
              <a:avLst/>
            </a:prstGeom>
            <a:solidFill>
              <a:srgbClr val="969696"/>
            </a:solidFill>
            <a:ln w="9525">
              <a:solidFill>
                <a:srgbClr val="000000"/>
              </a:solidFill>
              <a:miter lim="800000"/>
              <a:headEnd/>
              <a:tailEnd/>
            </a:ln>
          </xdr:spPr>
        </xdr:sp>
        <xdr:sp macro="" textlink="">
          <xdr:nvSpPr>
            <xdr:cNvPr id="889270" name="Rectangle 318">
              <a:extLst>
                <a:ext uri="{FF2B5EF4-FFF2-40B4-BE49-F238E27FC236}">
                  <a16:creationId xmlns="" xmlns:a16="http://schemas.microsoft.com/office/drawing/2014/main" id="{00000000-0008-0000-2700-0000B6910D00}"/>
                </a:ext>
              </a:extLst>
            </xdr:cNvPr>
            <xdr:cNvSpPr>
              <a:spLocks noChangeArrowheads="1"/>
            </xdr:cNvSpPr>
          </xdr:nvSpPr>
          <xdr:spPr bwMode="auto">
            <a:xfrm>
              <a:off x="4000500" y="5972175"/>
              <a:ext cx="114300" cy="200025"/>
            </a:xfrm>
            <a:prstGeom prst="rect">
              <a:avLst/>
            </a:prstGeom>
            <a:solidFill>
              <a:srgbClr val="969696"/>
            </a:solidFill>
            <a:ln w="9525">
              <a:solidFill>
                <a:srgbClr val="000000"/>
              </a:solidFill>
              <a:miter lim="800000"/>
              <a:headEnd/>
              <a:tailEnd/>
            </a:ln>
          </xdr:spPr>
        </xdr:sp>
        <xdr:sp macro="" textlink="">
          <xdr:nvSpPr>
            <xdr:cNvPr id="889271" name="Rectangle 319">
              <a:extLst>
                <a:ext uri="{FF2B5EF4-FFF2-40B4-BE49-F238E27FC236}">
                  <a16:creationId xmlns="" xmlns:a16="http://schemas.microsoft.com/office/drawing/2014/main" id="{00000000-0008-0000-2700-0000B7910D00}"/>
                </a:ext>
              </a:extLst>
            </xdr:cNvPr>
            <xdr:cNvSpPr>
              <a:spLocks noChangeArrowheads="1"/>
            </xdr:cNvSpPr>
          </xdr:nvSpPr>
          <xdr:spPr bwMode="auto">
            <a:xfrm>
              <a:off x="4800600" y="5972175"/>
              <a:ext cx="114300" cy="228600"/>
            </a:xfrm>
            <a:prstGeom prst="rect">
              <a:avLst/>
            </a:prstGeom>
            <a:solidFill>
              <a:srgbClr val="969696"/>
            </a:solidFill>
            <a:ln w="9525">
              <a:solidFill>
                <a:srgbClr val="000000"/>
              </a:solidFill>
              <a:miter lim="800000"/>
              <a:headEnd/>
              <a:tailEnd/>
            </a:ln>
          </xdr:spPr>
        </xdr:sp>
        <xdr:sp macro="" textlink="">
          <xdr:nvSpPr>
            <xdr:cNvPr id="889272" name="Line 322">
              <a:extLst>
                <a:ext uri="{FF2B5EF4-FFF2-40B4-BE49-F238E27FC236}">
                  <a16:creationId xmlns="" xmlns:a16="http://schemas.microsoft.com/office/drawing/2014/main" id="{00000000-0008-0000-2700-0000B8910D00}"/>
                </a:ext>
              </a:extLst>
            </xdr:cNvPr>
            <xdr:cNvSpPr>
              <a:spLocks noChangeShapeType="1"/>
            </xdr:cNvSpPr>
          </xdr:nvSpPr>
          <xdr:spPr bwMode="auto">
            <a:xfrm>
              <a:off x="3419476" y="6115050"/>
              <a:ext cx="457200" cy="4572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245" name="Text Box 323">
              <a:extLst>
                <a:ext uri="{FF2B5EF4-FFF2-40B4-BE49-F238E27FC236}">
                  <a16:creationId xmlns="" xmlns:a16="http://schemas.microsoft.com/office/drawing/2014/main" id="{00000000-0008-0000-2700-0000F5000000}"/>
                </a:ext>
              </a:extLst>
            </xdr:cNvPr>
            <xdr:cNvSpPr txBox="1">
              <a:spLocks noChangeArrowheads="1"/>
            </xdr:cNvSpPr>
          </xdr:nvSpPr>
          <xdr:spPr bwMode="auto">
            <a:xfrm>
              <a:off x="3511700" y="6486525"/>
              <a:ext cx="794923" cy="641350"/>
            </a:xfrm>
            <a:prstGeom prst="rect">
              <a:avLst/>
            </a:prstGeom>
            <a:noFill/>
            <a:ln w="9525">
              <a:noFill/>
              <a:miter lim="800000"/>
              <a:headEnd/>
              <a:tailEnd/>
            </a:ln>
          </xdr:spPr>
          <xdr:txBody>
            <a:bodyPr vertOverflow="clip" wrap="square" lIns="27432" tIns="22860" rIns="0" bIns="0" anchor="t" upright="1"/>
            <a:lstStyle/>
            <a:p>
              <a:pPr algn="l" rtl="0">
                <a:lnSpc>
                  <a:spcPts val="1000"/>
                </a:lnSpc>
                <a:defRPr sz="1000"/>
              </a:pPr>
              <a:r>
                <a:rPr lang="fr-FR" sz="1000" b="1" i="0" strike="noStrike">
                  <a:solidFill>
                    <a:srgbClr val="000000"/>
                  </a:solidFill>
                  <a:latin typeface="Arial"/>
                  <a:cs typeface="Arial"/>
                </a:rPr>
                <a:t>Ouvertures/barbacane de 10cm chaque 0.5 m</a:t>
              </a:r>
            </a:p>
          </xdr:txBody>
        </xdr:sp>
        <xdr:sp macro="" textlink="">
          <xdr:nvSpPr>
            <xdr:cNvPr id="246" name="Text Box 324">
              <a:extLst>
                <a:ext uri="{FF2B5EF4-FFF2-40B4-BE49-F238E27FC236}">
                  <a16:creationId xmlns="" xmlns:a16="http://schemas.microsoft.com/office/drawing/2014/main" id="{00000000-0008-0000-2700-0000F6000000}"/>
                </a:ext>
              </a:extLst>
            </xdr:cNvPr>
            <xdr:cNvSpPr txBox="1">
              <a:spLocks noChangeArrowheads="1"/>
            </xdr:cNvSpPr>
          </xdr:nvSpPr>
          <xdr:spPr bwMode="auto">
            <a:xfrm>
              <a:off x="609600" y="5953125"/>
              <a:ext cx="1457359" cy="2286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1" i="0" u="sng" strike="noStrike">
                  <a:solidFill>
                    <a:srgbClr val="000000"/>
                  </a:solidFill>
                  <a:latin typeface="Arial"/>
                  <a:cs typeface="Arial"/>
                </a:rPr>
                <a:t>Mur en brique de 20cm</a:t>
              </a:r>
            </a:p>
          </xdr:txBody>
        </xdr:sp>
        <xdr:sp macro="" textlink="">
          <xdr:nvSpPr>
            <xdr:cNvPr id="247" name="Text Box 438">
              <a:extLst>
                <a:ext uri="{FF2B5EF4-FFF2-40B4-BE49-F238E27FC236}">
                  <a16:creationId xmlns="" xmlns:a16="http://schemas.microsoft.com/office/drawing/2014/main" id="{00000000-0008-0000-2700-0000F7000000}"/>
                </a:ext>
              </a:extLst>
            </xdr:cNvPr>
            <xdr:cNvSpPr txBox="1">
              <a:spLocks noChangeArrowheads="1"/>
            </xdr:cNvSpPr>
          </xdr:nvSpPr>
          <xdr:spPr bwMode="auto">
            <a:xfrm>
              <a:off x="2842955" y="5229225"/>
              <a:ext cx="2851629" cy="3810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ctr" rtl="0">
                <a:defRPr sz="1000"/>
              </a:pPr>
              <a:r>
                <a:rPr lang="fr-FR" sz="1000" b="1" i="0" strike="noStrike">
                  <a:solidFill>
                    <a:srgbClr val="000000"/>
                  </a:solidFill>
                  <a:latin typeface="Arial"/>
                  <a:cs typeface="Arial"/>
                </a:rPr>
                <a:t>VUE EN PLAN FOSSE </a:t>
              </a:r>
            </a:p>
          </xdr:txBody>
        </xdr:sp>
        <xdr:cxnSp macro="">
          <xdr:nvCxnSpPr>
            <xdr:cNvPr id="248" name="Connecteur droit avec flèche 247">
              <a:extLst>
                <a:ext uri="{FF2B5EF4-FFF2-40B4-BE49-F238E27FC236}">
                  <a16:creationId xmlns="" xmlns:a16="http://schemas.microsoft.com/office/drawing/2014/main" id="{00000000-0008-0000-2700-0000F8000000}"/>
                </a:ext>
              </a:extLst>
            </xdr:cNvPr>
            <xdr:cNvCxnSpPr/>
          </xdr:nvCxnSpPr>
          <xdr:spPr>
            <a:xfrm>
              <a:off x="3019605" y="5794375"/>
              <a:ext cx="2921027" cy="0"/>
            </a:xfrm>
            <a:prstGeom prst="straightConnector1">
              <a:avLst/>
            </a:prstGeom>
            <a:ln w="12700">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889277" name="Rectangle 316">
              <a:extLst>
                <a:ext uri="{FF2B5EF4-FFF2-40B4-BE49-F238E27FC236}">
                  <a16:creationId xmlns="" xmlns:a16="http://schemas.microsoft.com/office/drawing/2014/main" id="{00000000-0008-0000-2700-0000BD910D00}"/>
                </a:ext>
              </a:extLst>
            </xdr:cNvPr>
            <xdr:cNvSpPr>
              <a:spLocks noChangeArrowheads="1"/>
            </xdr:cNvSpPr>
          </xdr:nvSpPr>
          <xdr:spPr bwMode="auto">
            <a:xfrm>
              <a:off x="5400675" y="7943850"/>
              <a:ext cx="114300" cy="200025"/>
            </a:xfrm>
            <a:prstGeom prst="rect">
              <a:avLst/>
            </a:prstGeom>
            <a:solidFill>
              <a:srgbClr val="969696"/>
            </a:solidFill>
            <a:ln w="9525">
              <a:solidFill>
                <a:srgbClr val="000000"/>
              </a:solidFill>
              <a:miter lim="800000"/>
              <a:headEnd/>
              <a:tailEnd/>
            </a:ln>
          </xdr:spPr>
        </xdr:sp>
        <xdr:sp macro="" textlink="">
          <xdr:nvSpPr>
            <xdr:cNvPr id="889278" name="Rectangle 319">
              <a:extLst>
                <a:ext uri="{FF2B5EF4-FFF2-40B4-BE49-F238E27FC236}">
                  <a16:creationId xmlns="" xmlns:a16="http://schemas.microsoft.com/office/drawing/2014/main" id="{00000000-0008-0000-2700-0000BE910D00}"/>
                </a:ext>
              </a:extLst>
            </xdr:cNvPr>
            <xdr:cNvSpPr>
              <a:spLocks noChangeArrowheads="1"/>
            </xdr:cNvSpPr>
          </xdr:nvSpPr>
          <xdr:spPr bwMode="auto">
            <a:xfrm>
              <a:off x="4781550" y="7934325"/>
              <a:ext cx="114300" cy="228600"/>
            </a:xfrm>
            <a:prstGeom prst="rect">
              <a:avLst/>
            </a:prstGeom>
            <a:solidFill>
              <a:srgbClr val="969696"/>
            </a:solidFill>
            <a:ln w="9525">
              <a:solidFill>
                <a:srgbClr val="000000"/>
              </a:solidFill>
              <a:miter lim="800000"/>
              <a:headEnd/>
              <a:tailEnd/>
            </a:ln>
          </xdr:spPr>
        </xdr:sp>
      </xdr:grpSp>
    </xdr:grpSp>
    <xdr:clientData/>
  </xdr:twoCellAnchor>
  <xdr:twoCellAnchor>
    <xdr:from>
      <xdr:col>27</xdr:col>
      <xdr:colOff>63500</xdr:colOff>
      <xdr:row>12</xdr:row>
      <xdr:rowOff>19050</xdr:rowOff>
    </xdr:from>
    <xdr:to>
      <xdr:col>27</xdr:col>
      <xdr:colOff>76200</xdr:colOff>
      <xdr:row>24</xdr:row>
      <xdr:rowOff>0</xdr:rowOff>
    </xdr:to>
    <xdr:cxnSp macro="">
      <xdr:nvCxnSpPr>
        <xdr:cNvPr id="889106" name="Straight Connector 267">
          <a:extLst>
            <a:ext uri="{FF2B5EF4-FFF2-40B4-BE49-F238E27FC236}">
              <a16:creationId xmlns="" xmlns:a16="http://schemas.microsoft.com/office/drawing/2014/main" id="{00000000-0008-0000-2700-000012910D00}"/>
            </a:ext>
          </a:extLst>
        </xdr:cNvPr>
        <xdr:cNvCxnSpPr>
          <a:cxnSpLocks noChangeShapeType="1"/>
        </xdr:cNvCxnSpPr>
      </xdr:nvCxnSpPr>
      <xdr:spPr bwMode="auto">
        <a:xfrm rot="16200000" flipH="1">
          <a:off x="2593975" y="1908175"/>
          <a:ext cx="1123950" cy="1270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24</xdr:col>
      <xdr:colOff>635</xdr:colOff>
      <xdr:row>24</xdr:row>
      <xdr:rowOff>3174</xdr:rowOff>
    </xdr:from>
    <xdr:to>
      <xdr:col>24</xdr:col>
      <xdr:colOff>29627</xdr:colOff>
      <xdr:row>36</xdr:row>
      <xdr:rowOff>47966</xdr:rowOff>
    </xdr:to>
    <xdr:cxnSp macro="">
      <xdr:nvCxnSpPr>
        <xdr:cNvPr id="252" name="Connecteur droit avec flèche 251">
          <a:extLst>
            <a:ext uri="{FF2B5EF4-FFF2-40B4-BE49-F238E27FC236}">
              <a16:creationId xmlns="" xmlns:a16="http://schemas.microsoft.com/office/drawing/2014/main" id="{00000000-0008-0000-2700-0000FC000000}"/>
            </a:ext>
          </a:extLst>
        </xdr:cNvPr>
        <xdr:cNvCxnSpPr/>
      </xdr:nvCxnSpPr>
      <xdr:spPr>
        <a:xfrm rot="16200000" flipH="1">
          <a:off x="2266950" y="3076574"/>
          <a:ext cx="1209675" cy="9525"/>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20321</xdr:colOff>
      <xdr:row>24</xdr:row>
      <xdr:rowOff>0</xdr:rowOff>
    </xdr:from>
    <xdr:to>
      <xdr:col>25</xdr:col>
      <xdr:colOff>858</xdr:colOff>
      <xdr:row>24</xdr:row>
      <xdr:rowOff>1588</xdr:rowOff>
    </xdr:to>
    <xdr:cxnSp macro="">
      <xdr:nvCxnSpPr>
        <xdr:cNvPr id="253" name="Connecteur droit 252">
          <a:extLst>
            <a:ext uri="{FF2B5EF4-FFF2-40B4-BE49-F238E27FC236}">
              <a16:creationId xmlns="" xmlns:a16="http://schemas.microsoft.com/office/drawing/2014/main" id="{00000000-0008-0000-2700-0000FD000000}"/>
            </a:ext>
          </a:extLst>
        </xdr:cNvPr>
        <xdr:cNvCxnSpPr/>
      </xdr:nvCxnSpPr>
      <xdr:spPr>
        <a:xfrm rot="10800000">
          <a:off x="2771776" y="2476500"/>
          <a:ext cx="200025"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57785</xdr:colOff>
      <xdr:row>122</xdr:row>
      <xdr:rowOff>75566</xdr:rowOff>
    </xdr:from>
    <xdr:to>
      <xdr:col>26</xdr:col>
      <xdr:colOff>55807</xdr:colOff>
      <xdr:row>125</xdr:row>
      <xdr:rowOff>56668</xdr:rowOff>
    </xdr:to>
    <xdr:sp macro="" textlink="">
      <xdr:nvSpPr>
        <xdr:cNvPr id="254" name="ZoneTexte 253">
          <a:extLst>
            <a:ext uri="{FF2B5EF4-FFF2-40B4-BE49-F238E27FC236}">
              <a16:creationId xmlns="" xmlns:a16="http://schemas.microsoft.com/office/drawing/2014/main" id="{00000000-0008-0000-2700-0000FE000000}"/>
            </a:ext>
          </a:extLst>
        </xdr:cNvPr>
        <xdr:cNvSpPr txBox="1"/>
      </xdr:nvSpPr>
      <xdr:spPr>
        <a:xfrm>
          <a:off x="2705100" y="11896726"/>
          <a:ext cx="4000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000" b="1"/>
            <a:t>220</a:t>
          </a:r>
        </a:p>
      </xdr:txBody>
    </xdr:sp>
    <xdr:clientData/>
  </xdr:twoCellAnchor>
  <xdr:twoCellAnchor>
    <xdr:from>
      <xdr:col>17</xdr:col>
      <xdr:colOff>61595</xdr:colOff>
      <xdr:row>131</xdr:row>
      <xdr:rowOff>9526</xdr:rowOff>
    </xdr:from>
    <xdr:to>
      <xdr:col>20</xdr:col>
      <xdr:colOff>58311</xdr:colOff>
      <xdr:row>133</xdr:row>
      <xdr:rowOff>72095</xdr:rowOff>
    </xdr:to>
    <xdr:sp macro="" textlink="">
      <xdr:nvSpPr>
        <xdr:cNvPr id="255" name="ZoneTexte 254">
          <a:extLst>
            <a:ext uri="{FF2B5EF4-FFF2-40B4-BE49-F238E27FC236}">
              <a16:creationId xmlns="" xmlns:a16="http://schemas.microsoft.com/office/drawing/2014/main" id="{00000000-0008-0000-2700-0000FF000000}"/>
            </a:ext>
          </a:extLst>
        </xdr:cNvPr>
        <xdr:cNvSpPr txBox="1"/>
      </xdr:nvSpPr>
      <xdr:spPr>
        <a:xfrm>
          <a:off x="2076450" y="12677776"/>
          <a:ext cx="4000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000" b="1"/>
            <a:t>200</a:t>
          </a:r>
        </a:p>
      </xdr:txBody>
    </xdr:sp>
    <xdr:clientData/>
  </xdr:twoCellAnchor>
  <xdr:twoCellAnchor>
    <xdr:from>
      <xdr:col>7</xdr:col>
      <xdr:colOff>57785</xdr:colOff>
      <xdr:row>36</xdr:row>
      <xdr:rowOff>57785</xdr:rowOff>
    </xdr:from>
    <xdr:to>
      <xdr:col>30</xdr:col>
      <xdr:colOff>94622</xdr:colOff>
      <xdr:row>45</xdr:row>
      <xdr:rowOff>61252</xdr:rowOff>
    </xdr:to>
    <xdr:sp macro="" textlink="">
      <xdr:nvSpPr>
        <xdr:cNvPr id="256" name="Rectangle 255">
          <a:extLst>
            <a:ext uri="{FF2B5EF4-FFF2-40B4-BE49-F238E27FC236}">
              <a16:creationId xmlns="" xmlns:a16="http://schemas.microsoft.com/office/drawing/2014/main" id="{00000000-0008-0000-2700-000000010000}"/>
            </a:ext>
          </a:extLst>
        </xdr:cNvPr>
        <xdr:cNvSpPr/>
      </xdr:nvSpPr>
      <xdr:spPr>
        <a:xfrm>
          <a:off x="971550" y="3695700"/>
          <a:ext cx="2676525" cy="819150"/>
        </a:xfrm>
        <a:prstGeom prst="rect">
          <a:avLst/>
        </a:prstGeom>
        <a:blipFill>
          <a:blip xmlns:r="http://schemas.openxmlformats.org/officeDocument/2006/relationships" r:embed="rId6" cstate="print"/>
          <a:tile tx="0" ty="0" sx="100000" sy="100000" flip="none" algn="tl"/>
        </a:blip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30</xdr:col>
      <xdr:colOff>94615</xdr:colOff>
      <xdr:row>36</xdr:row>
      <xdr:rowOff>57785</xdr:rowOff>
    </xdr:from>
    <xdr:to>
      <xdr:col>40</xdr:col>
      <xdr:colOff>2323</xdr:colOff>
      <xdr:row>45</xdr:row>
      <xdr:rowOff>61252</xdr:rowOff>
    </xdr:to>
    <xdr:sp macro="" textlink="">
      <xdr:nvSpPr>
        <xdr:cNvPr id="257" name="Rectangle 256">
          <a:extLst>
            <a:ext uri="{FF2B5EF4-FFF2-40B4-BE49-F238E27FC236}">
              <a16:creationId xmlns="" xmlns:a16="http://schemas.microsoft.com/office/drawing/2014/main" id="{00000000-0008-0000-2700-000001010000}"/>
            </a:ext>
          </a:extLst>
        </xdr:cNvPr>
        <xdr:cNvSpPr/>
      </xdr:nvSpPr>
      <xdr:spPr>
        <a:xfrm>
          <a:off x="3638550" y="3695700"/>
          <a:ext cx="1076325" cy="819150"/>
        </a:xfrm>
        <a:prstGeom prst="rect">
          <a:avLst/>
        </a:prstGeom>
        <a:blipFill>
          <a:blip xmlns:r="http://schemas.openxmlformats.org/officeDocument/2006/relationships" r:embed="rId5" cstate="print"/>
          <a:tile tx="0" ty="0" sx="100000" sy="100000" flip="none" algn="tl"/>
        </a:blip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40</xdr:col>
      <xdr:colOff>57786</xdr:colOff>
      <xdr:row>37</xdr:row>
      <xdr:rowOff>0</xdr:rowOff>
    </xdr:from>
    <xdr:to>
      <xdr:col>40</xdr:col>
      <xdr:colOff>102453</xdr:colOff>
      <xdr:row>45</xdr:row>
      <xdr:rowOff>58111</xdr:rowOff>
    </xdr:to>
    <xdr:sp macro="" textlink="">
      <xdr:nvSpPr>
        <xdr:cNvPr id="258" name="Rectangle 257">
          <a:extLst>
            <a:ext uri="{FF2B5EF4-FFF2-40B4-BE49-F238E27FC236}">
              <a16:creationId xmlns="" xmlns:a16="http://schemas.microsoft.com/office/drawing/2014/main" id="{00000000-0008-0000-2700-000002010000}"/>
            </a:ext>
          </a:extLst>
        </xdr:cNvPr>
        <xdr:cNvSpPr/>
      </xdr:nvSpPr>
      <xdr:spPr>
        <a:xfrm>
          <a:off x="4735831" y="3714750"/>
          <a:ext cx="45719" cy="838200"/>
        </a:xfrm>
        <a:prstGeom prst="rect">
          <a:avLst/>
        </a:prstGeom>
        <a:solidFill>
          <a:srgbClr val="FFC000"/>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7</xdr:col>
      <xdr:colOff>46989</xdr:colOff>
      <xdr:row>45</xdr:row>
      <xdr:rowOff>12700</xdr:rowOff>
    </xdr:from>
    <xdr:to>
      <xdr:col>31</xdr:col>
      <xdr:colOff>3164</xdr:colOff>
      <xdr:row>45</xdr:row>
      <xdr:rowOff>60644</xdr:rowOff>
    </xdr:to>
    <xdr:sp macro="" textlink="">
      <xdr:nvSpPr>
        <xdr:cNvPr id="259" name="Rectangle 258">
          <a:extLst>
            <a:ext uri="{FF2B5EF4-FFF2-40B4-BE49-F238E27FC236}">
              <a16:creationId xmlns="" xmlns:a16="http://schemas.microsoft.com/office/drawing/2014/main" id="{00000000-0008-0000-2700-000003010000}"/>
            </a:ext>
          </a:extLst>
        </xdr:cNvPr>
        <xdr:cNvSpPr/>
      </xdr:nvSpPr>
      <xdr:spPr>
        <a:xfrm flipH="1">
          <a:off x="960119" y="4505325"/>
          <a:ext cx="2707006" cy="47626"/>
        </a:xfrm>
        <a:prstGeom prst="rect">
          <a:avLst/>
        </a:prstGeom>
        <a:solidFill>
          <a:srgbClr val="FFC000"/>
        </a:solidFill>
        <a:ln>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31</xdr:col>
      <xdr:colOff>3174</xdr:colOff>
      <xdr:row>45</xdr:row>
      <xdr:rowOff>12700</xdr:rowOff>
    </xdr:from>
    <xdr:to>
      <xdr:col>40</xdr:col>
      <xdr:colOff>58114</xdr:colOff>
      <xdr:row>45</xdr:row>
      <xdr:rowOff>61591</xdr:rowOff>
    </xdr:to>
    <xdr:sp macro="" textlink="">
      <xdr:nvSpPr>
        <xdr:cNvPr id="260" name="Rectangle 259">
          <a:extLst>
            <a:ext uri="{FF2B5EF4-FFF2-40B4-BE49-F238E27FC236}">
              <a16:creationId xmlns="" xmlns:a16="http://schemas.microsoft.com/office/drawing/2014/main" id="{00000000-0008-0000-2700-000004010000}"/>
            </a:ext>
          </a:extLst>
        </xdr:cNvPr>
        <xdr:cNvSpPr/>
      </xdr:nvSpPr>
      <xdr:spPr>
        <a:xfrm flipH="1">
          <a:off x="3667124" y="4505325"/>
          <a:ext cx="1095373" cy="45719"/>
        </a:xfrm>
        <a:prstGeom prst="rect">
          <a:avLst/>
        </a:prstGeom>
        <a:solidFill>
          <a:srgbClr val="FFC000"/>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38</xdr:col>
      <xdr:colOff>57784</xdr:colOff>
      <xdr:row>34</xdr:row>
      <xdr:rowOff>1906</xdr:rowOff>
    </xdr:from>
    <xdr:to>
      <xdr:col>44</xdr:col>
      <xdr:colOff>57784</xdr:colOff>
      <xdr:row>34</xdr:row>
      <xdr:rowOff>60442</xdr:rowOff>
    </xdr:to>
    <xdr:sp macro="" textlink="">
      <xdr:nvSpPr>
        <xdr:cNvPr id="261" name="Rectangle 260">
          <a:extLst>
            <a:ext uri="{FF2B5EF4-FFF2-40B4-BE49-F238E27FC236}">
              <a16:creationId xmlns="" xmlns:a16="http://schemas.microsoft.com/office/drawing/2014/main" id="{00000000-0008-0000-2700-000005010000}"/>
            </a:ext>
          </a:extLst>
        </xdr:cNvPr>
        <xdr:cNvSpPr/>
      </xdr:nvSpPr>
      <xdr:spPr>
        <a:xfrm flipH="1">
          <a:off x="4524374" y="3430906"/>
          <a:ext cx="685800" cy="45719"/>
        </a:xfrm>
        <a:prstGeom prst="rect">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43</xdr:col>
      <xdr:colOff>113664</xdr:colOff>
      <xdr:row>28</xdr:row>
      <xdr:rowOff>3174</xdr:rowOff>
    </xdr:from>
    <xdr:to>
      <xdr:col>44</xdr:col>
      <xdr:colOff>46572</xdr:colOff>
      <xdr:row>33</xdr:row>
      <xdr:rowOff>74493</xdr:rowOff>
    </xdr:to>
    <xdr:sp macro="" textlink="">
      <xdr:nvSpPr>
        <xdr:cNvPr id="262" name="Rectangle 261">
          <a:extLst>
            <a:ext uri="{FF2B5EF4-FFF2-40B4-BE49-F238E27FC236}">
              <a16:creationId xmlns="" xmlns:a16="http://schemas.microsoft.com/office/drawing/2014/main" id="{00000000-0008-0000-2700-000006010000}"/>
            </a:ext>
          </a:extLst>
        </xdr:cNvPr>
        <xdr:cNvSpPr/>
      </xdr:nvSpPr>
      <xdr:spPr>
        <a:xfrm rot="5400000" flipH="1">
          <a:off x="4897753" y="3118485"/>
          <a:ext cx="567691" cy="45719"/>
        </a:xfrm>
        <a:prstGeom prst="rect">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27</xdr:col>
      <xdr:colOff>113664</xdr:colOff>
      <xdr:row>28</xdr:row>
      <xdr:rowOff>3174</xdr:rowOff>
    </xdr:from>
    <xdr:to>
      <xdr:col>28</xdr:col>
      <xdr:colOff>46572</xdr:colOff>
      <xdr:row>33</xdr:row>
      <xdr:rowOff>74493</xdr:rowOff>
    </xdr:to>
    <xdr:sp macro="" textlink="">
      <xdr:nvSpPr>
        <xdr:cNvPr id="263" name="Rectangle 262">
          <a:extLst>
            <a:ext uri="{FF2B5EF4-FFF2-40B4-BE49-F238E27FC236}">
              <a16:creationId xmlns="" xmlns:a16="http://schemas.microsoft.com/office/drawing/2014/main" id="{00000000-0008-0000-2700-000007010000}"/>
            </a:ext>
          </a:extLst>
        </xdr:cNvPr>
        <xdr:cNvSpPr/>
      </xdr:nvSpPr>
      <xdr:spPr>
        <a:xfrm rot="5400000" flipH="1">
          <a:off x="3068953" y="3118485"/>
          <a:ext cx="567691" cy="45719"/>
        </a:xfrm>
        <a:prstGeom prst="rect">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27</xdr:col>
      <xdr:colOff>57150</xdr:colOff>
      <xdr:row>28</xdr:row>
      <xdr:rowOff>63500</xdr:rowOff>
    </xdr:from>
    <xdr:to>
      <xdr:col>31</xdr:col>
      <xdr:colOff>38100</xdr:colOff>
      <xdr:row>28</xdr:row>
      <xdr:rowOff>63500</xdr:rowOff>
    </xdr:to>
    <xdr:cxnSp macro="">
      <xdr:nvCxnSpPr>
        <xdr:cNvPr id="889119" name="Connecteur droit avec flèche 263">
          <a:extLst>
            <a:ext uri="{FF2B5EF4-FFF2-40B4-BE49-F238E27FC236}">
              <a16:creationId xmlns="" xmlns:a16="http://schemas.microsoft.com/office/drawing/2014/main" id="{00000000-0008-0000-2700-00001F910D00}"/>
            </a:ext>
          </a:extLst>
        </xdr:cNvPr>
        <xdr:cNvCxnSpPr>
          <a:cxnSpLocks noChangeShapeType="1"/>
        </xdr:cNvCxnSpPr>
      </xdr:nvCxnSpPr>
      <xdr:spPr bwMode="auto">
        <a:xfrm>
          <a:off x="3143250" y="2921000"/>
          <a:ext cx="43815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28</xdr:col>
      <xdr:colOff>20320</xdr:colOff>
      <xdr:row>33</xdr:row>
      <xdr:rowOff>57785</xdr:rowOff>
    </xdr:from>
    <xdr:to>
      <xdr:col>32</xdr:col>
      <xdr:colOff>86269</xdr:colOff>
      <xdr:row>34</xdr:row>
      <xdr:rowOff>29475</xdr:rowOff>
    </xdr:to>
    <xdr:sp macro="" textlink="">
      <xdr:nvSpPr>
        <xdr:cNvPr id="265" name="Rectangle 264">
          <a:extLst>
            <a:ext uri="{FF2B5EF4-FFF2-40B4-BE49-F238E27FC236}">
              <a16:creationId xmlns="" xmlns:a16="http://schemas.microsoft.com/office/drawing/2014/main" id="{00000000-0008-0000-2700-000009010000}"/>
            </a:ext>
          </a:extLst>
        </xdr:cNvPr>
        <xdr:cNvSpPr/>
      </xdr:nvSpPr>
      <xdr:spPr>
        <a:xfrm flipH="1">
          <a:off x="3343275" y="3409950"/>
          <a:ext cx="533400" cy="45719"/>
        </a:xfrm>
        <a:prstGeom prst="rect">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editAs="oneCell">
    <xdr:from>
      <xdr:col>34</xdr:col>
      <xdr:colOff>60961</xdr:colOff>
      <xdr:row>36</xdr:row>
      <xdr:rowOff>60961</xdr:rowOff>
    </xdr:from>
    <xdr:to>
      <xdr:col>36</xdr:col>
      <xdr:colOff>114260</xdr:colOff>
      <xdr:row>42</xdr:row>
      <xdr:rowOff>3717</xdr:rowOff>
    </xdr:to>
    <xdr:sp macro="" textlink="">
      <xdr:nvSpPr>
        <xdr:cNvPr id="266" name="Text Box 482">
          <a:extLst>
            <a:ext uri="{FF2B5EF4-FFF2-40B4-BE49-F238E27FC236}">
              <a16:creationId xmlns="" xmlns:a16="http://schemas.microsoft.com/office/drawing/2014/main" id="{00000000-0008-0000-2700-00000A010000}"/>
            </a:ext>
          </a:extLst>
        </xdr:cNvPr>
        <xdr:cNvSpPr txBox="1">
          <a:spLocks noChangeArrowheads="1"/>
        </xdr:cNvSpPr>
      </xdr:nvSpPr>
      <xdr:spPr bwMode="auto">
        <a:xfrm>
          <a:off x="4048126" y="3667126"/>
          <a:ext cx="295274" cy="523874"/>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75</a:t>
          </a:r>
        </a:p>
      </xdr:txBody>
    </xdr:sp>
    <xdr:clientData/>
  </xdr:twoCellAnchor>
  <xdr:twoCellAnchor editAs="oneCell">
    <xdr:from>
      <xdr:col>41</xdr:col>
      <xdr:colOff>57784</xdr:colOff>
      <xdr:row>36</xdr:row>
      <xdr:rowOff>60960</xdr:rowOff>
    </xdr:from>
    <xdr:to>
      <xdr:col>43</xdr:col>
      <xdr:colOff>102995</xdr:colOff>
      <xdr:row>42</xdr:row>
      <xdr:rowOff>3717</xdr:rowOff>
    </xdr:to>
    <xdr:sp macro="" textlink="">
      <xdr:nvSpPr>
        <xdr:cNvPr id="267" name="Text Box 479">
          <a:extLst>
            <a:ext uri="{FF2B5EF4-FFF2-40B4-BE49-F238E27FC236}">
              <a16:creationId xmlns="" xmlns:a16="http://schemas.microsoft.com/office/drawing/2014/main" id="{00000000-0008-0000-2700-00000B010000}"/>
            </a:ext>
          </a:extLst>
        </xdr:cNvPr>
        <xdr:cNvSpPr txBox="1">
          <a:spLocks noChangeArrowheads="1"/>
        </xdr:cNvSpPr>
      </xdr:nvSpPr>
      <xdr:spPr bwMode="auto">
        <a:xfrm flipH="1">
          <a:off x="4857749" y="3667125"/>
          <a:ext cx="285750" cy="5238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62</a:t>
          </a:r>
        </a:p>
      </xdr:txBody>
    </xdr:sp>
    <xdr:clientData/>
  </xdr:twoCellAnchor>
  <xdr:twoCellAnchor editAs="oneCell">
    <xdr:from>
      <xdr:col>27</xdr:col>
      <xdr:colOff>57787</xdr:colOff>
      <xdr:row>36</xdr:row>
      <xdr:rowOff>47625</xdr:rowOff>
    </xdr:from>
    <xdr:to>
      <xdr:col>30</xdr:col>
      <xdr:colOff>861</xdr:colOff>
      <xdr:row>43</xdr:row>
      <xdr:rowOff>3244</xdr:rowOff>
    </xdr:to>
    <xdr:sp macro="" textlink="">
      <xdr:nvSpPr>
        <xdr:cNvPr id="268" name="Text Box 479">
          <a:extLst>
            <a:ext uri="{FF2B5EF4-FFF2-40B4-BE49-F238E27FC236}">
              <a16:creationId xmlns="" xmlns:a16="http://schemas.microsoft.com/office/drawing/2014/main" id="{00000000-0008-0000-2700-00000C010000}"/>
            </a:ext>
          </a:extLst>
        </xdr:cNvPr>
        <xdr:cNvSpPr txBox="1">
          <a:spLocks noChangeArrowheads="1"/>
        </xdr:cNvSpPr>
      </xdr:nvSpPr>
      <xdr:spPr bwMode="auto">
        <a:xfrm>
          <a:off x="3276602" y="3686175"/>
          <a:ext cx="266699" cy="6000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63</a:t>
          </a:r>
        </a:p>
      </xdr:txBody>
    </xdr:sp>
    <xdr:clientData/>
  </xdr:twoCellAnchor>
  <xdr:twoCellAnchor>
    <xdr:from>
      <xdr:col>38</xdr:col>
      <xdr:colOff>47625</xdr:colOff>
      <xdr:row>38</xdr:row>
      <xdr:rowOff>57785</xdr:rowOff>
    </xdr:from>
    <xdr:to>
      <xdr:col>46</xdr:col>
      <xdr:colOff>94627</xdr:colOff>
      <xdr:row>38</xdr:row>
      <xdr:rowOff>56356</xdr:rowOff>
    </xdr:to>
    <xdr:cxnSp macro="">
      <xdr:nvCxnSpPr>
        <xdr:cNvPr id="269" name="Connecteur droit avec flèche 268">
          <a:extLst>
            <a:ext uri="{FF2B5EF4-FFF2-40B4-BE49-F238E27FC236}">
              <a16:creationId xmlns="" xmlns:a16="http://schemas.microsoft.com/office/drawing/2014/main" id="{00000000-0008-0000-2700-00000D010000}"/>
            </a:ext>
          </a:extLst>
        </xdr:cNvPr>
        <xdr:cNvCxnSpPr/>
      </xdr:nvCxnSpPr>
      <xdr:spPr>
        <a:xfrm>
          <a:off x="4524375" y="3867150"/>
          <a:ext cx="952500" cy="1588"/>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94616</xdr:colOff>
      <xdr:row>38</xdr:row>
      <xdr:rowOff>48103</xdr:rowOff>
    </xdr:from>
    <xdr:to>
      <xdr:col>38</xdr:col>
      <xdr:colOff>102953</xdr:colOff>
      <xdr:row>38</xdr:row>
      <xdr:rowOff>42784</xdr:rowOff>
    </xdr:to>
    <xdr:cxnSp macro="">
      <xdr:nvCxnSpPr>
        <xdr:cNvPr id="270" name="Connecteur droit avec flèche 269">
          <a:extLst>
            <a:ext uri="{FF2B5EF4-FFF2-40B4-BE49-F238E27FC236}">
              <a16:creationId xmlns="" xmlns:a16="http://schemas.microsoft.com/office/drawing/2014/main" id="{00000000-0008-0000-2700-00000E010000}"/>
            </a:ext>
          </a:extLst>
        </xdr:cNvPr>
        <xdr:cNvCxnSpPr/>
      </xdr:nvCxnSpPr>
      <xdr:spPr>
        <a:xfrm rot="5400000" flipH="1" flipV="1">
          <a:off x="4219576" y="3523458"/>
          <a:ext cx="792" cy="686592"/>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0</xdr:colOff>
      <xdr:row>38</xdr:row>
      <xdr:rowOff>47625</xdr:rowOff>
    </xdr:from>
    <xdr:to>
      <xdr:col>32</xdr:col>
      <xdr:colOff>94560</xdr:colOff>
      <xdr:row>38</xdr:row>
      <xdr:rowOff>48419</xdr:rowOff>
    </xdr:to>
    <xdr:cxnSp macro="">
      <xdr:nvCxnSpPr>
        <xdr:cNvPr id="271" name="Connecteur droit avec flèche 270">
          <a:extLst>
            <a:ext uri="{FF2B5EF4-FFF2-40B4-BE49-F238E27FC236}">
              <a16:creationId xmlns="" xmlns:a16="http://schemas.microsoft.com/office/drawing/2014/main" id="{00000000-0008-0000-2700-00000F010000}"/>
            </a:ext>
          </a:extLst>
        </xdr:cNvPr>
        <xdr:cNvCxnSpPr/>
      </xdr:nvCxnSpPr>
      <xdr:spPr>
        <a:xfrm rot="10800000">
          <a:off x="3086100" y="3876675"/>
          <a:ext cx="781050" cy="1588"/>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94615</xdr:colOff>
      <xdr:row>43</xdr:row>
      <xdr:rowOff>9525</xdr:rowOff>
    </xdr:from>
    <xdr:to>
      <xdr:col>40</xdr:col>
      <xdr:colOff>2323</xdr:colOff>
      <xdr:row>43</xdr:row>
      <xdr:rowOff>9525</xdr:rowOff>
    </xdr:to>
    <xdr:cxnSp macro="">
      <xdr:nvCxnSpPr>
        <xdr:cNvPr id="272" name="Connecteur droit avec flèche 271">
          <a:extLst>
            <a:ext uri="{FF2B5EF4-FFF2-40B4-BE49-F238E27FC236}">
              <a16:creationId xmlns="" xmlns:a16="http://schemas.microsoft.com/office/drawing/2014/main" id="{00000000-0008-0000-2700-000010010000}"/>
            </a:ext>
          </a:extLst>
        </xdr:cNvPr>
        <xdr:cNvCxnSpPr/>
      </xdr:nvCxnSpPr>
      <xdr:spPr>
        <a:xfrm>
          <a:off x="3648075" y="4295775"/>
          <a:ext cx="1066800" cy="1588"/>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61595</xdr:colOff>
      <xdr:row>40</xdr:row>
      <xdr:rowOff>57785</xdr:rowOff>
    </xdr:from>
    <xdr:to>
      <xdr:col>38</xdr:col>
      <xdr:colOff>61077</xdr:colOff>
      <xdr:row>43</xdr:row>
      <xdr:rowOff>9737</xdr:rowOff>
    </xdr:to>
    <xdr:sp macro="" textlink="">
      <xdr:nvSpPr>
        <xdr:cNvPr id="273" name="ZoneTexte 272">
          <a:extLst>
            <a:ext uri="{FF2B5EF4-FFF2-40B4-BE49-F238E27FC236}">
              <a16:creationId xmlns="" xmlns:a16="http://schemas.microsoft.com/office/drawing/2014/main" id="{00000000-0008-0000-2700-000011010000}"/>
            </a:ext>
          </a:extLst>
        </xdr:cNvPr>
        <xdr:cNvSpPr txBox="1"/>
      </xdr:nvSpPr>
      <xdr:spPr>
        <a:xfrm>
          <a:off x="4019550" y="4057650"/>
          <a:ext cx="4762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t>120</a:t>
          </a:r>
        </a:p>
      </xdr:txBody>
    </xdr:sp>
    <xdr:clientData/>
  </xdr:twoCellAnchor>
  <xdr:twoCellAnchor>
    <xdr:from>
      <xdr:col>7</xdr:col>
      <xdr:colOff>60961</xdr:colOff>
      <xdr:row>43</xdr:row>
      <xdr:rowOff>57784</xdr:rowOff>
    </xdr:from>
    <xdr:to>
      <xdr:col>30</xdr:col>
      <xdr:colOff>57865</xdr:colOff>
      <xdr:row>44</xdr:row>
      <xdr:rowOff>32048</xdr:rowOff>
    </xdr:to>
    <xdr:cxnSp macro="">
      <xdr:nvCxnSpPr>
        <xdr:cNvPr id="274" name="Connecteur droit avec flèche 273">
          <a:extLst>
            <a:ext uri="{FF2B5EF4-FFF2-40B4-BE49-F238E27FC236}">
              <a16:creationId xmlns="" xmlns:a16="http://schemas.microsoft.com/office/drawing/2014/main" id="{00000000-0008-0000-2700-000012010000}"/>
            </a:ext>
          </a:extLst>
        </xdr:cNvPr>
        <xdr:cNvCxnSpPr/>
      </xdr:nvCxnSpPr>
      <xdr:spPr>
        <a:xfrm rot="10800000" flipV="1">
          <a:off x="962026" y="4362449"/>
          <a:ext cx="2657475" cy="28575"/>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20320</xdr:colOff>
      <xdr:row>42</xdr:row>
      <xdr:rowOff>0</xdr:rowOff>
    </xdr:from>
    <xdr:to>
      <xdr:col>21</xdr:col>
      <xdr:colOff>61070</xdr:colOff>
      <xdr:row>44</xdr:row>
      <xdr:rowOff>58349</xdr:rowOff>
    </xdr:to>
    <xdr:sp macro="" textlink="">
      <xdr:nvSpPr>
        <xdr:cNvPr id="275" name="ZoneTexte 274">
          <a:extLst>
            <a:ext uri="{FF2B5EF4-FFF2-40B4-BE49-F238E27FC236}">
              <a16:creationId xmlns="" xmlns:a16="http://schemas.microsoft.com/office/drawing/2014/main" id="{00000000-0008-0000-2700-000013010000}"/>
            </a:ext>
          </a:extLst>
        </xdr:cNvPr>
        <xdr:cNvSpPr txBox="1"/>
      </xdr:nvSpPr>
      <xdr:spPr>
        <a:xfrm>
          <a:off x="2085975" y="4191000"/>
          <a:ext cx="4762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t>300</a:t>
          </a:r>
        </a:p>
      </xdr:txBody>
    </xdr:sp>
    <xdr:clientData/>
  </xdr:twoCellAnchor>
  <xdr:twoCellAnchor>
    <xdr:from>
      <xdr:col>7</xdr:col>
      <xdr:colOff>57784</xdr:colOff>
      <xdr:row>33</xdr:row>
      <xdr:rowOff>9524</xdr:rowOff>
    </xdr:from>
    <xdr:to>
      <xdr:col>11</xdr:col>
      <xdr:colOff>58236</xdr:colOff>
      <xdr:row>39</xdr:row>
      <xdr:rowOff>9527</xdr:rowOff>
    </xdr:to>
    <xdr:cxnSp macro="">
      <xdr:nvCxnSpPr>
        <xdr:cNvPr id="276" name="Connecteur droit avec flèche 275">
          <a:extLst>
            <a:ext uri="{FF2B5EF4-FFF2-40B4-BE49-F238E27FC236}">
              <a16:creationId xmlns="" xmlns:a16="http://schemas.microsoft.com/office/drawing/2014/main" id="{00000000-0008-0000-2700-000014010000}"/>
            </a:ext>
          </a:extLst>
        </xdr:cNvPr>
        <xdr:cNvCxnSpPr/>
      </xdr:nvCxnSpPr>
      <xdr:spPr>
        <a:xfrm rot="16200000" flipH="1">
          <a:off x="919162" y="3395661"/>
          <a:ext cx="571503" cy="485779"/>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3174</xdr:colOff>
      <xdr:row>28</xdr:row>
      <xdr:rowOff>12705</xdr:rowOff>
    </xdr:from>
    <xdr:to>
      <xdr:col>12</xdr:col>
      <xdr:colOff>94520</xdr:colOff>
      <xdr:row>34</xdr:row>
      <xdr:rowOff>55738</xdr:rowOff>
    </xdr:to>
    <xdr:sp macro="" textlink="">
      <xdr:nvSpPr>
        <xdr:cNvPr id="277" name="ZoneTexte 276">
          <a:extLst>
            <a:ext uri="{FF2B5EF4-FFF2-40B4-BE49-F238E27FC236}">
              <a16:creationId xmlns="" xmlns:a16="http://schemas.microsoft.com/office/drawing/2014/main" id="{00000000-0008-0000-2700-000015010000}"/>
            </a:ext>
          </a:extLst>
        </xdr:cNvPr>
        <xdr:cNvSpPr txBox="1"/>
      </xdr:nvSpPr>
      <xdr:spPr>
        <a:xfrm rot="5400000">
          <a:off x="566737" y="2433642"/>
          <a:ext cx="561974" cy="14668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vert270" wrap="square" rtlCol="0" anchor="t"/>
        <a:lstStyle/>
        <a:p>
          <a:pPr algn="ctr">
            <a:lnSpc>
              <a:spcPts val="1100"/>
            </a:lnSpc>
          </a:pPr>
          <a:r>
            <a:rPr lang="en-GB" sz="1050" b="1"/>
            <a:t>Rampe d'acces  à la latrine avec pente de 10</a:t>
          </a:r>
          <a:r>
            <a:rPr lang="en-GB" sz="1050" b="1">
              <a:latin typeface="Franklin Gothic Book"/>
            </a:rPr>
            <a:t>%</a:t>
          </a:r>
          <a:endParaRPr lang="en-GB" sz="1050" b="1"/>
        </a:p>
      </xdr:txBody>
    </xdr:sp>
    <xdr:clientData/>
  </xdr:twoCellAnchor>
  <xdr:twoCellAnchor>
    <xdr:from>
      <xdr:col>33</xdr:col>
      <xdr:colOff>61595</xdr:colOff>
      <xdr:row>44</xdr:row>
      <xdr:rowOff>0</xdr:rowOff>
    </xdr:from>
    <xdr:to>
      <xdr:col>41</xdr:col>
      <xdr:colOff>61595</xdr:colOff>
      <xdr:row>48</xdr:row>
      <xdr:rowOff>60954</xdr:rowOff>
    </xdr:to>
    <xdr:cxnSp macro="">
      <xdr:nvCxnSpPr>
        <xdr:cNvPr id="278" name="Connecteur droit avec flèche 277">
          <a:extLst>
            <a:ext uri="{FF2B5EF4-FFF2-40B4-BE49-F238E27FC236}">
              <a16:creationId xmlns="" xmlns:a16="http://schemas.microsoft.com/office/drawing/2014/main" id="{00000000-0008-0000-2700-000016010000}"/>
            </a:ext>
          </a:extLst>
        </xdr:cNvPr>
        <xdr:cNvCxnSpPr/>
      </xdr:nvCxnSpPr>
      <xdr:spPr>
        <a:xfrm rot="10800000">
          <a:off x="3905250" y="4381500"/>
          <a:ext cx="914400" cy="4191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57785</xdr:colOff>
      <xdr:row>46</xdr:row>
      <xdr:rowOff>57787</xdr:rowOff>
    </xdr:from>
    <xdr:to>
      <xdr:col>47</xdr:col>
      <xdr:colOff>94633</xdr:colOff>
      <xdr:row>49</xdr:row>
      <xdr:rowOff>57786</xdr:rowOff>
    </xdr:to>
    <xdr:sp macro="" textlink="">
      <xdr:nvSpPr>
        <xdr:cNvPr id="279" name="ZoneTexte 278">
          <a:extLst>
            <a:ext uri="{FF2B5EF4-FFF2-40B4-BE49-F238E27FC236}">
              <a16:creationId xmlns="" xmlns:a16="http://schemas.microsoft.com/office/drawing/2014/main" id="{00000000-0008-0000-2700-000017010000}"/>
            </a:ext>
          </a:extLst>
        </xdr:cNvPr>
        <xdr:cNvSpPr txBox="1"/>
      </xdr:nvSpPr>
      <xdr:spPr>
        <a:xfrm rot="5400000">
          <a:off x="4905375" y="4257677"/>
          <a:ext cx="285749" cy="1066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vert270" wrap="square" rtlCol="0" anchor="t"/>
        <a:lstStyle/>
        <a:p>
          <a:pPr algn="ctr"/>
          <a:r>
            <a:rPr lang="en-GB" sz="1050" b="1"/>
            <a:t>Palier d'arrivée</a:t>
          </a:r>
        </a:p>
      </xdr:txBody>
    </xdr:sp>
    <xdr:clientData/>
  </xdr:twoCellAnchor>
  <xdr:twoCellAnchor>
    <xdr:from>
      <xdr:col>19</xdr:col>
      <xdr:colOff>33338</xdr:colOff>
      <xdr:row>45</xdr:row>
      <xdr:rowOff>57786</xdr:rowOff>
    </xdr:from>
    <xdr:to>
      <xdr:col>19</xdr:col>
      <xdr:colOff>48202</xdr:colOff>
      <xdr:row>50</xdr:row>
      <xdr:rowOff>963</xdr:rowOff>
    </xdr:to>
    <xdr:cxnSp macro="">
      <xdr:nvCxnSpPr>
        <xdr:cNvPr id="280" name="Connecteur droit avec flèche 279">
          <a:extLst>
            <a:ext uri="{FF2B5EF4-FFF2-40B4-BE49-F238E27FC236}">
              <a16:creationId xmlns="" xmlns:a16="http://schemas.microsoft.com/office/drawing/2014/main" id="{00000000-0008-0000-2700-000018010000}"/>
            </a:ext>
          </a:extLst>
        </xdr:cNvPr>
        <xdr:cNvCxnSpPr>
          <a:endCxn id="259" idx="2"/>
        </xdr:cNvCxnSpPr>
      </xdr:nvCxnSpPr>
      <xdr:spPr>
        <a:xfrm rot="16200000" flipV="1">
          <a:off x="2133125" y="4733449"/>
          <a:ext cx="400049" cy="3905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60960</xdr:colOff>
      <xdr:row>48</xdr:row>
      <xdr:rowOff>60965</xdr:rowOff>
    </xdr:from>
    <xdr:to>
      <xdr:col>25</xdr:col>
      <xdr:colOff>114295</xdr:colOff>
      <xdr:row>51</xdr:row>
      <xdr:rowOff>60964</xdr:rowOff>
    </xdr:to>
    <xdr:sp macro="" textlink="">
      <xdr:nvSpPr>
        <xdr:cNvPr id="281" name="ZoneTexte 280">
          <a:extLst>
            <a:ext uri="{FF2B5EF4-FFF2-40B4-BE49-F238E27FC236}">
              <a16:creationId xmlns="" xmlns:a16="http://schemas.microsoft.com/office/drawing/2014/main" id="{00000000-0008-0000-2700-000019010000}"/>
            </a:ext>
          </a:extLst>
        </xdr:cNvPr>
        <xdr:cNvSpPr txBox="1"/>
      </xdr:nvSpPr>
      <xdr:spPr>
        <a:xfrm rot="5400000">
          <a:off x="2162175" y="4162430"/>
          <a:ext cx="285749" cy="156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vert270" wrap="square" rtlCol="0" anchor="t"/>
        <a:lstStyle/>
        <a:p>
          <a:pPr algn="ctr"/>
          <a:r>
            <a:rPr lang="en-GB" sz="1050" b="1"/>
            <a:t>Garde</a:t>
          </a:r>
          <a:r>
            <a:rPr lang="en-GB" sz="1050" b="1" baseline="0"/>
            <a:t> corp métallique</a:t>
          </a:r>
          <a:endParaRPr lang="en-GB" sz="1050" b="1"/>
        </a:p>
      </xdr:txBody>
    </xdr:sp>
    <xdr:clientData/>
  </xdr:twoCellAnchor>
  <xdr:twoCellAnchor>
    <xdr:from>
      <xdr:col>7</xdr:col>
      <xdr:colOff>57785</xdr:colOff>
      <xdr:row>36</xdr:row>
      <xdr:rowOff>47625</xdr:rowOff>
    </xdr:from>
    <xdr:to>
      <xdr:col>25</xdr:col>
      <xdr:colOff>94624</xdr:colOff>
      <xdr:row>37</xdr:row>
      <xdr:rowOff>15559</xdr:rowOff>
    </xdr:to>
    <xdr:sp macro="" textlink="">
      <xdr:nvSpPr>
        <xdr:cNvPr id="282" name="Rectangle 281">
          <a:extLst>
            <a:ext uri="{FF2B5EF4-FFF2-40B4-BE49-F238E27FC236}">
              <a16:creationId xmlns="" xmlns:a16="http://schemas.microsoft.com/office/drawing/2014/main" id="{00000000-0008-0000-2700-00001A010000}"/>
            </a:ext>
          </a:extLst>
        </xdr:cNvPr>
        <xdr:cNvSpPr/>
      </xdr:nvSpPr>
      <xdr:spPr>
        <a:xfrm>
          <a:off x="971550" y="3686175"/>
          <a:ext cx="2105025" cy="45719"/>
        </a:xfrm>
        <a:prstGeom prst="rect">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4</xdr:col>
      <xdr:colOff>94456</xdr:colOff>
      <xdr:row>36</xdr:row>
      <xdr:rowOff>60484</xdr:rowOff>
    </xdr:from>
    <xdr:to>
      <xdr:col>4</xdr:col>
      <xdr:colOff>91599</xdr:colOff>
      <xdr:row>45</xdr:row>
      <xdr:rowOff>58510</xdr:rowOff>
    </xdr:to>
    <xdr:cxnSp macro="">
      <xdr:nvCxnSpPr>
        <xdr:cNvPr id="283" name="Connecteur droit avec flèche 282">
          <a:extLst>
            <a:ext uri="{FF2B5EF4-FFF2-40B4-BE49-F238E27FC236}">
              <a16:creationId xmlns="" xmlns:a16="http://schemas.microsoft.com/office/drawing/2014/main" id="{00000000-0008-0000-2700-00001B010000}"/>
            </a:ext>
          </a:extLst>
        </xdr:cNvPr>
        <xdr:cNvCxnSpPr/>
      </xdr:nvCxnSpPr>
      <xdr:spPr>
        <a:xfrm rot="5400000">
          <a:off x="266700" y="4114800"/>
          <a:ext cx="838200" cy="1588"/>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60960</xdr:colOff>
      <xdr:row>45</xdr:row>
      <xdr:rowOff>57785</xdr:rowOff>
    </xdr:from>
    <xdr:to>
      <xdr:col>5</xdr:col>
      <xdr:colOff>94717</xdr:colOff>
      <xdr:row>45</xdr:row>
      <xdr:rowOff>61278</xdr:rowOff>
    </xdr:to>
    <xdr:cxnSp macro="">
      <xdr:nvCxnSpPr>
        <xdr:cNvPr id="284" name="Connecteur droit 283">
          <a:extLst>
            <a:ext uri="{FF2B5EF4-FFF2-40B4-BE49-F238E27FC236}">
              <a16:creationId xmlns="" xmlns:a16="http://schemas.microsoft.com/office/drawing/2014/main" id="{00000000-0008-0000-2700-00001C010000}"/>
            </a:ext>
          </a:extLst>
        </xdr:cNvPr>
        <xdr:cNvCxnSpPr/>
      </xdr:nvCxnSpPr>
      <xdr:spPr>
        <a:xfrm>
          <a:off x="609600" y="4552950"/>
          <a:ext cx="171450"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635</xdr:colOff>
      <xdr:row>36</xdr:row>
      <xdr:rowOff>57785</xdr:rowOff>
    </xdr:from>
    <xdr:to>
      <xdr:col>6</xdr:col>
      <xdr:colOff>635</xdr:colOff>
      <xdr:row>36</xdr:row>
      <xdr:rowOff>59929</xdr:rowOff>
    </xdr:to>
    <xdr:cxnSp macro="">
      <xdr:nvCxnSpPr>
        <xdr:cNvPr id="285" name="Connecteur droit 284">
          <a:extLst>
            <a:ext uri="{FF2B5EF4-FFF2-40B4-BE49-F238E27FC236}">
              <a16:creationId xmlns="" xmlns:a16="http://schemas.microsoft.com/office/drawing/2014/main" id="{00000000-0008-0000-2700-00001D010000}"/>
            </a:ext>
          </a:extLst>
        </xdr:cNvPr>
        <xdr:cNvCxnSpPr/>
      </xdr:nvCxnSpPr>
      <xdr:spPr>
        <a:xfrm>
          <a:off x="581025" y="3695700"/>
          <a:ext cx="228600" cy="95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20320</xdr:colOff>
      <xdr:row>40</xdr:row>
      <xdr:rowOff>61595</xdr:rowOff>
    </xdr:from>
    <xdr:to>
      <xdr:col>6</xdr:col>
      <xdr:colOff>57899</xdr:colOff>
      <xdr:row>42</xdr:row>
      <xdr:rowOff>58681</xdr:rowOff>
    </xdr:to>
    <xdr:sp macro="" textlink="">
      <xdr:nvSpPr>
        <xdr:cNvPr id="286" name="ZoneTexte 285">
          <a:extLst>
            <a:ext uri="{FF2B5EF4-FFF2-40B4-BE49-F238E27FC236}">
              <a16:creationId xmlns="" xmlns:a16="http://schemas.microsoft.com/office/drawing/2014/main" id="{00000000-0008-0000-2700-00001E010000}"/>
            </a:ext>
          </a:extLst>
        </xdr:cNvPr>
        <xdr:cNvSpPr txBox="1"/>
      </xdr:nvSpPr>
      <xdr:spPr>
        <a:xfrm>
          <a:off x="371475" y="4019550"/>
          <a:ext cx="4857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t>120</a:t>
          </a:r>
        </a:p>
      </xdr:txBody>
    </xdr:sp>
    <xdr:clientData/>
  </xdr:twoCellAnchor>
  <xdr:twoCellAnchor>
    <xdr:from>
      <xdr:col>7</xdr:col>
      <xdr:colOff>60960</xdr:colOff>
      <xdr:row>41</xdr:row>
      <xdr:rowOff>9525</xdr:rowOff>
    </xdr:from>
    <xdr:to>
      <xdr:col>30</xdr:col>
      <xdr:colOff>94622</xdr:colOff>
      <xdr:row>41</xdr:row>
      <xdr:rowOff>9525</xdr:rowOff>
    </xdr:to>
    <xdr:cxnSp macro="">
      <xdr:nvCxnSpPr>
        <xdr:cNvPr id="287" name="Connecteur droit avec flèche 286">
          <a:extLst>
            <a:ext uri="{FF2B5EF4-FFF2-40B4-BE49-F238E27FC236}">
              <a16:creationId xmlns="" xmlns:a16="http://schemas.microsoft.com/office/drawing/2014/main" id="{00000000-0008-0000-2700-00001F010000}"/>
            </a:ext>
          </a:extLst>
        </xdr:cNvPr>
        <xdr:cNvCxnSpPr>
          <a:endCxn id="257" idx="1"/>
        </xdr:cNvCxnSpPr>
      </xdr:nvCxnSpPr>
      <xdr:spPr>
        <a:xfrm flipV="1">
          <a:off x="962025" y="4105275"/>
          <a:ext cx="2676525" cy="11113"/>
        </a:xfrm>
        <a:prstGeom prst="straightConnector1">
          <a:avLst/>
        </a:prstGeom>
        <a:ln w="19050">
          <a:prstDash val="sys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94619</xdr:colOff>
      <xdr:row>32</xdr:row>
      <xdr:rowOff>57787</xdr:rowOff>
    </xdr:from>
    <xdr:to>
      <xdr:col>18</xdr:col>
      <xdr:colOff>82227</xdr:colOff>
      <xdr:row>36</xdr:row>
      <xdr:rowOff>57890</xdr:rowOff>
    </xdr:to>
    <xdr:cxnSp macro="">
      <xdr:nvCxnSpPr>
        <xdr:cNvPr id="288" name="Connecteur droit avec flèche 287">
          <a:extLst>
            <a:ext uri="{FF2B5EF4-FFF2-40B4-BE49-F238E27FC236}">
              <a16:creationId xmlns="" xmlns:a16="http://schemas.microsoft.com/office/drawing/2014/main" id="{00000000-0008-0000-2700-000020010000}"/>
            </a:ext>
          </a:extLst>
        </xdr:cNvPr>
        <xdr:cNvCxnSpPr/>
      </xdr:nvCxnSpPr>
      <xdr:spPr>
        <a:xfrm rot="16200000" flipH="1">
          <a:off x="2024068" y="3433763"/>
          <a:ext cx="371469" cy="9524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81915</xdr:colOff>
      <xdr:row>30</xdr:row>
      <xdr:rowOff>75566</xdr:rowOff>
    </xdr:from>
    <xdr:to>
      <xdr:col>23</xdr:col>
      <xdr:colOff>772</xdr:colOff>
      <xdr:row>33</xdr:row>
      <xdr:rowOff>74515</xdr:rowOff>
    </xdr:to>
    <xdr:sp macro="" textlink="">
      <xdr:nvSpPr>
        <xdr:cNvPr id="289" name="ZoneTexte 288">
          <a:extLst>
            <a:ext uri="{FF2B5EF4-FFF2-40B4-BE49-F238E27FC236}">
              <a16:creationId xmlns="" xmlns:a16="http://schemas.microsoft.com/office/drawing/2014/main" id="{00000000-0008-0000-2700-000021010000}"/>
            </a:ext>
          </a:extLst>
        </xdr:cNvPr>
        <xdr:cNvSpPr txBox="1"/>
      </xdr:nvSpPr>
      <xdr:spPr>
        <a:xfrm rot="5400000">
          <a:off x="2076450" y="2743201"/>
          <a:ext cx="285749" cy="1066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vert270" wrap="square" rtlCol="0" anchor="t"/>
        <a:lstStyle/>
        <a:p>
          <a:pPr algn="ctr"/>
          <a:r>
            <a:rPr lang="en-GB" sz="1050" b="1"/>
            <a:t>Bordure</a:t>
          </a:r>
        </a:p>
      </xdr:txBody>
    </xdr:sp>
    <xdr:clientData/>
  </xdr:twoCellAnchor>
  <xdr:twoCellAnchor>
    <xdr:from>
      <xdr:col>44</xdr:col>
      <xdr:colOff>60961</xdr:colOff>
      <xdr:row>32</xdr:row>
      <xdr:rowOff>47626</xdr:rowOff>
    </xdr:from>
    <xdr:to>
      <xdr:col>49</xdr:col>
      <xdr:colOff>60961</xdr:colOff>
      <xdr:row>35</xdr:row>
      <xdr:rowOff>76939</xdr:rowOff>
    </xdr:to>
    <xdr:cxnSp macro="">
      <xdr:nvCxnSpPr>
        <xdr:cNvPr id="290" name="Connecteur droit avec flèche 289">
          <a:extLst>
            <a:ext uri="{FF2B5EF4-FFF2-40B4-BE49-F238E27FC236}">
              <a16:creationId xmlns="" xmlns:a16="http://schemas.microsoft.com/office/drawing/2014/main" id="{00000000-0008-0000-2700-000022010000}"/>
            </a:ext>
          </a:extLst>
        </xdr:cNvPr>
        <xdr:cNvCxnSpPr/>
      </xdr:nvCxnSpPr>
      <xdr:spPr>
        <a:xfrm rot="10800000">
          <a:off x="5191126" y="3305176"/>
          <a:ext cx="561975" cy="314325"/>
        </a:xfrm>
        <a:prstGeom prst="straightConnector1">
          <a:avLst/>
        </a:prstGeom>
        <a:ln w="1905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57784</xdr:colOff>
      <xdr:row>33</xdr:row>
      <xdr:rowOff>9525</xdr:rowOff>
    </xdr:from>
    <xdr:to>
      <xdr:col>54</xdr:col>
      <xdr:colOff>94770</xdr:colOff>
      <xdr:row>37</xdr:row>
      <xdr:rowOff>56273</xdr:rowOff>
    </xdr:to>
    <xdr:sp macro="" textlink="">
      <xdr:nvSpPr>
        <xdr:cNvPr id="291" name="ZoneTexte 290">
          <a:extLst>
            <a:ext uri="{FF2B5EF4-FFF2-40B4-BE49-F238E27FC236}">
              <a16:creationId xmlns="" xmlns:a16="http://schemas.microsoft.com/office/drawing/2014/main" id="{00000000-0008-0000-2700-000023010000}"/>
            </a:ext>
          </a:extLst>
        </xdr:cNvPr>
        <xdr:cNvSpPr txBox="1"/>
      </xdr:nvSpPr>
      <xdr:spPr>
        <a:xfrm>
          <a:off x="5553074" y="3352800"/>
          <a:ext cx="828676" cy="447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Appui métalique</a:t>
          </a:r>
        </a:p>
      </xdr:txBody>
    </xdr:sp>
    <xdr:clientData/>
  </xdr:twoCellAnchor>
  <xdr:twoCellAnchor>
    <xdr:from>
      <xdr:col>56</xdr:col>
      <xdr:colOff>57150</xdr:colOff>
      <xdr:row>8</xdr:row>
      <xdr:rowOff>19050</xdr:rowOff>
    </xdr:from>
    <xdr:to>
      <xdr:col>76</xdr:col>
      <xdr:colOff>31750</xdr:colOff>
      <xdr:row>33</xdr:row>
      <xdr:rowOff>57150</xdr:rowOff>
    </xdr:to>
    <xdr:grpSp>
      <xdr:nvGrpSpPr>
        <xdr:cNvPr id="889147" name="Groupe 291">
          <a:extLst>
            <a:ext uri="{FF2B5EF4-FFF2-40B4-BE49-F238E27FC236}">
              <a16:creationId xmlns="" xmlns:a16="http://schemas.microsoft.com/office/drawing/2014/main" id="{00000000-0008-0000-2700-00003B910D00}"/>
            </a:ext>
          </a:extLst>
        </xdr:cNvPr>
        <xdr:cNvGrpSpPr>
          <a:grpSpLocks/>
        </xdr:cNvGrpSpPr>
      </xdr:nvGrpSpPr>
      <xdr:grpSpPr bwMode="auto">
        <a:xfrm>
          <a:off x="6457950" y="971550"/>
          <a:ext cx="2260600" cy="2419350"/>
          <a:chOff x="6619875" y="923925"/>
          <a:chExt cx="2257425" cy="2428875"/>
        </a:xfrm>
      </xdr:grpSpPr>
      <xdr:cxnSp macro="">
        <xdr:nvCxnSpPr>
          <xdr:cNvPr id="293" name="Connecteur droit 292">
            <a:extLst>
              <a:ext uri="{FF2B5EF4-FFF2-40B4-BE49-F238E27FC236}">
                <a16:creationId xmlns="" xmlns:a16="http://schemas.microsoft.com/office/drawing/2014/main" id="{00000000-0008-0000-2700-000025010000}"/>
              </a:ext>
            </a:extLst>
          </xdr:cNvPr>
          <xdr:cNvCxnSpPr/>
        </xdr:nvCxnSpPr>
        <xdr:spPr>
          <a:xfrm rot="16200000" flipH="1">
            <a:off x="8084224" y="3002752"/>
            <a:ext cx="165750" cy="215597"/>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94" name="Connecteur droit 293">
            <a:extLst>
              <a:ext uri="{FF2B5EF4-FFF2-40B4-BE49-F238E27FC236}">
                <a16:creationId xmlns="" xmlns:a16="http://schemas.microsoft.com/office/drawing/2014/main" id="{00000000-0008-0000-2700-000026010000}"/>
              </a:ext>
            </a:extLst>
          </xdr:cNvPr>
          <xdr:cNvCxnSpPr/>
        </xdr:nvCxnSpPr>
        <xdr:spPr>
          <a:xfrm rot="16200000" flipH="1">
            <a:off x="8004943" y="3101564"/>
            <a:ext cx="172125" cy="215597"/>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95" name="Connecteur droit 294">
            <a:extLst>
              <a:ext uri="{FF2B5EF4-FFF2-40B4-BE49-F238E27FC236}">
                <a16:creationId xmlns="" xmlns:a16="http://schemas.microsoft.com/office/drawing/2014/main" id="{00000000-0008-0000-2700-000027010000}"/>
              </a:ext>
            </a:extLst>
          </xdr:cNvPr>
          <xdr:cNvCxnSpPr/>
        </xdr:nvCxnSpPr>
        <xdr:spPr>
          <a:xfrm rot="10800000" flipV="1">
            <a:off x="8040277" y="3097800"/>
            <a:ext cx="234620" cy="1976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nvGrpSpPr>
          <xdr:cNvPr id="889211" name="Groupe 461">
            <a:extLst>
              <a:ext uri="{FF2B5EF4-FFF2-40B4-BE49-F238E27FC236}">
                <a16:creationId xmlns="" xmlns:a16="http://schemas.microsoft.com/office/drawing/2014/main" id="{00000000-0008-0000-2700-00007B910D00}"/>
              </a:ext>
            </a:extLst>
          </xdr:cNvPr>
          <xdr:cNvGrpSpPr>
            <a:grpSpLocks/>
          </xdr:cNvGrpSpPr>
        </xdr:nvGrpSpPr>
        <xdr:grpSpPr bwMode="auto">
          <a:xfrm>
            <a:off x="6619875" y="923925"/>
            <a:ext cx="2257425" cy="2428874"/>
            <a:chOff x="7848600" y="809625"/>
            <a:chExt cx="2257425" cy="2428874"/>
          </a:xfrm>
        </xdr:grpSpPr>
        <xdr:grpSp>
          <xdr:nvGrpSpPr>
            <xdr:cNvPr id="889216" name="Groupe 226">
              <a:extLst>
                <a:ext uri="{FF2B5EF4-FFF2-40B4-BE49-F238E27FC236}">
                  <a16:creationId xmlns="" xmlns:a16="http://schemas.microsoft.com/office/drawing/2014/main" id="{00000000-0008-0000-2700-000080910D00}"/>
                </a:ext>
              </a:extLst>
            </xdr:cNvPr>
            <xdr:cNvGrpSpPr>
              <a:grpSpLocks/>
            </xdr:cNvGrpSpPr>
          </xdr:nvGrpSpPr>
          <xdr:grpSpPr bwMode="auto">
            <a:xfrm>
              <a:off x="8305800" y="1133476"/>
              <a:ext cx="1104900" cy="514350"/>
              <a:chOff x="7810500" y="1704976"/>
              <a:chExt cx="1104900" cy="514350"/>
            </a:xfrm>
          </xdr:grpSpPr>
          <xdr:sp macro="" textlink="">
            <xdr:nvSpPr>
              <xdr:cNvPr id="329" name="Ellipse 328">
                <a:extLst>
                  <a:ext uri="{FF2B5EF4-FFF2-40B4-BE49-F238E27FC236}">
                    <a16:creationId xmlns="" xmlns:a16="http://schemas.microsoft.com/office/drawing/2014/main" id="{00000000-0008-0000-2700-000049010000}"/>
                  </a:ext>
                </a:extLst>
              </xdr:cNvPr>
              <xdr:cNvSpPr/>
            </xdr:nvSpPr>
            <xdr:spPr bwMode="auto">
              <a:xfrm>
                <a:off x="7809858" y="1840125"/>
                <a:ext cx="361442" cy="325125"/>
              </a:xfrm>
              <a:prstGeom prst="ellipse">
                <a:avLst/>
              </a:prstGeom>
              <a:solidFill>
                <a:schemeClr val="accent2">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330" name="Organigramme : Délai 329">
                <a:extLst>
                  <a:ext uri="{FF2B5EF4-FFF2-40B4-BE49-F238E27FC236}">
                    <a16:creationId xmlns="" xmlns:a16="http://schemas.microsoft.com/office/drawing/2014/main" id="{00000000-0008-0000-2700-00004A010000}"/>
                  </a:ext>
                </a:extLst>
              </xdr:cNvPr>
              <xdr:cNvSpPr/>
            </xdr:nvSpPr>
            <xdr:spPr bwMode="auto">
              <a:xfrm>
                <a:off x="8000090" y="1840125"/>
                <a:ext cx="830682" cy="325125"/>
              </a:xfrm>
              <a:prstGeom prst="flowChartDelay">
                <a:avLst/>
              </a:prstGeom>
              <a:solidFill>
                <a:schemeClr val="accent2">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331" name="Ellipse 330">
                <a:extLst>
                  <a:ext uri="{FF2B5EF4-FFF2-40B4-BE49-F238E27FC236}">
                    <a16:creationId xmlns="" xmlns:a16="http://schemas.microsoft.com/office/drawing/2014/main" id="{00000000-0008-0000-2700-00004B010000}"/>
                  </a:ext>
                </a:extLst>
              </xdr:cNvPr>
              <xdr:cNvSpPr/>
            </xdr:nvSpPr>
            <xdr:spPr bwMode="auto">
              <a:xfrm>
                <a:off x="8399578" y="1719000"/>
                <a:ext cx="526310" cy="503625"/>
              </a:xfrm>
              <a:prstGeom prst="ellipse">
                <a:avLst/>
              </a:prstGeom>
              <a:solidFill>
                <a:schemeClr val="accent1">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grpSp>
        <xdr:cxnSp macro="">
          <xdr:nvCxnSpPr>
            <xdr:cNvPr id="889217" name="Connecteur droit avec flèche 301">
              <a:extLst>
                <a:ext uri="{FF2B5EF4-FFF2-40B4-BE49-F238E27FC236}">
                  <a16:creationId xmlns="" xmlns:a16="http://schemas.microsoft.com/office/drawing/2014/main" id="{00000000-0008-0000-2700-000081910D00}"/>
                </a:ext>
              </a:extLst>
            </xdr:cNvPr>
            <xdr:cNvCxnSpPr>
              <a:cxnSpLocks noChangeShapeType="1"/>
            </xdr:cNvCxnSpPr>
          </xdr:nvCxnSpPr>
          <xdr:spPr bwMode="auto">
            <a:xfrm>
              <a:off x="8277225" y="1009650"/>
              <a:ext cx="1171575" cy="1588"/>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303" name="TextBox 311">
              <a:extLst>
                <a:ext uri="{FF2B5EF4-FFF2-40B4-BE49-F238E27FC236}">
                  <a16:creationId xmlns="" xmlns:a16="http://schemas.microsoft.com/office/drawing/2014/main" id="{00000000-0008-0000-2700-00002F010000}"/>
                </a:ext>
              </a:extLst>
            </xdr:cNvPr>
            <xdr:cNvSpPr txBox="1"/>
          </xdr:nvSpPr>
          <xdr:spPr>
            <a:xfrm>
              <a:off x="8723669" y="809625"/>
              <a:ext cx="513628" cy="28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28</a:t>
              </a:r>
            </a:p>
          </xdr:txBody>
        </xdr:sp>
        <xdr:sp macro="" textlink="">
          <xdr:nvSpPr>
            <xdr:cNvPr id="304" name="TextBox 311">
              <a:extLst>
                <a:ext uri="{FF2B5EF4-FFF2-40B4-BE49-F238E27FC236}">
                  <a16:creationId xmlns="" xmlns:a16="http://schemas.microsoft.com/office/drawing/2014/main" id="{00000000-0008-0000-2700-000030010000}"/>
                </a:ext>
              </a:extLst>
            </xdr:cNvPr>
            <xdr:cNvSpPr txBox="1"/>
          </xdr:nvSpPr>
          <xdr:spPr>
            <a:xfrm>
              <a:off x="8932925" y="1204875"/>
              <a:ext cx="507287" cy="274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D=15</a:t>
              </a:r>
            </a:p>
          </xdr:txBody>
        </xdr:sp>
        <xdr:cxnSp macro="">
          <xdr:nvCxnSpPr>
            <xdr:cNvPr id="889220" name="Connecteur droit avec flèche 304">
              <a:extLst>
                <a:ext uri="{FF2B5EF4-FFF2-40B4-BE49-F238E27FC236}">
                  <a16:creationId xmlns="" xmlns:a16="http://schemas.microsoft.com/office/drawing/2014/main" id="{00000000-0008-0000-2700-000084910D00}"/>
                </a:ext>
              </a:extLst>
            </xdr:cNvPr>
            <xdr:cNvCxnSpPr>
              <a:cxnSpLocks noChangeShapeType="1"/>
            </xdr:cNvCxnSpPr>
          </xdr:nvCxnSpPr>
          <xdr:spPr bwMode="auto">
            <a:xfrm rot="5400000">
              <a:off x="8005764" y="1423987"/>
              <a:ext cx="304799" cy="9525"/>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306" name="TextBox 311">
              <a:extLst>
                <a:ext uri="{FF2B5EF4-FFF2-40B4-BE49-F238E27FC236}">
                  <a16:creationId xmlns="" xmlns:a16="http://schemas.microsoft.com/office/drawing/2014/main" id="{00000000-0008-0000-2700-000032010000}"/>
                </a:ext>
              </a:extLst>
            </xdr:cNvPr>
            <xdr:cNvSpPr txBox="1"/>
          </xdr:nvSpPr>
          <xdr:spPr>
            <a:xfrm>
              <a:off x="7848600" y="1300500"/>
              <a:ext cx="513628" cy="274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7,5</a:t>
              </a:r>
            </a:p>
          </xdr:txBody>
        </xdr:sp>
        <xdr:cxnSp macro="">
          <xdr:nvCxnSpPr>
            <xdr:cNvPr id="889222" name="Connecteur droit avec flèche 306">
              <a:extLst>
                <a:ext uri="{FF2B5EF4-FFF2-40B4-BE49-F238E27FC236}">
                  <a16:creationId xmlns="" xmlns:a16="http://schemas.microsoft.com/office/drawing/2014/main" id="{00000000-0008-0000-2700-000086910D00}"/>
                </a:ext>
              </a:extLst>
            </xdr:cNvPr>
            <xdr:cNvCxnSpPr>
              <a:cxnSpLocks noChangeShapeType="1"/>
            </xdr:cNvCxnSpPr>
          </xdr:nvCxnSpPr>
          <xdr:spPr bwMode="auto">
            <a:xfrm>
              <a:off x="8324850" y="1847850"/>
              <a:ext cx="628650" cy="1588"/>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308" name="TextBox 311">
              <a:extLst>
                <a:ext uri="{FF2B5EF4-FFF2-40B4-BE49-F238E27FC236}">
                  <a16:creationId xmlns="" xmlns:a16="http://schemas.microsoft.com/office/drawing/2014/main" id="{00000000-0008-0000-2700-000034010000}"/>
                </a:ext>
              </a:extLst>
            </xdr:cNvPr>
            <xdr:cNvSpPr txBox="1"/>
          </xdr:nvSpPr>
          <xdr:spPr>
            <a:xfrm>
              <a:off x="8533437" y="1651125"/>
              <a:ext cx="513628" cy="267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13</a:t>
              </a:r>
            </a:p>
          </xdr:txBody>
        </xdr:sp>
        <xdr:cxnSp macro="">
          <xdr:nvCxnSpPr>
            <xdr:cNvPr id="889224" name="Connecteur droit avec flèche 308">
              <a:extLst>
                <a:ext uri="{FF2B5EF4-FFF2-40B4-BE49-F238E27FC236}">
                  <a16:creationId xmlns="" xmlns:a16="http://schemas.microsoft.com/office/drawing/2014/main" id="{00000000-0008-0000-2700-000088910D00}"/>
                </a:ext>
              </a:extLst>
            </xdr:cNvPr>
            <xdr:cNvCxnSpPr>
              <a:cxnSpLocks noChangeShapeType="1"/>
            </xdr:cNvCxnSpPr>
          </xdr:nvCxnSpPr>
          <xdr:spPr bwMode="auto">
            <a:xfrm rot="16200000" flipH="1">
              <a:off x="9420226" y="1381126"/>
              <a:ext cx="457198" cy="1"/>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310" name="TextBox 311">
              <a:extLst>
                <a:ext uri="{FF2B5EF4-FFF2-40B4-BE49-F238E27FC236}">
                  <a16:creationId xmlns="" xmlns:a16="http://schemas.microsoft.com/office/drawing/2014/main" id="{00000000-0008-0000-2700-000036010000}"/>
                </a:ext>
              </a:extLst>
            </xdr:cNvPr>
            <xdr:cNvSpPr txBox="1"/>
          </xdr:nvSpPr>
          <xdr:spPr>
            <a:xfrm>
              <a:off x="9592397" y="1249500"/>
              <a:ext cx="513628" cy="28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15</a:t>
              </a:r>
            </a:p>
          </xdr:txBody>
        </xdr:sp>
        <xdr:cxnSp macro="">
          <xdr:nvCxnSpPr>
            <xdr:cNvPr id="889226" name="Connecteur droit 310">
              <a:extLst>
                <a:ext uri="{FF2B5EF4-FFF2-40B4-BE49-F238E27FC236}">
                  <a16:creationId xmlns="" xmlns:a16="http://schemas.microsoft.com/office/drawing/2014/main" id="{00000000-0008-0000-2700-00008A910D00}"/>
                </a:ext>
              </a:extLst>
            </xdr:cNvPr>
            <xdr:cNvCxnSpPr>
              <a:cxnSpLocks noChangeShapeType="1"/>
            </xdr:cNvCxnSpPr>
          </xdr:nvCxnSpPr>
          <xdr:spPr bwMode="auto">
            <a:xfrm rot="5400000">
              <a:off x="8096250" y="1762125"/>
              <a:ext cx="438150" cy="1588"/>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889227" name="Connecteur droit 311">
              <a:extLst>
                <a:ext uri="{FF2B5EF4-FFF2-40B4-BE49-F238E27FC236}">
                  <a16:creationId xmlns="" xmlns:a16="http://schemas.microsoft.com/office/drawing/2014/main" id="{00000000-0008-0000-2700-00008B910D00}"/>
                </a:ext>
              </a:extLst>
            </xdr:cNvPr>
            <xdr:cNvCxnSpPr>
              <a:cxnSpLocks noChangeShapeType="1"/>
            </xdr:cNvCxnSpPr>
          </xdr:nvCxnSpPr>
          <xdr:spPr bwMode="auto">
            <a:xfrm rot="5400000">
              <a:off x="8743950" y="1800225"/>
              <a:ext cx="438150" cy="1588"/>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grpSp>
          <xdr:nvGrpSpPr>
            <xdr:cNvPr id="889228" name="Groupe 297">
              <a:extLst>
                <a:ext uri="{FF2B5EF4-FFF2-40B4-BE49-F238E27FC236}">
                  <a16:creationId xmlns="" xmlns:a16="http://schemas.microsoft.com/office/drawing/2014/main" id="{00000000-0008-0000-2700-00008C910D00}"/>
                </a:ext>
              </a:extLst>
            </xdr:cNvPr>
            <xdr:cNvGrpSpPr>
              <a:grpSpLocks/>
            </xdr:cNvGrpSpPr>
          </xdr:nvGrpSpPr>
          <xdr:grpSpPr bwMode="auto">
            <a:xfrm>
              <a:off x="7934325" y="2371743"/>
              <a:ext cx="1609725" cy="866756"/>
              <a:chOff x="12182475" y="1047772"/>
              <a:chExt cx="1609725" cy="1038203"/>
            </a:xfrm>
          </xdr:grpSpPr>
          <xdr:sp macro="" textlink="">
            <xdr:nvSpPr>
              <xdr:cNvPr id="314" name="ZoneTexte 313">
                <a:extLst>
                  <a:ext uri="{FF2B5EF4-FFF2-40B4-BE49-F238E27FC236}">
                    <a16:creationId xmlns="" xmlns:a16="http://schemas.microsoft.com/office/drawing/2014/main" id="{00000000-0008-0000-2700-00003A010000}"/>
                  </a:ext>
                </a:extLst>
              </xdr:cNvPr>
              <xdr:cNvSpPr txBox="1"/>
            </xdr:nvSpPr>
            <xdr:spPr>
              <a:xfrm rot="1828187">
                <a:off x="12223571" y="1742356"/>
                <a:ext cx="380465" cy="190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13</a:t>
                </a:r>
              </a:p>
            </xdr:txBody>
          </xdr:sp>
          <xdr:cxnSp macro="">
            <xdr:nvCxnSpPr>
              <xdr:cNvPr id="315" name="Connecteur droit 299">
                <a:extLst>
                  <a:ext uri="{FF2B5EF4-FFF2-40B4-BE49-F238E27FC236}">
                    <a16:creationId xmlns="" xmlns:a16="http://schemas.microsoft.com/office/drawing/2014/main" id="{00000000-0008-0000-2700-00003B010000}"/>
                  </a:ext>
                </a:extLst>
              </xdr:cNvPr>
              <xdr:cNvCxnSpPr/>
            </xdr:nvCxnSpPr>
            <xdr:spPr>
              <a:xfrm rot="5400000">
                <a:off x="12252867" y="1861629"/>
                <a:ext cx="290168" cy="15852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16" name="Connecteur droit 315">
                <a:extLst>
                  <a:ext uri="{FF2B5EF4-FFF2-40B4-BE49-F238E27FC236}">
                    <a16:creationId xmlns="" xmlns:a16="http://schemas.microsoft.com/office/drawing/2014/main" id="{00000000-0008-0000-2700-00003C010000}"/>
                  </a:ext>
                </a:extLst>
              </xdr:cNvPr>
              <xdr:cNvCxnSpPr/>
            </xdr:nvCxnSpPr>
            <xdr:spPr>
              <a:xfrm>
                <a:off x="12223571" y="1856896"/>
                <a:ext cx="209256" cy="167992"/>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nvGrpSpPr>
              <xdr:cNvPr id="889232" name="Groupe 525">
                <a:extLst>
                  <a:ext uri="{FF2B5EF4-FFF2-40B4-BE49-F238E27FC236}">
                    <a16:creationId xmlns="" xmlns:a16="http://schemas.microsoft.com/office/drawing/2014/main" id="{00000000-0008-0000-2700-000090910D00}"/>
                  </a:ext>
                </a:extLst>
              </xdr:cNvPr>
              <xdr:cNvGrpSpPr>
                <a:grpSpLocks/>
              </xdr:cNvGrpSpPr>
            </xdr:nvGrpSpPr>
            <xdr:grpSpPr bwMode="auto">
              <a:xfrm>
                <a:off x="12182475" y="1047772"/>
                <a:ext cx="1609725" cy="962003"/>
                <a:chOff x="12182475" y="1047772"/>
                <a:chExt cx="1609725" cy="962003"/>
              </a:xfrm>
            </xdr:grpSpPr>
            <xdr:grpSp>
              <xdr:nvGrpSpPr>
                <xdr:cNvPr id="395" name="Groupe 357">
                  <a:extLst>
                    <a:ext uri="{FF2B5EF4-FFF2-40B4-BE49-F238E27FC236}">
                      <a16:creationId xmlns="" xmlns:a16="http://schemas.microsoft.com/office/drawing/2014/main" id="{00000000-0008-0000-2700-00008B010000}"/>
                    </a:ext>
                  </a:extLst>
                </xdr:cNvPr>
                <xdr:cNvGrpSpPr/>
              </xdr:nvGrpSpPr>
              <xdr:grpSpPr>
                <a:xfrm rot="16200000">
                  <a:off x="12563560" y="1216074"/>
                  <a:ext cx="664332" cy="342418"/>
                  <a:chOff x="7810500" y="1704976"/>
                  <a:chExt cx="1104900" cy="514350"/>
                </a:xfrm>
                <a:solidFill>
                  <a:schemeClr val="tx2">
                    <a:lumMod val="60000"/>
                    <a:lumOff val="40000"/>
                  </a:schemeClr>
                </a:solidFill>
              </xdr:grpSpPr>
              <xdr:sp macro="" textlink="">
                <xdr:nvSpPr>
                  <xdr:cNvPr id="326" name="Ellipse 325">
                    <a:extLst>
                      <a:ext uri="{FF2B5EF4-FFF2-40B4-BE49-F238E27FC236}">
                        <a16:creationId xmlns="" xmlns:a16="http://schemas.microsoft.com/office/drawing/2014/main" id="{00000000-0008-0000-2700-000046010000}"/>
                      </a:ext>
                    </a:extLst>
                  </xdr:cNvPr>
                  <xdr:cNvSpPr/>
                </xdr:nvSpPr>
                <xdr:spPr bwMode="auto">
                  <a:xfrm>
                    <a:off x="7696200" y="1819276"/>
                    <a:ext cx="381000" cy="333375"/>
                  </a:xfrm>
                  <a:prstGeom prst="ellipse">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327" name="Organigramme : Délai 359">
                    <a:extLst>
                      <a:ext uri="{FF2B5EF4-FFF2-40B4-BE49-F238E27FC236}">
                        <a16:creationId xmlns="" xmlns:a16="http://schemas.microsoft.com/office/drawing/2014/main" id="{00000000-0008-0000-2700-000047010000}"/>
                      </a:ext>
                    </a:extLst>
                  </xdr:cNvPr>
                  <xdr:cNvSpPr/>
                </xdr:nvSpPr>
                <xdr:spPr bwMode="auto">
                  <a:xfrm>
                    <a:off x="7950200" y="1819276"/>
                    <a:ext cx="876300" cy="333375"/>
                  </a:xfrm>
                  <a:prstGeom prst="flowChartDelay">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328" name="Ellipse 360">
                    <a:extLst>
                      <a:ext uri="{FF2B5EF4-FFF2-40B4-BE49-F238E27FC236}">
                        <a16:creationId xmlns="" xmlns:a16="http://schemas.microsoft.com/office/drawing/2014/main" id="{00000000-0008-0000-2700-000048010000}"/>
                      </a:ext>
                    </a:extLst>
                  </xdr:cNvPr>
                  <xdr:cNvSpPr/>
                </xdr:nvSpPr>
                <xdr:spPr bwMode="auto">
                  <a:xfrm>
                    <a:off x="8407400" y="1704976"/>
                    <a:ext cx="495300" cy="514350"/>
                  </a:xfrm>
                  <a:prstGeom prst="ellipse">
                    <a:avLst/>
                  </a:prstGeom>
                  <a:solidFill>
                    <a:schemeClr val="accent1">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grpSp>
            <xdr:sp macro="" textlink="">
              <xdr:nvSpPr>
                <xdr:cNvPr id="319" name="Rectangle 318">
                  <a:extLst>
                    <a:ext uri="{FF2B5EF4-FFF2-40B4-BE49-F238E27FC236}">
                      <a16:creationId xmlns="" xmlns:a16="http://schemas.microsoft.com/office/drawing/2014/main" id="{00000000-0008-0000-2700-00003F010000}"/>
                    </a:ext>
                  </a:extLst>
                </xdr:cNvPr>
                <xdr:cNvSpPr/>
              </xdr:nvSpPr>
              <xdr:spPr>
                <a:xfrm rot="2786224">
                  <a:off x="13041798" y="1466433"/>
                  <a:ext cx="595608" cy="13950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sp macro="" textlink="">
              <xdr:nvSpPr>
                <xdr:cNvPr id="320" name="Rectangle 304">
                  <a:extLst>
                    <a:ext uri="{FF2B5EF4-FFF2-40B4-BE49-F238E27FC236}">
                      <a16:creationId xmlns="" xmlns:a16="http://schemas.microsoft.com/office/drawing/2014/main" id="{00000000-0008-0000-2700-000040010000}"/>
                    </a:ext>
                  </a:extLst>
                </xdr:cNvPr>
                <xdr:cNvSpPr/>
              </xdr:nvSpPr>
              <xdr:spPr>
                <a:xfrm rot="17801563">
                  <a:off x="12246706" y="1443525"/>
                  <a:ext cx="549792" cy="13950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xnSp macro="">
              <xdr:nvCxnSpPr>
                <xdr:cNvPr id="321" name="Connecteur droit avec flèche 320">
                  <a:extLst>
                    <a:ext uri="{FF2B5EF4-FFF2-40B4-BE49-F238E27FC236}">
                      <a16:creationId xmlns="" xmlns:a16="http://schemas.microsoft.com/office/drawing/2014/main" id="{00000000-0008-0000-2700-000041010000}"/>
                    </a:ext>
                  </a:extLst>
                </xdr:cNvPr>
                <xdr:cNvCxnSpPr/>
              </xdr:nvCxnSpPr>
              <xdr:spPr>
                <a:xfrm rot="5400000" flipH="1" flipV="1">
                  <a:off x="12895012" y="1299195"/>
                  <a:ext cx="45816" cy="932139"/>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322" name="ZoneTexte 321">
                  <a:extLst>
                    <a:ext uri="{FF2B5EF4-FFF2-40B4-BE49-F238E27FC236}">
                      <a16:creationId xmlns="" xmlns:a16="http://schemas.microsoft.com/office/drawing/2014/main" id="{00000000-0008-0000-2700-000042010000}"/>
                    </a:ext>
                  </a:extLst>
                </xdr:cNvPr>
                <xdr:cNvSpPr txBox="1"/>
              </xdr:nvSpPr>
              <xdr:spPr>
                <a:xfrm>
                  <a:off x="12762563" y="1719448"/>
                  <a:ext cx="393147" cy="1832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15</a:t>
                  </a:r>
                </a:p>
              </xdr:txBody>
            </xdr:sp>
            <xdr:cxnSp macro="">
              <xdr:nvCxnSpPr>
                <xdr:cNvPr id="323" name="Connecteur droit 322">
                  <a:extLst>
                    <a:ext uri="{FF2B5EF4-FFF2-40B4-BE49-F238E27FC236}">
                      <a16:creationId xmlns="" xmlns:a16="http://schemas.microsoft.com/office/drawing/2014/main" id="{00000000-0008-0000-2700-000043010000}"/>
                    </a:ext>
                  </a:extLst>
                </xdr:cNvPr>
                <xdr:cNvCxnSpPr/>
              </xdr:nvCxnSpPr>
              <xdr:spPr>
                <a:xfrm rot="5400000">
                  <a:off x="12133681" y="1771292"/>
                  <a:ext cx="274896" cy="17120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324" name="ZoneTexte 323">
                  <a:extLst>
                    <a:ext uri="{FF2B5EF4-FFF2-40B4-BE49-F238E27FC236}">
                      <a16:creationId xmlns="" xmlns:a16="http://schemas.microsoft.com/office/drawing/2014/main" id="{00000000-0008-0000-2700-000044010000}"/>
                    </a:ext>
                  </a:extLst>
                </xdr:cNvPr>
                <xdr:cNvSpPr txBox="1"/>
              </xdr:nvSpPr>
              <xdr:spPr>
                <a:xfrm rot="19191446">
                  <a:off x="13403012" y="1650725"/>
                  <a:ext cx="386806" cy="206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13</a:t>
                  </a:r>
                </a:p>
              </xdr:txBody>
            </xdr:sp>
            <xdr:sp macro="" textlink="">
              <xdr:nvSpPr>
                <xdr:cNvPr id="325" name="ZoneTexte 324">
                  <a:extLst>
                    <a:ext uri="{FF2B5EF4-FFF2-40B4-BE49-F238E27FC236}">
                      <a16:creationId xmlns="" xmlns:a16="http://schemas.microsoft.com/office/drawing/2014/main" id="{00000000-0008-0000-2700-000045010000}"/>
                    </a:ext>
                  </a:extLst>
                </xdr:cNvPr>
                <xdr:cNvSpPr txBox="1"/>
              </xdr:nvSpPr>
              <xdr:spPr>
                <a:xfrm rot="2520652">
                  <a:off x="13345943" y="1261289"/>
                  <a:ext cx="399488" cy="1832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15</a:t>
                  </a:r>
                </a:p>
              </xdr:txBody>
            </xdr:sp>
          </xdr:grpSp>
        </xdr:grpSp>
      </xdr:grpSp>
      <xdr:cxnSp macro="">
        <xdr:nvCxnSpPr>
          <xdr:cNvPr id="297" name="Connecteur droit 296">
            <a:extLst>
              <a:ext uri="{FF2B5EF4-FFF2-40B4-BE49-F238E27FC236}">
                <a16:creationId xmlns="" xmlns:a16="http://schemas.microsoft.com/office/drawing/2014/main" id="{00000000-0008-0000-2700-000029010000}"/>
              </a:ext>
            </a:extLst>
          </xdr:cNvPr>
          <xdr:cNvCxnSpPr/>
        </xdr:nvCxnSpPr>
        <xdr:spPr>
          <a:xfrm rot="10800000" flipV="1">
            <a:off x="8097347" y="2868300"/>
            <a:ext cx="190232" cy="159375"/>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98" name="Connecteur droit 297">
            <a:extLst>
              <a:ext uri="{FF2B5EF4-FFF2-40B4-BE49-F238E27FC236}">
                <a16:creationId xmlns="" xmlns:a16="http://schemas.microsoft.com/office/drawing/2014/main" id="{00000000-0008-0000-2700-00002A010000}"/>
              </a:ext>
            </a:extLst>
          </xdr:cNvPr>
          <xdr:cNvCxnSpPr/>
        </xdr:nvCxnSpPr>
        <xdr:spPr>
          <a:xfrm flipH="1">
            <a:off x="7704200" y="2524050"/>
            <a:ext cx="190232" cy="17850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889214" name="Connecteur droit avec flèche 298">
            <a:extLst>
              <a:ext uri="{FF2B5EF4-FFF2-40B4-BE49-F238E27FC236}">
                <a16:creationId xmlns="" xmlns:a16="http://schemas.microsoft.com/office/drawing/2014/main" id="{00000000-0008-0000-2700-00007E910D00}"/>
              </a:ext>
            </a:extLst>
          </xdr:cNvPr>
          <xdr:cNvCxnSpPr>
            <a:cxnSpLocks noChangeShapeType="1"/>
          </xdr:cNvCxnSpPr>
        </xdr:nvCxnSpPr>
        <xdr:spPr bwMode="auto">
          <a:xfrm rot="5400000">
            <a:off x="7339014" y="1509712"/>
            <a:ext cx="304799" cy="9525"/>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300" name="TextBox 311">
            <a:extLst>
              <a:ext uri="{FF2B5EF4-FFF2-40B4-BE49-F238E27FC236}">
                <a16:creationId xmlns="" xmlns:a16="http://schemas.microsoft.com/office/drawing/2014/main" id="{00000000-0008-0000-2700-00002C010000}"/>
              </a:ext>
            </a:extLst>
          </xdr:cNvPr>
          <xdr:cNvSpPr txBox="1"/>
        </xdr:nvSpPr>
        <xdr:spPr>
          <a:xfrm>
            <a:off x="7184231" y="1376550"/>
            <a:ext cx="519969" cy="286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7,5</a:t>
            </a:r>
          </a:p>
        </xdr:txBody>
      </xdr:sp>
    </xdr:grpSp>
    <xdr:clientData/>
  </xdr:twoCellAnchor>
  <xdr:twoCellAnchor>
    <xdr:from>
      <xdr:col>79</xdr:col>
      <xdr:colOff>19050</xdr:colOff>
      <xdr:row>9</xdr:row>
      <xdr:rowOff>57150</xdr:rowOff>
    </xdr:from>
    <xdr:to>
      <xdr:col>115</xdr:col>
      <xdr:colOff>19050</xdr:colOff>
      <xdr:row>31</xdr:row>
      <xdr:rowOff>57150</xdr:rowOff>
    </xdr:to>
    <xdr:grpSp>
      <xdr:nvGrpSpPr>
        <xdr:cNvPr id="889148" name="Groupe 331">
          <a:extLst>
            <a:ext uri="{FF2B5EF4-FFF2-40B4-BE49-F238E27FC236}">
              <a16:creationId xmlns="" xmlns:a16="http://schemas.microsoft.com/office/drawing/2014/main" id="{00000000-0008-0000-2700-00003C910D00}"/>
            </a:ext>
          </a:extLst>
        </xdr:cNvPr>
        <xdr:cNvGrpSpPr>
          <a:grpSpLocks/>
        </xdr:cNvGrpSpPr>
      </xdr:nvGrpSpPr>
      <xdr:grpSpPr bwMode="auto">
        <a:xfrm>
          <a:off x="9048750" y="1104900"/>
          <a:ext cx="4114800" cy="2095500"/>
          <a:chOff x="9201151" y="1076325"/>
          <a:chExt cx="3143249" cy="2085975"/>
        </a:xfrm>
      </xdr:grpSpPr>
      <xdr:grpSp>
        <xdr:nvGrpSpPr>
          <xdr:cNvPr id="889197" name="Groupe 197">
            <a:extLst>
              <a:ext uri="{FF2B5EF4-FFF2-40B4-BE49-F238E27FC236}">
                <a16:creationId xmlns="" xmlns:a16="http://schemas.microsoft.com/office/drawing/2014/main" id="{00000000-0008-0000-2700-00006D910D00}"/>
              </a:ext>
            </a:extLst>
          </xdr:cNvPr>
          <xdr:cNvGrpSpPr>
            <a:grpSpLocks/>
          </xdr:cNvGrpSpPr>
        </xdr:nvGrpSpPr>
        <xdr:grpSpPr bwMode="auto">
          <a:xfrm>
            <a:off x="9201151" y="1076325"/>
            <a:ext cx="3143249" cy="2085975"/>
            <a:chOff x="9553576" y="2533650"/>
            <a:chExt cx="3143249" cy="2508385"/>
          </a:xfrm>
        </xdr:grpSpPr>
        <xdr:sp macro="" textlink="">
          <xdr:nvSpPr>
            <xdr:cNvPr id="336" name="Rectangle 335">
              <a:extLst>
                <a:ext uri="{FF2B5EF4-FFF2-40B4-BE49-F238E27FC236}">
                  <a16:creationId xmlns="" xmlns:a16="http://schemas.microsoft.com/office/drawing/2014/main" id="{00000000-0008-0000-2700-000050010000}"/>
                </a:ext>
              </a:extLst>
            </xdr:cNvPr>
            <xdr:cNvSpPr/>
          </xdr:nvSpPr>
          <xdr:spPr bwMode="auto">
            <a:xfrm>
              <a:off x="10218121" y="3422987"/>
              <a:ext cx="1838413" cy="722111"/>
            </a:xfrm>
            <a:prstGeom prst="rect">
              <a:avLst/>
            </a:prstGeom>
            <a:blipFill>
              <a:blip xmlns:r="http://schemas.openxmlformats.org/officeDocument/2006/relationships" r:embed="rId10" cstate="print"/>
              <a:tile tx="0" ty="0" sx="100000" sy="100000" flip="none" algn="tl"/>
            </a:blip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xnSp macro="">
          <xdr:nvCxnSpPr>
            <xdr:cNvPr id="889201" name="Straight Arrow Connector 310">
              <a:extLst>
                <a:ext uri="{FF2B5EF4-FFF2-40B4-BE49-F238E27FC236}">
                  <a16:creationId xmlns="" xmlns:a16="http://schemas.microsoft.com/office/drawing/2014/main" id="{00000000-0008-0000-2700-000071910D00}"/>
                </a:ext>
              </a:extLst>
            </xdr:cNvPr>
            <xdr:cNvCxnSpPr>
              <a:cxnSpLocks noChangeShapeType="1"/>
            </xdr:cNvCxnSpPr>
          </xdr:nvCxnSpPr>
          <xdr:spPr bwMode="auto">
            <a:xfrm flipV="1">
              <a:off x="10220325" y="3200400"/>
              <a:ext cx="1809750" cy="9525"/>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xnSp macro="">
          <xdr:nvCxnSpPr>
            <xdr:cNvPr id="889202" name="Straight Arrow Connector 313">
              <a:extLst>
                <a:ext uri="{FF2B5EF4-FFF2-40B4-BE49-F238E27FC236}">
                  <a16:creationId xmlns="" xmlns:a16="http://schemas.microsoft.com/office/drawing/2014/main" id="{00000000-0008-0000-2700-000072910D00}"/>
                </a:ext>
              </a:extLst>
            </xdr:cNvPr>
            <xdr:cNvCxnSpPr>
              <a:cxnSpLocks noChangeShapeType="1"/>
            </xdr:cNvCxnSpPr>
          </xdr:nvCxnSpPr>
          <xdr:spPr bwMode="auto">
            <a:xfrm rot="5400000">
              <a:off x="9644063" y="3786187"/>
              <a:ext cx="695325" cy="1588"/>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339" name="Text Box 530">
              <a:extLst>
                <a:ext uri="{FF2B5EF4-FFF2-40B4-BE49-F238E27FC236}">
                  <a16:creationId xmlns="" xmlns:a16="http://schemas.microsoft.com/office/drawing/2014/main" id="{00000000-0008-0000-2700-000053010000}"/>
                </a:ext>
              </a:extLst>
            </xdr:cNvPr>
            <xdr:cNvSpPr txBox="1">
              <a:spLocks noChangeArrowheads="1"/>
            </xdr:cNvSpPr>
          </xdr:nvSpPr>
          <xdr:spPr bwMode="auto">
            <a:xfrm>
              <a:off x="9762156" y="2533650"/>
              <a:ext cx="2934669" cy="395261"/>
            </a:xfrm>
            <a:prstGeom prst="rect">
              <a:avLst/>
            </a:prstGeom>
            <a:noFill/>
            <a:ln w="9525">
              <a:noFill/>
              <a:miter lim="800000"/>
              <a:headEnd/>
              <a:tailEnd/>
            </a:ln>
          </xdr:spPr>
          <xdr:txBody>
            <a:bodyPr vertOverflow="clip" wrap="square" lIns="27432" tIns="22860" rIns="0" bIns="0" anchor="ctr" upright="1"/>
            <a:lstStyle/>
            <a:p>
              <a:pPr algn="l" rtl="0">
                <a:defRPr sz="1000"/>
              </a:pPr>
              <a:r>
                <a:rPr lang="fr-FR" sz="1200" b="1" i="0" strike="noStrike">
                  <a:solidFill>
                    <a:srgbClr val="000000"/>
                  </a:solidFill>
                  <a:latin typeface="Arial"/>
                  <a:cs typeface="Arial"/>
                </a:rPr>
                <a:t>Détails</a:t>
              </a:r>
              <a:r>
                <a:rPr lang="fr-FR" sz="1200" b="1" i="0" strike="noStrike" baseline="0">
                  <a:solidFill>
                    <a:srgbClr val="000000"/>
                  </a:solidFill>
                  <a:latin typeface="Arial"/>
                  <a:cs typeface="Arial"/>
                </a:rPr>
                <a:t> </a:t>
              </a:r>
              <a:r>
                <a:rPr lang="fr-FR" sz="1200" b="1" i="0" strike="noStrike">
                  <a:solidFill>
                    <a:srgbClr val="000000"/>
                  </a:solidFill>
                  <a:latin typeface="Arial"/>
                  <a:cs typeface="Arial"/>
                </a:rPr>
                <a:t>dalots amovibles </a:t>
              </a:r>
            </a:p>
          </xdr:txBody>
        </xdr:sp>
        <xdr:sp macro="" textlink="">
          <xdr:nvSpPr>
            <xdr:cNvPr id="340" name="TextBox 332">
              <a:extLst>
                <a:ext uri="{FF2B5EF4-FFF2-40B4-BE49-F238E27FC236}">
                  <a16:creationId xmlns="" xmlns:a16="http://schemas.microsoft.com/office/drawing/2014/main" id="{00000000-0008-0000-2700-000054010000}"/>
                </a:ext>
              </a:extLst>
            </xdr:cNvPr>
            <xdr:cNvSpPr txBox="1"/>
          </xdr:nvSpPr>
          <xdr:spPr>
            <a:xfrm>
              <a:off x="9553576" y="3552206"/>
              <a:ext cx="552979" cy="570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30 ou 35cm</a:t>
              </a:r>
            </a:p>
          </xdr:txBody>
        </xdr:sp>
        <xdr:sp macro="" textlink="">
          <xdr:nvSpPr>
            <xdr:cNvPr id="341" name="Rectangle 340">
              <a:extLst>
                <a:ext uri="{FF2B5EF4-FFF2-40B4-BE49-F238E27FC236}">
                  <a16:creationId xmlns="" xmlns:a16="http://schemas.microsoft.com/office/drawing/2014/main" id="{00000000-0008-0000-2700-000055010000}"/>
                </a:ext>
              </a:extLst>
            </xdr:cNvPr>
            <xdr:cNvSpPr/>
          </xdr:nvSpPr>
          <xdr:spPr bwMode="auto">
            <a:xfrm>
              <a:off x="10518864" y="3628218"/>
              <a:ext cx="29104" cy="25844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342" name="Rectangle 341">
              <a:extLst>
                <a:ext uri="{FF2B5EF4-FFF2-40B4-BE49-F238E27FC236}">
                  <a16:creationId xmlns="" xmlns:a16="http://schemas.microsoft.com/office/drawing/2014/main" id="{00000000-0008-0000-2700-000056010000}"/>
                </a:ext>
              </a:extLst>
            </xdr:cNvPr>
            <xdr:cNvSpPr/>
          </xdr:nvSpPr>
          <xdr:spPr bwMode="auto">
            <a:xfrm>
              <a:off x="11702433" y="3643420"/>
              <a:ext cx="29104" cy="273642"/>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343" name="TextBox 328">
              <a:extLst>
                <a:ext uri="{FF2B5EF4-FFF2-40B4-BE49-F238E27FC236}">
                  <a16:creationId xmlns="" xmlns:a16="http://schemas.microsoft.com/office/drawing/2014/main" id="{00000000-0008-0000-2700-000057010000}"/>
                </a:ext>
              </a:extLst>
            </xdr:cNvPr>
            <xdr:cNvSpPr txBox="1"/>
          </xdr:nvSpPr>
          <xdr:spPr>
            <a:xfrm>
              <a:off x="10339388" y="4433942"/>
              <a:ext cx="1823861" cy="6080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GB" sz="1000" b="1"/>
                <a:t>Crochets sur dalots amovibles avec des fers de 8mm</a:t>
              </a:r>
            </a:p>
          </xdr:txBody>
        </xdr:sp>
      </xdr:grpSp>
      <xdr:cxnSp macro="">
        <xdr:nvCxnSpPr>
          <xdr:cNvPr id="334" name="Connecteur droit avec flèche 333">
            <a:extLst>
              <a:ext uri="{FF2B5EF4-FFF2-40B4-BE49-F238E27FC236}">
                <a16:creationId xmlns="" xmlns:a16="http://schemas.microsoft.com/office/drawing/2014/main" id="{00000000-0008-0000-2700-00004E010000}"/>
              </a:ext>
            </a:extLst>
          </xdr:cNvPr>
          <xdr:cNvCxnSpPr>
            <a:stCxn id="341" idx="3"/>
          </xdr:cNvCxnSpPr>
        </xdr:nvCxnSpPr>
        <xdr:spPr>
          <a:xfrm>
            <a:off x="10195543" y="2087707"/>
            <a:ext cx="470517" cy="606829"/>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335" name="Connecteur droit avec flèche 334">
            <a:extLst>
              <a:ext uri="{FF2B5EF4-FFF2-40B4-BE49-F238E27FC236}">
                <a16:creationId xmlns="" xmlns:a16="http://schemas.microsoft.com/office/drawing/2014/main" id="{00000000-0008-0000-2700-00004F010000}"/>
              </a:ext>
            </a:extLst>
          </xdr:cNvPr>
          <xdr:cNvCxnSpPr>
            <a:stCxn id="342" idx="3"/>
          </xdr:cNvCxnSpPr>
        </xdr:nvCxnSpPr>
        <xdr:spPr>
          <a:xfrm flipH="1">
            <a:off x="10763074" y="2112991"/>
            <a:ext cx="611187" cy="625793"/>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56</xdr:col>
      <xdr:colOff>60960</xdr:colOff>
      <xdr:row>35</xdr:row>
      <xdr:rowOff>0</xdr:rowOff>
    </xdr:from>
    <xdr:to>
      <xdr:col>73</xdr:col>
      <xdr:colOff>81973</xdr:colOff>
      <xdr:row>41</xdr:row>
      <xdr:rowOff>9636</xdr:rowOff>
    </xdr:to>
    <xdr:sp macro="" textlink="">
      <xdr:nvSpPr>
        <xdr:cNvPr id="344" name="ZoneTexte 343">
          <a:extLst>
            <a:ext uri="{FF2B5EF4-FFF2-40B4-BE49-F238E27FC236}">
              <a16:creationId xmlns="" xmlns:a16="http://schemas.microsoft.com/office/drawing/2014/main" id="{00000000-0008-0000-2700-000058010000}"/>
            </a:ext>
          </a:extLst>
        </xdr:cNvPr>
        <xdr:cNvSpPr txBox="1"/>
      </xdr:nvSpPr>
      <xdr:spPr>
        <a:xfrm>
          <a:off x="6562725" y="3524250"/>
          <a:ext cx="1981200" cy="581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DETAILS DU TROU DE DEFECATION ET DISPOSITION DES POSE PIEDS</a:t>
          </a:r>
        </a:p>
      </xdr:txBody>
    </xdr:sp>
    <xdr:clientData/>
  </xdr:twoCellAnchor>
  <xdr:twoCellAnchor>
    <xdr:from>
      <xdr:col>100</xdr:col>
      <xdr:colOff>57150</xdr:colOff>
      <xdr:row>51</xdr:row>
      <xdr:rowOff>19050</xdr:rowOff>
    </xdr:from>
    <xdr:to>
      <xdr:col>101</xdr:col>
      <xdr:colOff>63500</xdr:colOff>
      <xdr:row>87</xdr:row>
      <xdr:rowOff>19050</xdr:rowOff>
    </xdr:to>
    <xdr:sp macro="" textlink="">
      <xdr:nvSpPr>
        <xdr:cNvPr id="889150" name="Rectangle 343">
          <a:extLst>
            <a:ext uri="{FF2B5EF4-FFF2-40B4-BE49-F238E27FC236}">
              <a16:creationId xmlns="" xmlns:a16="http://schemas.microsoft.com/office/drawing/2014/main" id="{00000000-0008-0000-2700-00003E910D00}"/>
            </a:ext>
          </a:extLst>
        </xdr:cNvPr>
        <xdr:cNvSpPr>
          <a:spLocks noChangeArrowheads="1"/>
        </xdr:cNvSpPr>
      </xdr:nvSpPr>
      <xdr:spPr bwMode="auto">
        <a:xfrm>
          <a:off x="11487150" y="5067300"/>
          <a:ext cx="120650" cy="342900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100</xdr:col>
      <xdr:colOff>38100</xdr:colOff>
      <xdr:row>48</xdr:row>
      <xdr:rowOff>57150</xdr:rowOff>
    </xdr:from>
    <xdr:to>
      <xdr:col>101</xdr:col>
      <xdr:colOff>88900</xdr:colOff>
      <xdr:row>51</xdr:row>
      <xdr:rowOff>31750</xdr:rowOff>
    </xdr:to>
    <xdr:sp macro="" textlink="">
      <xdr:nvSpPr>
        <xdr:cNvPr id="889151" name="Rectangle 354" descr="Outlined diamond">
          <a:extLst>
            <a:ext uri="{FF2B5EF4-FFF2-40B4-BE49-F238E27FC236}">
              <a16:creationId xmlns="" xmlns:a16="http://schemas.microsoft.com/office/drawing/2014/main" id="{00000000-0008-0000-2700-00003F910D00}"/>
            </a:ext>
          </a:extLst>
        </xdr:cNvPr>
        <xdr:cNvSpPr>
          <a:spLocks noChangeArrowheads="1"/>
        </xdr:cNvSpPr>
      </xdr:nvSpPr>
      <xdr:spPr bwMode="auto">
        <a:xfrm flipV="1">
          <a:off x="11468100" y="4819650"/>
          <a:ext cx="165100" cy="260350"/>
        </a:xfrm>
        <a:prstGeom prst="rect">
          <a:avLst/>
        </a:prstGeom>
        <a:blipFill dpi="0" rotWithShape="0">
          <a:blip xmlns:r="http://schemas.openxmlformats.org/officeDocument/2006/relationships" r:embed="rId2"/>
          <a:srcRect/>
          <a:tile tx="0" ty="0" sx="100000" sy="100000" flip="none" algn="tl"/>
        </a:blipFill>
        <a:ln w="9525">
          <a:solidFill>
            <a:srgbClr val="000000"/>
          </a:solidFill>
          <a:miter lim="800000"/>
          <a:headEnd/>
          <a:tailEnd/>
        </a:ln>
      </xdr:spPr>
    </xdr:sp>
    <xdr:clientData/>
  </xdr:twoCellAnchor>
  <xdr:twoCellAnchor>
    <xdr:from>
      <xdr:col>76</xdr:col>
      <xdr:colOff>58556</xdr:colOff>
      <xdr:row>59</xdr:row>
      <xdr:rowOff>13667</xdr:rowOff>
    </xdr:from>
    <xdr:to>
      <xdr:col>103</xdr:col>
      <xdr:colOff>75602</xdr:colOff>
      <xdr:row>60</xdr:row>
      <xdr:rowOff>2151</xdr:rowOff>
    </xdr:to>
    <xdr:sp macro="" textlink="">
      <xdr:nvSpPr>
        <xdr:cNvPr id="347" name="Rectangle 346">
          <a:extLst>
            <a:ext uri="{FF2B5EF4-FFF2-40B4-BE49-F238E27FC236}">
              <a16:creationId xmlns="" xmlns:a16="http://schemas.microsoft.com/office/drawing/2014/main" id="{00000000-0008-0000-2700-00005B010000}"/>
            </a:ext>
          </a:extLst>
        </xdr:cNvPr>
        <xdr:cNvSpPr/>
      </xdr:nvSpPr>
      <xdr:spPr>
        <a:xfrm rot="20587666">
          <a:off x="8871721" y="5839792"/>
          <a:ext cx="3102420" cy="73337"/>
        </a:xfrm>
        <a:prstGeom prst="rect">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solidFill>
              <a:srgbClr val="00B0F0"/>
            </a:solidFill>
          </a:endParaRPr>
        </a:p>
      </xdr:txBody>
    </xdr:sp>
    <xdr:clientData/>
  </xdr:twoCellAnchor>
  <xdr:twoCellAnchor>
    <xdr:from>
      <xdr:col>61</xdr:col>
      <xdr:colOff>80058</xdr:colOff>
      <xdr:row>148</xdr:row>
      <xdr:rowOff>60042</xdr:rowOff>
    </xdr:from>
    <xdr:to>
      <xdr:col>86</xdr:col>
      <xdr:colOff>57736</xdr:colOff>
      <xdr:row>150</xdr:row>
      <xdr:rowOff>32686</xdr:rowOff>
    </xdr:to>
    <xdr:sp macro="" textlink="">
      <xdr:nvSpPr>
        <xdr:cNvPr id="348" name="Triangle rectangle 347">
          <a:extLst>
            <a:ext uri="{FF2B5EF4-FFF2-40B4-BE49-F238E27FC236}">
              <a16:creationId xmlns="" xmlns:a16="http://schemas.microsoft.com/office/drawing/2014/main" id="{00000000-0008-0000-2700-00005C010000}"/>
            </a:ext>
          </a:extLst>
        </xdr:cNvPr>
        <xdr:cNvSpPr/>
      </xdr:nvSpPr>
      <xdr:spPr>
        <a:xfrm rot="10896056" flipV="1">
          <a:off x="7169833" y="14324682"/>
          <a:ext cx="2834490" cy="180434"/>
        </a:xfrm>
        <a:prstGeom prst="rtTriangle">
          <a:avLst/>
        </a:prstGeom>
        <a:blipFill>
          <a:blip xmlns:r="http://schemas.openxmlformats.org/officeDocument/2006/relationships" r:embed="rId10" cstate="print"/>
          <a:tile tx="0" ty="0" sx="100000" sy="100000" flip="none" algn="tl"/>
        </a:blip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86</xdr:col>
      <xdr:colOff>50800</xdr:colOff>
      <xdr:row>139</xdr:row>
      <xdr:rowOff>31750</xdr:rowOff>
    </xdr:from>
    <xdr:to>
      <xdr:col>86</xdr:col>
      <xdr:colOff>88900</xdr:colOff>
      <xdr:row>148</xdr:row>
      <xdr:rowOff>76200</xdr:rowOff>
    </xdr:to>
    <xdr:sp macro="" textlink="">
      <xdr:nvSpPr>
        <xdr:cNvPr id="889154" name="Rectangle 343">
          <a:extLst>
            <a:ext uri="{FF2B5EF4-FFF2-40B4-BE49-F238E27FC236}">
              <a16:creationId xmlns="" xmlns:a16="http://schemas.microsoft.com/office/drawing/2014/main" id="{00000000-0008-0000-2700-000042910D00}"/>
            </a:ext>
          </a:extLst>
        </xdr:cNvPr>
        <xdr:cNvSpPr>
          <a:spLocks noChangeArrowheads="1"/>
        </xdr:cNvSpPr>
      </xdr:nvSpPr>
      <xdr:spPr bwMode="auto">
        <a:xfrm rot="312004" flipH="1">
          <a:off x="9880600" y="13462000"/>
          <a:ext cx="38100" cy="90170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61</xdr:col>
      <xdr:colOff>63500</xdr:colOff>
      <xdr:row>140</xdr:row>
      <xdr:rowOff>38100</xdr:rowOff>
    </xdr:from>
    <xdr:to>
      <xdr:col>87</xdr:col>
      <xdr:colOff>19050</xdr:colOff>
      <xdr:row>141</xdr:row>
      <xdr:rowOff>12700</xdr:rowOff>
    </xdr:to>
    <xdr:sp macro="" textlink="">
      <xdr:nvSpPr>
        <xdr:cNvPr id="889155" name="Rectangle 343">
          <a:extLst>
            <a:ext uri="{FF2B5EF4-FFF2-40B4-BE49-F238E27FC236}">
              <a16:creationId xmlns="" xmlns:a16="http://schemas.microsoft.com/office/drawing/2014/main" id="{00000000-0008-0000-2700-000043910D00}"/>
            </a:ext>
          </a:extLst>
        </xdr:cNvPr>
        <xdr:cNvSpPr>
          <a:spLocks noChangeArrowheads="1"/>
        </xdr:cNvSpPr>
      </xdr:nvSpPr>
      <xdr:spPr bwMode="auto">
        <a:xfrm rot="5193714">
          <a:off x="8464550" y="12134850"/>
          <a:ext cx="69850" cy="292735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61</xdr:col>
      <xdr:colOff>38100</xdr:colOff>
      <xdr:row>141</xdr:row>
      <xdr:rowOff>57150</xdr:rowOff>
    </xdr:from>
    <xdr:to>
      <xdr:col>61</xdr:col>
      <xdr:colOff>76200</xdr:colOff>
      <xdr:row>150</xdr:row>
      <xdr:rowOff>0</xdr:rowOff>
    </xdr:to>
    <xdr:sp macro="" textlink="">
      <xdr:nvSpPr>
        <xdr:cNvPr id="889156" name="Rectangle 343">
          <a:extLst>
            <a:ext uri="{FF2B5EF4-FFF2-40B4-BE49-F238E27FC236}">
              <a16:creationId xmlns="" xmlns:a16="http://schemas.microsoft.com/office/drawing/2014/main" id="{00000000-0008-0000-2700-000044910D00}"/>
            </a:ext>
          </a:extLst>
        </xdr:cNvPr>
        <xdr:cNvSpPr>
          <a:spLocks noChangeArrowheads="1"/>
        </xdr:cNvSpPr>
      </xdr:nvSpPr>
      <xdr:spPr bwMode="auto">
        <a:xfrm rot="312004">
          <a:off x="7010400" y="13677900"/>
          <a:ext cx="38100" cy="80010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80</xdr:col>
      <xdr:colOff>50800</xdr:colOff>
      <xdr:row>139</xdr:row>
      <xdr:rowOff>63500</xdr:rowOff>
    </xdr:from>
    <xdr:to>
      <xdr:col>80</xdr:col>
      <xdr:colOff>88900</xdr:colOff>
      <xdr:row>149</xdr:row>
      <xdr:rowOff>12700</xdr:rowOff>
    </xdr:to>
    <xdr:sp macro="" textlink="">
      <xdr:nvSpPr>
        <xdr:cNvPr id="889157" name="Rectangle 343">
          <a:extLst>
            <a:ext uri="{FF2B5EF4-FFF2-40B4-BE49-F238E27FC236}">
              <a16:creationId xmlns="" xmlns:a16="http://schemas.microsoft.com/office/drawing/2014/main" id="{00000000-0008-0000-2700-000045910D00}"/>
            </a:ext>
          </a:extLst>
        </xdr:cNvPr>
        <xdr:cNvSpPr>
          <a:spLocks noChangeArrowheads="1"/>
        </xdr:cNvSpPr>
      </xdr:nvSpPr>
      <xdr:spPr bwMode="auto">
        <a:xfrm rot="312004" flipH="1">
          <a:off x="9194800" y="13493750"/>
          <a:ext cx="38100" cy="90170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74</xdr:col>
      <xdr:colOff>38100</xdr:colOff>
      <xdr:row>140</xdr:row>
      <xdr:rowOff>31750</xdr:rowOff>
    </xdr:from>
    <xdr:to>
      <xdr:col>74</xdr:col>
      <xdr:colOff>76200</xdr:colOff>
      <xdr:row>149</xdr:row>
      <xdr:rowOff>19050</xdr:rowOff>
    </xdr:to>
    <xdr:sp macro="" textlink="">
      <xdr:nvSpPr>
        <xdr:cNvPr id="889158" name="Rectangle 343">
          <a:extLst>
            <a:ext uri="{FF2B5EF4-FFF2-40B4-BE49-F238E27FC236}">
              <a16:creationId xmlns="" xmlns:a16="http://schemas.microsoft.com/office/drawing/2014/main" id="{00000000-0008-0000-2700-000046910D00}"/>
            </a:ext>
          </a:extLst>
        </xdr:cNvPr>
        <xdr:cNvSpPr>
          <a:spLocks noChangeArrowheads="1"/>
        </xdr:cNvSpPr>
      </xdr:nvSpPr>
      <xdr:spPr bwMode="auto">
        <a:xfrm rot="312004" flipH="1">
          <a:off x="8496300" y="13557250"/>
          <a:ext cx="38100" cy="84455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67</xdr:col>
      <xdr:colOff>57150</xdr:colOff>
      <xdr:row>140</xdr:row>
      <xdr:rowOff>57150</xdr:rowOff>
    </xdr:from>
    <xdr:to>
      <xdr:col>68</xdr:col>
      <xdr:colOff>6350</xdr:colOff>
      <xdr:row>149</xdr:row>
      <xdr:rowOff>57150</xdr:rowOff>
    </xdr:to>
    <xdr:sp macro="" textlink="">
      <xdr:nvSpPr>
        <xdr:cNvPr id="889159" name="Rectangle 343">
          <a:extLst>
            <a:ext uri="{FF2B5EF4-FFF2-40B4-BE49-F238E27FC236}">
              <a16:creationId xmlns="" xmlns:a16="http://schemas.microsoft.com/office/drawing/2014/main" id="{00000000-0008-0000-2700-000047910D00}"/>
            </a:ext>
          </a:extLst>
        </xdr:cNvPr>
        <xdr:cNvSpPr>
          <a:spLocks noChangeArrowheads="1"/>
        </xdr:cNvSpPr>
      </xdr:nvSpPr>
      <xdr:spPr bwMode="auto">
        <a:xfrm rot="312004" flipH="1">
          <a:off x="7715250" y="13582650"/>
          <a:ext cx="63500" cy="85725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61</xdr:col>
      <xdr:colOff>50800</xdr:colOff>
      <xdr:row>144</xdr:row>
      <xdr:rowOff>19050</xdr:rowOff>
    </xdr:from>
    <xdr:to>
      <xdr:col>87</xdr:col>
      <xdr:colOff>6350</xdr:colOff>
      <xdr:row>144</xdr:row>
      <xdr:rowOff>63500</xdr:rowOff>
    </xdr:to>
    <xdr:sp macro="" textlink="">
      <xdr:nvSpPr>
        <xdr:cNvPr id="889160" name="Rectangle 343">
          <a:extLst>
            <a:ext uri="{FF2B5EF4-FFF2-40B4-BE49-F238E27FC236}">
              <a16:creationId xmlns="" xmlns:a16="http://schemas.microsoft.com/office/drawing/2014/main" id="{00000000-0008-0000-2700-000048910D00}"/>
            </a:ext>
          </a:extLst>
        </xdr:cNvPr>
        <xdr:cNvSpPr>
          <a:spLocks noChangeArrowheads="1"/>
        </xdr:cNvSpPr>
      </xdr:nvSpPr>
      <xdr:spPr bwMode="auto">
        <a:xfrm rot="5193714">
          <a:off x="8464550" y="12484100"/>
          <a:ext cx="44450" cy="292735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86</xdr:col>
      <xdr:colOff>76200</xdr:colOff>
      <xdr:row>139</xdr:row>
      <xdr:rowOff>31750</xdr:rowOff>
    </xdr:from>
    <xdr:to>
      <xdr:col>97</xdr:col>
      <xdr:colOff>76200</xdr:colOff>
      <xdr:row>140</xdr:row>
      <xdr:rowOff>19050</xdr:rowOff>
    </xdr:to>
    <xdr:sp macro="" textlink="">
      <xdr:nvSpPr>
        <xdr:cNvPr id="889161" name="Rectangle 343">
          <a:extLst>
            <a:ext uri="{FF2B5EF4-FFF2-40B4-BE49-F238E27FC236}">
              <a16:creationId xmlns="" xmlns:a16="http://schemas.microsoft.com/office/drawing/2014/main" id="{00000000-0008-0000-2700-000049910D00}"/>
            </a:ext>
          </a:extLst>
        </xdr:cNvPr>
        <xdr:cNvSpPr>
          <a:spLocks noChangeArrowheads="1"/>
        </xdr:cNvSpPr>
      </xdr:nvSpPr>
      <xdr:spPr bwMode="auto">
        <a:xfrm rot="5400000">
          <a:off x="10493375" y="12874625"/>
          <a:ext cx="82550" cy="125730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97</xdr:col>
      <xdr:colOff>31750</xdr:colOff>
      <xdr:row>139</xdr:row>
      <xdr:rowOff>38100</xdr:rowOff>
    </xdr:from>
    <xdr:to>
      <xdr:col>97</xdr:col>
      <xdr:colOff>63500</xdr:colOff>
      <xdr:row>149</xdr:row>
      <xdr:rowOff>12700</xdr:rowOff>
    </xdr:to>
    <xdr:sp macro="" textlink="">
      <xdr:nvSpPr>
        <xdr:cNvPr id="889162" name="Rectangle 343">
          <a:extLst>
            <a:ext uri="{FF2B5EF4-FFF2-40B4-BE49-F238E27FC236}">
              <a16:creationId xmlns="" xmlns:a16="http://schemas.microsoft.com/office/drawing/2014/main" id="{00000000-0008-0000-2700-00004A910D00}"/>
            </a:ext>
          </a:extLst>
        </xdr:cNvPr>
        <xdr:cNvSpPr>
          <a:spLocks noChangeArrowheads="1"/>
        </xdr:cNvSpPr>
      </xdr:nvSpPr>
      <xdr:spPr bwMode="auto">
        <a:xfrm rot="312004" flipH="1">
          <a:off x="11118850" y="13468350"/>
          <a:ext cx="31750" cy="92710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94</xdr:col>
      <xdr:colOff>6350</xdr:colOff>
      <xdr:row>139</xdr:row>
      <xdr:rowOff>50800</xdr:rowOff>
    </xdr:from>
    <xdr:to>
      <xdr:col>94</xdr:col>
      <xdr:colOff>50800</xdr:colOff>
      <xdr:row>149</xdr:row>
      <xdr:rowOff>19050</xdr:rowOff>
    </xdr:to>
    <xdr:sp macro="" textlink="">
      <xdr:nvSpPr>
        <xdr:cNvPr id="889163" name="Rectangle 343">
          <a:extLst>
            <a:ext uri="{FF2B5EF4-FFF2-40B4-BE49-F238E27FC236}">
              <a16:creationId xmlns="" xmlns:a16="http://schemas.microsoft.com/office/drawing/2014/main" id="{00000000-0008-0000-2700-00004B910D00}"/>
            </a:ext>
          </a:extLst>
        </xdr:cNvPr>
        <xdr:cNvSpPr>
          <a:spLocks noChangeArrowheads="1"/>
        </xdr:cNvSpPr>
      </xdr:nvSpPr>
      <xdr:spPr bwMode="auto">
        <a:xfrm rot="312004" flipH="1">
          <a:off x="10750550" y="13481050"/>
          <a:ext cx="44450" cy="92075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89</xdr:col>
      <xdr:colOff>50800</xdr:colOff>
      <xdr:row>139</xdr:row>
      <xdr:rowOff>50800</xdr:rowOff>
    </xdr:from>
    <xdr:to>
      <xdr:col>89</xdr:col>
      <xdr:colOff>88900</xdr:colOff>
      <xdr:row>149</xdr:row>
      <xdr:rowOff>19050</xdr:rowOff>
    </xdr:to>
    <xdr:sp macro="" textlink="">
      <xdr:nvSpPr>
        <xdr:cNvPr id="889164" name="Rectangle 343">
          <a:extLst>
            <a:ext uri="{FF2B5EF4-FFF2-40B4-BE49-F238E27FC236}">
              <a16:creationId xmlns="" xmlns:a16="http://schemas.microsoft.com/office/drawing/2014/main" id="{00000000-0008-0000-2700-00004C910D00}"/>
            </a:ext>
          </a:extLst>
        </xdr:cNvPr>
        <xdr:cNvSpPr>
          <a:spLocks noChangeArrowheads="1"/>
        </xdr:cNvSpPr>
      </xdr:nvSpPr>
      <xdr:spPr bwMode="auto">
        <a:xfrm rot="312004" flipH="1">
          <a:off x="10223500" y="13481050"/>
          <a:ext cx="38100" cy="92075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86</xdr:col>
      <xdr:colOff>38100</xdr:colOff>
      <xdr:row>143</xdr:row>
      <xdr:rowOff>0</xdr:rowOff>
    </xdr:from>
    <xdr:to>
      <xdr:col>97</xdr:col>
      <xdr:colOff>38100</xdr:colOff>
      <xdr:row>143</xdr:row>
      <xdr:rowOff>63500</xdr:rowOff>
    </xdr:to>
    <xdr:sp macro="" textlink="">
      <xdr:nvSpPr>
        <xdr:cNvPr id="889165" name="Rectangle 343">
          <a:extLst>
            <a:ext uri="{FF2B5EF4-FFF2-40B4-BE49-F238E27FC236}">
              <a16:creationId xmlns="" xmlns:a16="http://schemas.microsoft.com/office/drawing/2014/main" id="{00000000-0008-0000-2700-00004D910D00}"/>
            </a:ext>
          </a:extLst>
        </xdr:cNvPr>
        <xdr:cNvSpPr>
          <a:spLocks noChangeArrowheads="1"/>
        </xdr:cNvSpPr>
      </xdr:nvSpPr>
      <xdr:spPr bwMode="auto">
        <a:xfrm rot="5400000">
          <a:off x="10464800" y="13214350"/>
          <a:ext cx="63500" cy="125730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86</xdr:col>
      <xdr:colOff>57784</xdr:colOff>
      <xdr:row>148</xdr:row>
      <xdr:rowOff>47626</xdr:rowOff>
    </xdr:from>
    <xdr:to>
      <xdr:col>97</xdr:col>
      <xdr:colOff>61103</xdr:colOff>
      <xdr:row>150</xdr:row>
      <xdr:rowOff>47625</xdr:rowOff>
    </xdr:to>
    <xdr:sp macro="" textlink="">
      <xdr:nvSpPr>
        <xdr:cNvPr id="361" name="Rectangle 360">
          <a:extLst>
            <a:ext uri="{FF2B5EF4-FFF2-40B4-BE49-F238E27FC236}">
              <a16:creationId xmlns="" xmlns:a16="http://schemas.microsoft.com/office/drawing/2014/main" id="{00000000-0008-0000-2700-000069010000}"/>
            </a:ext>
          </a:extLst>
        </xdr:cNvPr>
        <xdr:cNvSpPr/>
      </xdr:nvSpPr>
      <xdr:spPr>
        <a:xfrm>
          <a:off x="10010774" y="14354176"/>
          <a:ext cx="1238251" cy="190499"/>
        </a:xfrm>
        <a:prstGeom prst="rect">
          <a:avLst/>
        </a:prstGeom>
        <a:blipFill>
          <a:blip xmlns:r="http://schemas.openxmlformats.org/officeDocument/2006/relationships" r:embed="rId10" cstate="print"/>
          <a:tile tx="0" ty="0" sx="100000" sy="100000" flip="none" algn="tl"/>
        </a:blip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8</xdr:col>
      <xdr:colOff>63500</xdr:colOff>
      <xdr:row>131</xdr:row>
      <xdr:rowOff>57150</xdr:rowOff>
    </xdr:from>
    <xdr:to>
      <xdr:col>9</xdr:col>
      <xdr:colOff>57150</xdr:colOff>
      <xdr:row>140</xdr:row>
      <xdr:rowOff>19050</xdr:rowOff>
    </xdr:to>
    <xdr:sp macro="" textlink="">
      <xdr:nvSpPr>
        <xdr:cNvPr id="889167" name="Rectangle 343">
          <a:extLst>
            <a:ext uri="{FF2B5EF4-FFF2-40B4-BE49-F238E27FC236}">
              <a16:creationId xmlns="" xmlns:a16="http://schemas.microsoft.com/office/drawing/2014/main" id="{00000000-0008-0000-2700-00004F910D00}"/>
            </a:ext>
          </a:extLst>
        </xdr:cNvPr>
        <xdr:cNvSpPr>
          <a:spLocks noChangeArrowheads="1"/>
        </xdr:cNvSpPr>
      </xdr:nvSpPr>
      <xdr:spPr bwMode="auto">
        <a:xfrm>
          <a:off x="977900" y="12725400"/>
          <a:ext cx="107950" cy="81915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26</xdr:col>
      <xdr:colOff>57785</xdr:colOff>
      <xdr:row>132</xdr:row>
      <xdr:rowOff>61595</xdr:rowOff>
    </xdr:from>
    <xdr:to>
      <xdr:col>27</xdr:col>
      <xdr:colOff>55750</xdr:colOff>
      <xdr:row>133</xdr:row>
      <xdr:rowOff>60512</xdr:rowOff>
    </xdr:to>
    <xdr:sp macro="" textlink="">
      <xdr:nvSpPr>
        <xdr:cNvPr id="363" name="Ellipse 362">
          <a:extLst>
            <a:ext uri="{FF2B5EF4-FFF2-40B4-BE49-F238E27FC236}">
              <a16:creationId xmlns="" xmlns:a16="http://schemas.microsoft.com/office/drawing/2014/main" id="{00000000-0008-0000-2700-00006B010000}"/>
            </a:ext>
          </a:extLst>
        </xdr:cNvPr>
        <xdr:cNvSpPr/>
      </xdr:nvSpPr>
      <xdr:spPr>
        <a:xfrm>
          <a:off x="3162300" y="12782550"/>
          <a:ext cx="85725" cy="123825"/>
        </a:xfrm>
        <a:prstGeom prst="ellipse">
          <a:avLst/>
        </a:prstGeom>
        <a:solidFill>
          <a:schemeClr val="bg2">
            <a:lumMod val="75000"/>
          </a:schemeClr>
        </a:solidFill>
        <a:ln>
          <a:solidFill>
            <a:schemeClr val="bg2">
              <a:lumMod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26</xdr:col>
      <xdr:colOff>94615</xdr:colOff>
      <xdr:row>132</xdr:row>
      <xdr:rowOff>57785</xdr:rowOff>
    </xdr:from>
    <xdr:to>
      <xdr:col>28</xdr:col>
      <xdr:colOff>114202</xdr:colOff>
      <xdr:row>133</xdr:row>
      <xdr:rowOff>10543</xdr:rowOff>
    </xdr:to>
    <xdr:sp macro="" textlink="">
      <xdr:nvSpPr>
        <xdr:cNvPr id="364" name="Rectangle 363">
          <a:extLst>
            <a:ext uri="{FF2B5EF4-FFF2-40B4-BE49-F238E27FC236}">
              <a16:creationId xmlns="" xmlns:a16="http://schemas.microsoft.com/office/drawing/2014/main" id="{00000000-0008-0000-2700-00006C010000}"/>
            </a:ext>
          </a:extLst>
        </xdr:cNvPr>
        <xdr:cNvSpPr/>
      </xdr:nvSpPr>
      <xdr:spPr>
        <a:xfrm>
          <a:off x="3190875" y="12820650"/>
          <a:ext cx="238125" cy="47625"/>
        </a:xfrm>
        <a:prstGeom prst="rect">
          <a:avLst/>
        </a:prstGeom>
        <a:solidFill>
          <a:schemeClr val="bg2">
            <a:lumMod val="50000"/>
          </a:schemeClr>
        </a:solidFill>
        <a:ln>
          <a:solidFill>
            <a:schemeClr val="bg2">
              <a:lumMod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24</xdr:col>
      <xdr:colOff>635</xdr:colOff>
      <xdr:row>130</xdr:row>
      <xdr:rowOff>61596</xdr:rowOff>
    </xdr:from>
    <xdr:to>
      <xdr:col>24</xdr:col>
      <xdr:colOff>59370</xdr:colOff>
      <xdr:row>138</xdr:row>
      <xdr:rowOff>61034</xdr:rowOff>
    </xdr:to>
    <xdr:sp macro="" textlink="">
      <xdr:nvSpPr>
        <xdr:cNvPr id="365" name="Rectangle 364">
          <a:extLst>
            <a:ext uri="{FF2B5EF4-FFF2-40B4-BE49-F238E27FC236}">
              <a16:creationId xmlns="" xmlns:a16="http://schemas.microsoft.com/office/drawing/2014/main" id="{00000000-0008-0000-2700-00006D010000}"/>
            </a:ext>
          </a:extLst>
        </xdr:cNvPr>
        <xdr:cNvSpPr/>
      </xdr:nvSpPr>
      <xdr:spPr>
        <a:xfrm>
          <a:off x="2867025" y="12592051"/>
          <a:ext cx="45719" cy="781050"/>
        </a:xfrm>
        <a:prstGeom prst="rect">
          <a:avLst/>
        </a:prstGeom>
        <a:blipFill>
          <a:blip xmlns:r="http://schemas.openxmlformats.org/officeDocument/2006/relationships" r:embed="rId11" cstate="print"/>
          <a:tile tx="0" ty="0" sx="100000" sy="100000" flip="none" algn="tl"/>
        </a:blip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20</xdr:col>
      <xdr:colOff>94615</xdr:colOff>
      <xdr:row>135</xdr:row>
      <xdr:rowOff>60960</xdr:rowOff>
    </xdr:from>
    <xdr:to>
      <xdr:col>23</xdr:col>
      <xdr:colOff>114223</xdr:colOff>
      <xdr:row>135</xdr:row>
      <xdr:rowOff>90838</xdr:rowOff>
    </xdr:to>
    <xdr:sp macro="" textlink="">
      <xdr:nvSpPr>
        <xdr:cNvPr id="366" name="Rectangle 365">
          <a:extLst>
            <a:ext uri="{FF2B5EF4-FFF2-40B4-BE49-F238E27FC236}">
              <a16:creationId xmlns="" xmlns:a16="http://schemas.microsoft.com/office/drawing/2014/main" id="{00000000-0008-0000-2700-00006E010000}"/>
            </a:ext>
          </a:extLst>
        </xdr:cNvPr>
        <xdr:cNvSpPr/>
      </xdr:nvSpPr>
      <xdr:spPr>
        <a:xfrm>
          <a:off x="2505075" y="13096875"/>
          <a:ext cx="352425" cy="45719"/>
        </a:xfrm>
        <a:prstGeom prst="rect">
          <a:avLst/>
        </a:prstGeom>
        <a:blipFill>
          <a:blip xmlns:r="http://schemas.openxmlformats.org/officeDocument/2006/relationships" r:embed="rId11" cstate="print"/>
          <a:tile tx="0" ty="0" sx="100000" sy="100000" flip="none" algn="tl"/>
        </a:blip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21</xdr:col>
      <xdr:colOff>27306</xdr:colOff>
      <xdr:row>136</xdr:row>
      <xdr:rowOff>61595</xdr:rowOff>
    </xdr:from>
    <xdr:to>
      <xdr:col>21</xdr:col>
      <xdr:colOff>61817</xdr:colOff>
      <xdr:row>138</xdr:row>
      <xdr:rowOff>13709</xdr:rowOff>
    </xdr:to>
    <xdr:sp macro="" textlink="">
      <xdr:nvSpPr>
        <xdr:cNvPr id="367" name="Rectangle 366">
          <a:extLst>
            <a:ext uri="{FF2B5EF4-FFF2-40B4-BE49-F238E27FC236}">
              <a16:creationId xmlns="" xmlns:a16="http://schemas.microsoft.com/office/drawing/2014/main" id="{00000000-0008-0000-2700-00006F010000}"/>
            </a:ext>
          </a:extLst>
        </xdr:cNvPr>
        <xdr:cNvSpPr/>
      </xdr:nvSpPr>
      <xdr:spPr>
        <a:xfrm>
          <a:off x="2545081" y="13163550"/>
          <a:ext cx="45719" cy="200025"/>
        </a:xfrm>
        <a:prstGeom prst="rect">
          <a:avLst/>
        </a:prstGeom>
        <a:blipFill>
          <a:blip xmlns:r="http://schemas.openxmlformats.org/officeDocument/2006/relationships" r:embed="rId11" cstate="print"/>
          <a:tile tx="0" ty="0" sx="100000" sy="100000" flip="none" algn="tl"/>
        </a:blip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22</xdr:col>
      <xdr:colOff>57785</xdr:colOff>
      <xdr:row>135</xdr:row>
      <xdr:rowOff>60960</xdr:rowOff>
    </xdr:from>
    <xdr:to>
      <xdr:col>23</xdr:col>
      <xdr:colOff>56052</xdr:colOff>
      <xdr:row>135</xdr:row>
      <xdr:rowOff>79730</xdr:rowOff>
    </xdr:to>
    <xdr:sp macro="" textlink="">
      <xdr:nvSpPr>
        <xdr:cNvPr id="368" name="Rectangle 367">
          <a:extLst>
            <a:ext uri="{FF2B5EF4-FFF2-40B4-BE49-F238E27FC236}">
              <a16:creationId xmlns="" xmlns:a16="http://schemas.microsoft.com/office/drawing/2014/main" id="{00000000-0008-0000-2700-000070010000}"/>
            </a:ext>
          </a:extLst>
        </xdr:cNvPr>
        <xdr:cNvSpPr/>
      </xdr:nvSpPr>
      <xdr:spPr>
        <a:xfrm>
          <a:off x="2686050" y="13096875"/>
          <a:ext cx="76200" cy="47625"/>
        </a:xfrm>
        <a:prstGeom prst="rect">
          <a:avLst/>
        </a:prstGeom>
        <a:solidFill>
          <a:sysClr val="window" lastClr="FFFFFF"/>
        </a:solidFill>
        <a:ln>
          <a:solidFill>
            <a:schemeClr val="bg2">
              <a:lumMod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15</xdr:col>
      <xdr:colOff>0</xdr:colOff>
      <xdr:row>131</xdr:row>
      <xdr:rowOff>38100</xdr:rowOff>
    </xdr:from>
    <xdr:to>
      <xdr:col>15</xdr:col>
      <xdr:colOff>88900</xdr:colOff>
      <xdr:row>140</xdr:row>
      <xdr:rowOff>12700</xdr:rowOff>
    </xdr:to>
    <xdr:sp macro="" textlink="">
      <xdr:nvSpPr>
        <xdr:cNvPr id="889174" name="Rectangle 343">
          <a:extLst>
            <a:ext uri="{FF2B5EF4-FFF2-40B4-BE49-F238E27FC236}">
              <a16:creationId xmlns="" xmlns:a16="http://schemas.microsoft.com/office/drawing/2014/main" id="{00000000-0008-0000-2700-000056910D00}"/>
            </a:ext>
          </a:extLst>
        </xdr:cNvPr>
        <xdr:cNvSpPr>
          <a:spLocks noChangeArrowheads="1"/>
        </xdr:cNvSpPr>
      </xdr:nvSpPr>
      <xdr:spPr bwMode="auto">
        <a:xfrm>
          <a:off x="1714500" y="12706350"/>
          <a:ext cx="88900" cy="83185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8</xdr:col>
      <xdr:colOff>81916</xdr:colOff>
      <xdr:row>143</xdr:row>
      <xdr:rowOff>1</xdr:rowOff>
    </xdr:from>
    <xdr:to>
      <xdr:col>15</xdr:col>
      <xdr:colOff>57840</xdr:colOff>
      <xdr:row>143</xdr:row>
      <xdr:rowOff>8326</xdr:rowOff>
    </xdr:to>
    <xdr:cxnSp macro="">
      <xdr:nvCxnSpPr>
        <xdr:cNvPr id="370" name="Connecteur droit avec flèche 369">
          <a:extLst>
            <a:ext uri="{FF2B5EF4-FFF2-40B4-BE49-F238E27FC236}">
              <a16:creationId xmlns="" xmlns:a16="http://schemas.microsoft.com/office/drawing/2014/main" id="{00000000-0008-0000-2700-000072010000}"/>
            </a:ext>
          </a:extLst>
        </xdr:cNvPr>
        <xdr:cNvCxnSpPr/>
      </xdr:nvCxnSpPr>
      <xdr:spPr>
        <a:xfrm rot="10800000">
          <a:off x="1114426" y="13811251"/>
          <a:ext cx="771525" cy="9525"/>
        </a:xfrm>
        <a:prstGeom prst="straightConnector1">
          <a:avLst/>
        </a:prstGeom>
        <a:ln>
          <a:solidFill>
            <a:schemeClr val="bg2">
              <a:lumMod val="25000"/>
            </a:schemeClr>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6350</xdr:colOff>
      <xdr:row>131</xdr:row>
      <xdr:rowOff>38100</xdr:rowOff>
    </xdr:from>
    <xdr:to>
      <xdr:col>13</xdr:col>
      <xdr:colOff>0</xdr:colOff>
      <xdr:row>140</xdr:row>
      <xdr:rowOff>12700</xdr:rowOff>
    </xdr:to>
    <xdr:sp macro="" textlink="">
      <xdr:nvSpPr>
        <xdr:cNvPr id="889176" name="Rectangle 343">
          <a:extLst>
            <a:ext uri="{FF2B5EF4-FFF2-40B4-BE49-F238E27FC236}">
              <a16:creationId xmlns="" xmlns:a16="http://schemas.microsoft.com/office/drawing/2014/main" id="{00000000-0008-0000-2700-000058910D00}"/>
            </a:ext>
          </a:extLst>
        </xdr:cNvPr>
        <xdr:cNvSpPr>
          <a:spLocks noChangeArrowheads="1"/>
        </xdr:cNvSpPr>
      </xdr:nvSpPr>
      <xdr:spPr bwMode="auto">
        <a:xfrm>
          <a:off x="1377950" y="12706350"/>
          <a:ext cx="107950" cy="83185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8</xdr:col>
      <xdr:colOff>63500</xdr:colOff>
      <xdr:row>135</xdr:row>
      <xdr:rowOff>31750</xdr:rowOff>
    </xdr:from>
    <xdr:to>
      <xdr:col>15</xdr:col>
      <xdr:colOff>88900</xdr:colOff>
      <xdr:row>136</xdr:row>
      <xdr:rowOff>31750</xdr:rowOff>
    </xdr:to>
    <xdr:sp macro="" textlink="">
      <xdr:nvSpPr>
        <xdr:cNvPr id="889177" name="Rectangle 343">
          <a:extLst>
            <a:ext uri="{FF2B5EF4-FFF2-40B4-BE49-F238E27FC236}">
              <a16:creationId xmlns="" xmlns:a16="http://schemas.microsoft.com/office/drawing/2014/main" id="{00000000-0008-0000-2700-000059910D00}"/>
            </a:ext>
          </a:extLst>
        </xdr:cNvPr>
        <xdr:cNvSpPr>
          <a:spLocks noChangeArrowheads="1"/>
        </xdr:cNvSpPr>
      </xdr:nvSpPr>
      <xdr:spPr bwMode="auto">
        <a:xfrm rot="5400000">
          <a:off x="1343025" y="12715875"/>
          <a:ext cx="95250" cy="82550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8</xdr:col>
      <xdr:colOff>63500</xdr:colOff>
      <xdr:row>131</xdr:row>
      <xdr:rowOff>38100</xdr:rowOff>
    </xdr:from>
    <xdr:to>
      <xdr:col>15</xdr:col>
      <xdr:colOff>88900</xdr:colOff>
      <xdr:row>132</xdr:row>
      <xdr:rowOff>38100</xdr:rowOff>
    </xdr:to>
    <xdr:sp macro="" textlink="">
      <xdr:nvSpPr>
        <xdr:cNvPr id="889178" name="Rectangle 343">
          <a:extLst>
            <a:ext uri="{FF2B5EF4-FFF2-40B4-BE49-F238E27FC236}">
              <a16:creationId xmlns="" xmlns:a16="http://schemas.microsoft.com/office/drawing/2014/main" id="{00000000-0008-0000-2700-00005A910D00}"/>
            </a:ext>
          </a:extLst>
        </xdr:cNvPr>
        <xdr:cNvSpPr>
          <a:spLocks noChangeArrowheads="1"/>
        </xdr:cNvSpPr>
      </xdr:nvSpPr>
      <xdr:spPr bwMode="auto">
        <a:xfrm rot="5400000">
          <a:off x="1343025" y="12341225"/>
          <a:ext cx="95250" cy="82550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9</xdr:col>
      <xdr:colOff>57150</xdr:colOff>
      <xdr:row>139</xdr:row>
      <xdr:rowOff>0</xdr:rowOff>
    </xdr:from>
    <xdr:to>
      <xdr:col>15</xdr:col>
      <xdr:colOff>76200</xdr:colOff>
      <xdr:row>140</xdr:row>
      <xdr:rowOff>19050</xdr:rowOff>
    </xdr:to>
    <xdr:sp macro="" textlink="">
      <xdr:nvSpPr>
        <xdr:cNvPr id="889179" name="Rectangle 435" descr="Horizontal brick">
          <a:extLst>
            <a:ext uri="{FF2B5EF4-FFF2-40B4-BE49-F238E27FC236}">
              <a16:creationId xmlns="" xmlns:a16="http://schemas.microsoft.com/office/drawing/2014/main" id="{00000000-0008-0000-2700-00005B910D00}"/>
            </a:ext>
          </a:extLst>
        </xdr:cNvPr>
        <xdr:cNvSpPr>
          <a:spLocks noChangeArrowheads="1"/>
        </xdr:cNvSpPr>
      </xdr:nvSpPr>
      <xdr:spPr bwMode="auto">
        <a:xfrm>
          <a:off x="1085850" y="13430250"/>
          <a:ext cx="704850" cy="114300"/>
        </a:xfrm>
        <a:prstGeom prst="rect">
          <a:avLst/>
        </a:prstGeom>
        <a:blipFill dpi="0" rotWithShape="1">
          <a:blip xmlns:r="http://schemas.openxmlformats.org/officeDocument/2006/relationships" r:embed="rId5"/>
          <a:srcRect/>
          <a:tile tx="0" ty="0" sx="100000" sy="100000" flip="none" algn="tl"/>
        </a:blipFill>
        <a:ln w="9525">
          <a:solidFill>
            <a:srgbClr val="000000"/>
          </a:solidFill>
          <a:miter lim="800000"/>
          <a:headEnd/>
          <a:tailEnd/>
        </a:ln>
      </xdr:spPr>
    </xdr:sp>
    <xdr:clientData/>
  </xdr:twoCellAnchor>
  <xdr:twoCellAnchor editAs="oneCell">
    <xdr:from>
      <xdr:col>11</xdr:col>
      <xdr:colOff>94615</xdr:colOff>
      <xdr:row>163</xdr:row>
      <xdr:rowOff>9525</xdr:rowOff>
    </xdr:from>
    <xdr:to>
      <xdr:col>13</xdr:col>
      <xdr:colOff>102869</xdr:colOff>
      <xdr:row>167</xdr:row>
      <xdr:rowOff>11160</xdr:rowOff>
    </xdr:to>
    <xdr:sp macro="" textlink="">
      <xdr:nvSpPr>
        <xdr:cNvPr id="375" name="Text Box 355">
          <a:extLst>
            <a:ext uri="{FF2B5EF4-FFF2-40B4-BE49-F238E27FC236}">
              <a16:creationId xmlns="" xmlns:a16="http://schemas.microsoft.com/office/drawing/2014/main" id="{00000000-0008-0000-2700-000077010000}"/>
            </a:ext>
          </a:extLst>
        </xdr:cNvPr>
        <xdr:cNvSpPr txBox="1">
          <a:spLocks noChangeArrowheads="1"/>
        </xdr:cNvSpPr>
      </xdr:nvSpPr>
      <xdr:spPr bwMode="auto">
        <a:xfrm>
          <a:off x="1466850" y="15725775"/>
          <a:ext cx="247649" cy="400049"/>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12</a:t>
          </a:r>
        </a:p>
      </xdr:txBody>
    </xdr:sp>
    <xdr:clientData/>
  </xdr:twoCellAnchor>
  <xdr:twoCellAnchor>
    <xdr:from>
      <xdr:col>8</xdr:col>
      <xdr:colOff>1</xdr:colOff>
      <xdr:row>135</xdr:row>
      <xdr:rowOff>26828</xdr:rowOff>
    </xdr:from>
    <xdr:to>
      <xdr:col>8</xdr:col>
      <xdr:colOff>795</xdr:colOff>
      <xdr:row>140</xdr:row>
      <xdr:rowOff>61558</xdr:rowOff>
    </xdr:to>
    <xdr:cxnSp macro="">
      <xdr:nvCxnSpPr>
        <xdr:cNvPr id="376" name="Connecteur droit avec flèche 375">
          <a:extLst>
            <a:ext uri="{FF2B5EF4-FFF2-40B4-BE49-F238E27FC236}">
              <a16:creationId xmlns="" xmlns:a16="http://schemas.microsoft.com/office/drawing/2014/main" id="{00000000-0008-0000-2700-000078010000}"/>
            </a:ext>
          </a:extLst>
        </xdr:cNvPr>
        <xdr:cNvCxnSpPr/>
      </xdr:nvCxnSpPr>
      <xdr:spPr>
        <a:xfrm rot="5400000">
          <a:off x="796132" y="13330237"/>
          <a:ext cx="465931" cy="794"/>
        </a:xfrm>
        <a:prstGeom prst="straightConnector1">
          <a:avLst/>
        </a:prstGeom>
        <a:ln>
          <a:solidFill>
            <a:schemeClr val="bg2">
              <a:lumMod val="25000"/>
            </a:schemeClr>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xdr:col>
      <xdr:colOff>57786</xdr:colOff>
      <xdr:row>137</xdr:row>
      <xdr:rowOff>1</xdr:rowOff>
    </xdr:from>
    <xdr:to>
      <xdr:col>9</xdr:col>
      <xdr:colOff>250</xdr:colOff>
      <xdr:row>141</xdr:row>
      <xdr:rowOff>9688</xdr:rowOff>
    </xdr:to>
    <xdr:sp macro="" textlink="">
      <xdr:nvSpPr>
        <xdr:cNvPr id="377" name="Text Box 355">
          <a:extLst>
            <a:ext uri="{FF2B5EF4-FFF2-40B4-BE49-F238E27FC236}">
              <a16:creationId xmlns="" xmlns:a16="http://schemas.microsoft.com/office/drawing/2014/main" id="{00000000-0008-0000-2700-000079010000}"/>
            </a:ext>
          </a:extLst>
        </xdr:cNvPr>
        <xdr:cNvSpPr txBox="1">
          <a:spLocks noChangeArrowheads="1"/>
        </xdr:cNvSpPr>
      </xdr:nvSpPr>
      <xdr:spPr bwMode="auto">
        <a:xfrm>
          <a:off x="857251" y="13239751"/>
          <a:ext cx="285749" cy="400049"/>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60</a:t>
          </a:r>
        </a:p>
      </xdr:txBody>
    </xdr:sp>
    <xdr:clientData/>
  </xdr:twoCellAnchor>
  <xdr:twoCellAnchor>
    <xdr:from>
      <xdr:col>6</xdr:col>
      <xdr:colOff>61595</xdr:colOff>
      <xdr:row>131</xdr:row>
      <xdr:rowOff>57784</xdr:rowOff>
    </xdr:from>
    <xdr:to>
      <xdr:col>6</xdr:col>
      <xdr:colOff>61595</xdr:colOff>
      <xdr:row>140</xdr:row>
      <xdr:rowOff>61068</xdr:rowOff>
    </xdr:to>
    <xdr:cxnSp macro="">
      <xdr:nvCxnSpPr>
        <xdr:cNvPr id="378" name="Connecteur droit avec flèche 377">
          <a:extLst>
            <a:ext uri="{FF2B5EF4-FFF2-40B4-BE49-F238E27FC236}">
              <a16:creationId xmlns="" xmlns:a16="http://schemas.microsoft.com/office/drawing/2014/main" id="{00000000-0008-0000-2700-00007A010000}"/>
            </a:ext>
          </a:extLst>
        </xdr:cNvPr>
        <xdr:cNvCxnSpPr/>
      </xdr:nvCxnSpPr>
      <xdr:spPr>
        <a:xfrm rot="16200000" flipH="1">
          <a:off x="400050" y="13134974"/>
          <a:ext cx="847725" cy="9525"/>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60961</xdr:colOff>
      <xdr:row>131</xdr:row>
      <xdr:rowOff>57785</xdr:rowOff>
    </xdr:from>
    <xdr:to>
      <xdr:col>8</xdr:col>
      <xdr:colOff>599</xdr:colOff>
      <xdr:row>131</xdr:row>
      <xdr:rowOff>56356</xdr:rowOff>
    </xdr:to>
    <xdr:cxnSp macro="">
      <xdr:nvCxnSpPr>
        <xdr:cNvPr id="379" name="Connecteur droit 378">
          <a:extLst>
            <a:ext uri="{FF2B5EF4-FFF2-40B4-BE49-F238E27FC236}">
              <a16:creationId xmlns="" xmlns:a16="http://schemas.microsoft.com/office/drawing/2014/main" id="{00000000-0008-0000-2700-00007B010000}"/>
            </a:ext>
          </a:extLst>
        </xdr:cNvPr>
        <xdr:cNvCxnSpPr/>
      </xdr:nvCxnSpPr>
      <xdr:spPr>
        <a:xfrm rot="10800000">
          <a:off x="723901" y="12725400"/>
          <a:ext cx="314325" cy="1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57785</xdr:colOff>
      <xdr:row>140</xdr:row>
      <xdr:rowOff>60960</xdr:rowOff>
    </xdr:from>
    <xdr:to>
      <xdr:col>8</xdr:col>
      <xdr:colOff>61882</xdr:colOff>
      <xdr:row>140</xdr:row>
      <xdr:rowOff>60960</xdr:rowOff>
    </xdr:to>
    <xdr:cxnSp macro="">
      <xdr:nvCxnSpPr>
        <xdr:cNvPr id="380" name="Connecteur droit 379">
          <a:extLst>
            <a:ext uri="{FF2B5EF4-FFF2-40B4-BE49-F238E27FC236}">
              <a16:creationId xmlns="" xmlns:a16="http://schemas.microsoft.com/office/drawing/2014/main" id="{00000000-0008-0000-2700-00007C010000}"/>
            </a:ext>
          </a:extLst>
        </xdr:cNvPr>
        <xdr:cNvCxnSpPr/>
      </xdr:nvCxnSpPr>
      <xdr:spPr>
        <a:xfrm rot="10800000">
          <a:off x="742950" y="13563600"/>
          <a:ext cx="304800" cy="1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1</xdr:colOff>
      <xdr:row>135</xdr:row>
      <xdr:rowOff>9526</xdr:rowOff>
    </xdr:from>
    <xdr:to>
      <xdr:col>6</xdr:col>
      <xdr:colOff>0</xdr:colOff>
      <xdr:row>139</xdr:row>
      <xdr:rowOff>60707</xdr:rowOff>
    </xdr:to>
    <xdr:sp macro="" textlink="">
      <xdr:nvSpPr>
        <xdr:cNvPr id="381" name="Text Box 355">
          <a:extLst>
            <a:ext uri="{FF2B5EF4-FFF2-40B4-BE49-F238E27FC236}">
              <a16:creationId xmlns="" xmlns:a16="http://schemas.microsoft.com/office/drawing/2014/main" id="{00000000-0008-0000-2700-00007D010000}"/>
            </a:ext>
          </a:extLst>
        </xdr:cNvPr>
        <xdr:cNvSpPr txBox="1">
          <a:spLocks noChangeArrowheads="1"/>
        </xdr:cNvSpPr>
      </xdr:nvSpPr>
      <xdr:spPr bwMode="auto">
        <a:xfrm>
          <a:off x="571501" y="13068301"/>
          <a:ext cx="228599" cy="400049"/>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120</a:t>
          </a:r>
        </a:p>
      </xdr:txBody>
    </xdr:sp>
    <xdr:clientData/>
  </xdr:twoCellAnchor>
  <xdr:twoCellAnchor>
    <xdr:from>
      <xdr:col>27</xdr:col>
      <xdr:colOff>0</xdr:colOff>
      <xdr:row>133</xdr:row>
      <xdr:rowOff>60961</xdr:rowOff>
    </xdr:from>
    <xdr:to>
      <xdr:col>27</xdr:col>
      <xdr:colOff>2382</xdr:colOff>
      <xdr:row>138</xdr:row>
      <xdr:rowOff>2449</xdr:rowOff>
    </xdr:to>
    <xdr:cxnSp macro="">
      <xdr:nvCxnSpPr>
        <xdr:cNvPr id="382" name="Connecteur droit avec flèche 381">
          <a:extLst>
            <a:ext uri="{FF2B5EF4-FFF2-40B4-BE49-F238E27FC236}">
              <a16:creationId xmlns="" xmlns:a16="http://schemas.microsoft.com/office/drawing/2014/main" id="{00000000-0008-0000-2700-00007E010000}"/>
            </a:ext>
          </a:extLst>
        </xdr:cNvPr>
        <xdr:cNvCxnSpPr>
          <a:stCxn id="363" idx="4"/>
          <a:endCxn id="888989" idx="0"/>
        </xdr:cNvCxnSpPr>
      </xdr:nvCxnSpPr>
      <xdr:spPr>
        <a:xfrm rot="5400000">
          <a:off x="2974182" y="13132594"/>
          <a:ext cx="457200" cy="4763"/>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57785</xdr:colOff>
      <xdr:row>134</xdr:row>
      <xdr:rowOff>60960</xdr:rowOff>
    </xdr:from>
    <xdr:to>
      <xdr:col>27</xdr:col>
      <xdr:colOff>95297</xdr:colOff>
      <xdr:row>139</xdr:row>
      <xdr:rowOff>9396</xdr:rowOff>
    </xdr:to>
    <xdr:sp macro="" textlink="">
      <xdr:nvSpPr>
        <xdr:cNvPr id="383" name="Text Box 411">
          <a:extLst>
            <a:ext uri="{FF2B5EF4-FFF2-40B4-BE49-F238E27FC236}">
              <a16:creationId xmlns="" xmlns:a16="http://schemas.microsoft.com/office/drawing/2014/main" id="{00000000-0008-0000-2700-00007F010000}"/>
            </a:ext>
          </a:extLst>
        </xdr:cNvPr>
        <xdr:cNvSpPr txBox="1">
          <a:spLocks noChangeArrowheads="1"/>
        </xdr:cNvSpPr>
      </xdr:nvSpPr>
      <xdr:spPr bwMode="auto">
        <a:xfrm flipV="1">
          <a:off x="3048000" y="13001625"/>
          <a:ext cx="266699" cy="4381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60</a:t>
          </a:r>
        </a:p>
      </xdr:txBody>
    </xdr:sp>
    <xdr:clientData/>
  </xdr:twoCellAnchor>
  <xdr:twoCellAnchor>
    <xdr:from>
      <xdr:col>26</xdr:col>
      <xdr:colOff>86043</xdr:colOff>
      <xdr:row>127</xdr:row>
      <xdr:rowOff>56514</xdr:rowOff>
    </xdr:from>
    <xdr:to>
      <xdr:col>33</xdr:col>
      <xdr:colOff>769</xdr:colOff>
      <xdr:row>132</xdr:row>
      <xdr:rowOff>47429</xdr:rowOff>
    </xdr:to>
    <xdr:cxnSp macro="">
      <xdr:nvCxnSpPr>
        <xdr:cNvPr id="384" name="Connecteur droit avec flèche 383">
          <a:extLst>
            <a:ext uri="{FF2B5EF4-FFF2-40B4-BE49-F238E27FC236}">
              <a16:creationId xmlns="" xmlns:a16="http://schemas.microsoft.com/office/drawing/2014/main" id="{00000000-0008-0000-2700-000080010000}"/>
            </a:ext>
          </a:extLst>
        </xdr:cNvPr>
        <xdr:cNvCxnSpPr>
          <a:endCxn id="363" idx="0"/>
        </xdr:cNvCxnSpPr>
      </xdr:nvCxnSpPr>
      <xdr:spPr>
        <a:xfrm rot="10800000" flipV="1">
          <a:off x="3205163" y="12372974"/>
          <a:ext cx="690562" cy="40957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32</xdr:col>
      <xdr:colOff>94615</xdr:colOff>
      <xdr:row>125</xdr:row>
      <xdr:rowOff>56515</xdr:rowOff>
    </xdr:from>
    <xdr:to>
      <xdr:col>37</xdr:col>
      <xdr:colOff>114246</xdr:colOff>
      <xdr:row>133</xdr:row>
      <xdr:rowOff>57892</xdr:rowOff>
    </xdr:to>
    <xdr:sp macro="" textlink="">
      <xdr:nvSpPr>
        <xdr:cNvPr id="385" name="Text Box 411">
          <a:extLst>
            <a:ext uri="{FF2B5EF4-FFF2-40B4-BE49-F238E27FC236}">
              <a16:creationId xmlns="" xmlns:a16="http://schemas.microsoft.com/office/drawing/2014/main" id="{00000000-0008-0000-2700-000081010000}"/>
            </a:ext>
          </a:extLst>
        </xdr:cNvPr>
        <xdr:cNvSpPr txBox="1">
          <a:spLocks noChangeArrowheads="1"/>
        </xdr:cNvSpPr>
      </xdr:nvSpPr>
      <xdr:spPr bwMode="auto">
        <a:xfrm flipV="1">
          <a:off x="3876675" y="12163425"/>
          <a:ext cx="581025" cy="771524"/>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Appui métallique</a:t>
          </a:r>
        </a:p>
      </xdr:txBody>
    </xdr:sp>
    <xdr:clientData/>
  </xdr:twoCellAnchor>
  <xdr:twoCellAnchor>
    <xdr:from>
      <xdr:col>73</xdr:col>
      <xdr:colOff>63500</xdr:colOff>
      <xdr:row>78</xdr:row>
      <xdr:rowOff>63500</xdr:rowOff>
    </xdr:from>
    <xdr:to>
      <xdr:col>74</xdr:col>
      <xdr:colOff>57150</xdr:colOff>
      <xdr:row>87</xdr:row>
      <xdr:rowOff>38100</xdr:rowOff>
    </xdr:to>
    <xdr:sp macro="" textlink="">
      <xdr:nvSpPr>
        <xdr:cNvPr id="889191" name="Rectangle 343">
          <a:extLst>
            <a:ext uri="{FF2B5EF4-FFF2-40B4-BE49-F238E27FC236}">
              <a16:creationId xmlns="" xmlns:a16="http://schemas.microsoft.com/office/drawing/2014/main" id="{00000000-0008-0000-2700-000067910D00}"/>
            </a:ext>
          </a:extLst>
        </xdr:cNvPr>
        <xdr:cNvSpPr>
          <a:spLocks noChangeArrowheads="1"/>
        </xdr:cNvSpPr>
      </xdr:nvSpPr>
      <xdr:spPr bwMode="auto">
        <a:xfrm>
          <a:off x="8407400" y="7683500"/>
          <a:ext cx="107950" cy="83185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80</xdr:col>
      <xdr:colOff>0</xdr:colOff>
      <xdr:row>78</xdr:row>
      <xdr:rowOff>57150</xdr:rowOff>
    </xdr:from>
    <xdr:to>
      <xdr:col>80</xdr:col>
      <xdr:colOff>88900</xdr:colOff>
      <xdr:row>87</xdr:row>
      <xdr:rowOff>19050</xdr:rowOff>
    </xdr:to>
    <xdr:sp macro="" textlink="">
      <xdr:nvSpPr>
        <xdr:cNvPr id="889192" name="Rectangle 343">
          <a:extLst>
            <a:ext uri="{FF2B5EF4-FFF2-40B4-BE49-F238E27FC236}">
              <a16:creationId xmlns="" xmlns:a16="http://schemas.microsoft.com/office/drawing/2014/main" id="{00000000-0008-0000-2700-000068910D00}"/>
            </a:ext>
          </a:extLst>
        </xdr:cNvPr>
        <xdr:cNvSpPr>
          <a:spLocks noChangeArrowheads="1"/>
        </xdr:cNvSpPr>
      </xdr:nvSpPr>
      <xdr:spPr bwMode="auto">
        <a:xfrm>
          <a:off x="9144000" y="7677150"/>
          <a:ext cx="88900" cy="81915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77</xdr:col>
      <xdr:colOff>6350</xdr:colOff>
      <xdr:row>78</xdr:row>
      <xdr:rowOff>57150</xdr:rowOff>
    </xdr:from>
    <xdr:to>
      <xdr:col>78</xdr:col>
      <xdr:colOff>0</xdr:colOff>
      <xdr:row>87</xdr:row>
      <xdr:rowOff>19050</xdr:rowOff>
    </xdr:to>
    <xdr:sp macro="" textlink="">
      <xdr:nvSpPr>
        <xdr:cNvPr id="889193" name="Rectangle 343">
          <a:extLst>
            <a:ext uri="{FF2B5EF4-FFF2-40B4-BE49-F238E27FC236}">
              <a16:creationId xmlns="" xmlns:a16="http://schemas.microsoft.com/office/drawing/2014/main" id="{00000000-0008-0000-2700-000069910D00}"/>
            </a:ext>
          </a:extLst>
        </xdr:cNvPr>
        <xdr:cNvSpPr>
          <a:spLocks noChangeArrowheads="1"/>
        </xdr:cNvSpPr>
      </xdr:nvSpPr>
      <xdr:spPr bwMode="auto">
        <a:xfrm>
          <a:off x="8807450" y="7677150"/>
          <a:ext cx="107950" cy="81915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73</xdr:col>
      <xdr:colOff>63500</xdr:colOff>
      <xdr:row>82</xdr:row>
      <xdr:rowOff>50800</xdr:rowOff>
    </xdr:from>
    <xdr:to>
      <xdr:col>80</xdr:col>
      <xdr:colOff>88900</xdr:colOff>
      <xdr:row>83</xdr:row>
      <xdr:rowOff>50800</xdr:rowOff>
    </xdr:to>
    <xdr:sp macro="" textlink="">
      <xdr:nvSpPr>
        <xdr:cNvPr id="889194" name="Rectangle 343">
          <a:extLst>
            <a:ext uri="{FF2B5EF4-FFF2-40B4-BE49-F238E27FC236}">
              <a16:creationId xmlns="" xmlns:a16="http://schemas.microsoft.com/office/drawing/2014/main" id="{00000000-0008-0000-2700-00006A910D00}"/>
            </a:ext>
          </a:extLst>
        </xdr:cNvPr>
        <xdr:cNvSpPr>
          <a:spLocks noChangeArrowheads="1"/>
        </xdr:cNvSpPr>
      </xdr:nvSpPr>
      <xdr:spPr bwMode="auto">
        <a:xfrm rot="5400000">
          <a:off x="8772525" y="7686675"/>
          <a:ext cx="95250" cy="82550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73</xdr:col>
      <xdr:colOff>63500</xdr:colOff>
      <xdr:row>78</xdr:row>
      <xdr:rowOff>57150</xdr:rowOff>
    </xdr:from>
    <xdr:to>
      <xdr:col>80</xdr:col>
      <xdr:colOff>88900</xdr:colOff>
      <xdr:row>79</xdr:row>
      <xdr:rowOff>57150</xdr:rowOff>
    </xdr:to>
    <xdr:sp macro="" textlink="">
      <xdr:nvSpPr>
        <xdr:cNvPr id="889195" name="Rectangle 343">
          <a:extLst>
            <a:ext uri="{FF2B5EF4-FFF2-40B4-BE49-F238E27FC236}">
              <a16:creationId xmlns="" xmlns:a16="http://schemas.microsoft.com/office/drawing/2014/main" id="{00000000-0008-0000-2700-00006B910D00}"/>
            </a:ext>
          </a:extLst>
        </xdr:cNvPr>
        <xdr:cNvSpPr>
          <a:spLocks noChangeArrowheads="1"/>
        </xdr:cNvSpPr>
      </xdr:nvSpPr>
      <xdr:spPr bwMode="auto">
        <a:xfrm rot="5400000">
          <a:off x="8772525" y="7312025"/>
          <a:ext cx="95250" cy="82550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72</xdr:col>
      <xdr:colOff>6350</xdr:colOff>
      <xdr:row>86</xdr:row>
      <xdr:rowOff>19050</xdr:rowOff>
    </xdr:from>
    <xdr:to>
      <xdr:col>80</xdr:col>
      <xdr:colOff>76200</xdr:colOff>
      <xdr:row>88</xdr:row>
      <xdr:rowOff>57150</xdr:rowOff>
    </xdr:to>
    <xdr:sp macro="" textlink="">
      <xdr:nvSpPr>
        <xdr:cNvPr id="889196" name="Rectangle 435" descr="Horizontal brick">
          <a:extLst>
            <a:ext uri="{FF2B5EF4-FFF2-40B4-BE49-F238E27FC236}">
              <a16:creationId xmlns="" xmlns:a16="http://schemas.microsoft.com/office/drawing/2014/main" id="{00000000-0008-0000-2700-00006C910D00}"/>
            </a:ext>
          </a:extLst>
        </xdr:cNvPr>
        <xdr:cNvSpPr>
          <a:spLocks noChangeArrowheads="1"/>
        </xdr:cNvSpPr>
      </xdr:nvSpPr>
      <xdr:spPr bwMode="auto">
        <a:xfrm>
          <a:off x="8235950" y="8401050"/>
          <a:ext cx="984250" cy="228600"/>
        </a:xfrm>
        <a:prstGeom prst="rect">
          <a:avLst/>
        </a:prstGeom>
        <a:blipFill dpi="0" rotWithShape="1">
          <a:blip xmlns:r="http://schemas.openxmlformats.org/officeDocument/2006/relationships" r:embed="rId5"/>
          <a:srcRect/>
          <a:tile tx="0" ty="0" sx="100000" sy="100000" flip="none" algn="tl"/>
        </a:blipFill>
        <a:ln w="9525">
          <a:solidFill>
            <a:srgbClr val="000000"/>
          </a:solid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57785</xdr:colOff>
      <xdr:row>88</xdr:row>
      <xdr:rowOff>0</xdr:rowOff>
    </xdr:from>
    <xdr:to>
      <xdr:col>8</xdr:col>
      <xdr:colOff>61883</xdr:colOff>
      <xdr:row>90</xdr:row>
      <xdr:rowOff>36516</xdr:rowOff>
    </xdr:to>
    <xdr:sp macro="" textlink="">
      <xdr:nvSpPr>
        <xdr:cNvPr id="2" name="Rectangle 1">
          <a:extLst>
            <a:ext uri="{FF2B5EF4-FFF2-40B4-BE49-F238E27FC236}">
              <a16:creationId xmlns="" xmlns:a16="http://schemas.microsoft.com/office/drawing/2014/main" id="{00000000-0008-0000-2800-000002000000}"/>
            </a:ext>
          </a:extLst>
        </xdr:cNvPr>
        <xdr:cNvSpPr/>
      </xdr:nvSpPr>
      <xdr:spPr bwMode="auto">
        <a:xfrm>
          <a:off x="571500" y="8696325"/>
          <a:ext cx="390525" cy="247650"/>
        </a:xfrm>
        <a:prstGeom prst="rect">
          <a:avLst/>
        </a:prstGeom>
        <a:blipFill>
          <a:blip xmlns:r="http://schemas.openxmlformats.org/officeDocument/2006/relationships" r:embed="rId1" cstate="print"/>
          <a:tile tx="0" ty="0" sx="100000" sy="100000" flip="none" algn="tl"/>
        </a:blip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10</xdr:col>
      <xdr:colOff>19050</xdr:colOff>
      <xdr:row>14</xdr:row>
      <xdr:rowOff>31750</xdr:rowOff>
    </xdr:from>
    <xdr:to>
      <xdr:col>40</xdr:col>
      <xdr:colOff>0</xdr:colOff>
      <xdr:row>30</xdr:row>
      <xdr:rowOff>19050</xdr:rowOff>
    </xdr:to>
    <xdr:sp macro="" textlink="">
      <xdr:nvSpPr>
        <xdr:cNvPr id="889963" name="Rectangle 1">
          <a:extLst>
            <a:ext uri="{FF2B5EF4-FFF2-40B4-BE49-F238E27FC236}">
              <a16:creationId xmlns="" xmlns:a16="http://schemas.microsoft.com/office/drawing/2014/main" id="{00000000-0008-0000-2800-00006B940D00}"/>
            </a:ext>
          </a:extLst>
        </xdr:cNvPr>
        <xdr:cNvSpPr>
          <a:spLocks noChangeArrowheads="1"/>
        </xdr:cNvSpPr>
      </xdr:nvSpPr>
      <xdr:spPr bwMode="auto">
        <a:xfrm>
          <a:off x="1035050" y="1466850"/>
          <a:ext cx="3028950" cy="1612900"/>
        </a:xfrm>
        <a:prstGeom prst="rect">
          <a:avLst/>
        </a:prstGeom>
        <a:solidFill>
          <a:srgbClr val="FFFFFF"/>
        </a:solidFill>
        <a:ln w="9525">
          <a:solidFill>
            <a:srgbClr val="000000"/>
          </a:solidFill>
          <a:miter lim="800000"/>
          <a:headEnd/>
          <a:tailEnd/>
        </a:ln>
      </xdr:spPr>
    </xdr:sp>
    <xdr:clientData/>
  </xdr:twoCellAnchor>
  <xdr:twoCellAnchor>
    <xdr:from>
      <xdr:col>7</xdr:col>
      <xdr:colOff>76200</xdr:colOff>
      <xdr:row>14</xdr:row>
      <xdr:rowOff>19050</xdr:rowOff>
    </xdr:from>
    <xdr:to>
      <xdr:col>10</xdr:col>
      <xdr:colOff>6350</xdr:colOff>
      <xdr:row>30</xdr:row>
      <xdr:rowOff>19050</xdr:rowOff>
    </xdr:to>
    <xdr:sp macro="" textlink="">
      <xdr:nvSpPr>
        <xdr:cNvPr id="889964" name="Rectangle 2" descr="Horizontal brick">
          <a:extLst>
            <a:ext uri="{FF2B5EF4-FFF2-40B4-BE49-F238E27FC236}">
              <a16:creationId xmlns="" xmlns:a16="http://schemas.microsoft.com/office/drawing/2014/main" id="{00000000-0008-0000-2800-00006C940D00}"/>
            </a:ext>
          </a:extLst>
        </xdr:cNvPr>
        <xdr:cNvSpPr>
          <a:spLocks noChangeArrowheads="1"/>
        </xdr:cNvSpPr>
      </xdr:nvSpPr>
      <xdr:spPr bwMode="auto">
        <a:xfrm>
          <a:off x="787400" y="1454150"/>
          <a:ext cx="234950" cy="1625600"/>
        </a:xfrm>
        <a:prstGeom prst="rect">
          <a:avLst/>
        </a:prstGeom>
        <a:blipFill dpi="0" rotWithShape="0">
          <a:blip xmlns:r="http://schemas.openxmlformats.org/officeDocument/2006/relationships" r:embed="rId2"/>
          <a:srcRect/>
          <a:tile tx="0" ty="0" sx="100000" sy="100000" flip="none" algn="tl"/>
        </a:blipFill>
        <a:ln w="9525">
          <a:solidFill>
            <a:srgbClr val="000000"/>
          </a:solidFill>
          <a:miter lim="800000"/>
          <a:headEnd/>
          <a:tailEnd/>
        </a:ln>
      </xdr:spPr>
    </xdr:sp>
    <xdr:clientData/>
  </xdr:twoCellAnchor>
  <xdr:twoCellAnchor>
    <xdr:from>
      <xdr:col>7</xdr:col>
      <xdr:colOff>63500</xdr:colOff>
      <xdr:row>12</xdr:row>
      <xdr:rowOff>82550</xdr:rowOff>
    </xdr:from>
    <xdr:to>
      <xdr:col>41</xdr:col>
      <xdr:colOff>76200</xdr:colOff>
      <xdr:row>14</xdr:row>
      <xdr:rowOff>19050</xdr:rowOff>
    </xdr:to>
    <xdr:sp macro="" textlink="">
      <xdr:nvSpPr>
        <xdr:cNvPr id="889965" name="Rectangle 3" descr="Horizontal brick">
          <a:extLst>
            <a:ext uri="{FF2B5EF4-FFF2-40B4-BE49-F238E27FC236}">
              <a16:creationId xmlns="" xmlns:a16="http://schemas.microsoft.com/office/drawing/2014/main" id="{00000000-0008-0000-2800-00006D940D00}"/>
            </a:ext>
          </a:extLst>
        </xdr:cNvPr>
        <xdr:cNvSpPr>
          <a:spLocks noChangeArrowheads="1"/>
        </xdr:cNvSpPr>
      </xdr:nvSpPr>
      <xdr:spPr bwMode="auto">
        <a:xfrm>
          <a:off x="774700" y="1327150"/>
          <a:ext cx="3467100" cy="127000"/>
        </a:xfrm>
        <a:prstGeom prst="rect">
          <a:avLst/>
        </a:prstGeom>
        <a:blipFill dpi="0" rotWithShape="0">
          <a:blip xmlns:r="http://schemas.openxmlformats.org/officeDocument/2006/relationships" r:embed="rId2"/>
          <a:srcRect/>
          <a:tile tx="0" ty="0" sx="100000" sy="100000" flip="none" algn="tl"/>
        </a:blipFill>
        <a:ln w="9525">
          <a:solidFill>
            <a:srgbClr val="000000"/>
          </a:solidFill>
          <a:miter lim="800000"/>
          <a:headEnd/>
          <a:tailEnd/>
        </a:ln>
      </xdr:spPr>
    </xdr:sp>
    <xdr:clientData/>
  </xdr:twoCellAnchor>
  <xdr:twoCellAnchor>
    <xdr:from>
      <xdr:col>19</xdr:col>
      <xdr:colOff>76200</xdr:colOff>
      <xdr:row>30</xdr:row>
      <xdr:rowOff>12700</xdr:rowOff>
    </xdr:from>
    <xdr:to>
      <xdr:col>29</xdr:col>
      <xdr:colOff>76200</xdr:colOff>
      <xdr:row>31</xdr:row>
      <xdr:rowOff>76200</xdr:rowOff>
    </xdr:to>
    <xdr:sp macro="" textlink="">
      <xdr:nvSpPr>
        <xdr:cNvPr id="889966" name="Rectangle 4" descr="Horizontal brick">
          <a:extLst>
            <a:ext uri="{FF2B5EF4-FFF2-40B4-BE49-F238E27FC236}">
              <a16:creationId xmlns="" xmlns:a16="http://schemas.microsoft.com/office/drawing/2014/main" id="{00000000-0008-0000-2800-00006E940D00}"/>
            </a:ext>
          </a:extLst>
        </xdr:cNvPr>
        <xdr:cNvSpPr>
          <a:spLocks noChangeArrowheads="1"/>
        </xdr:cNvSpPr>
      </xdr:nvSpPr>
      <xdr:spPr bwMode="auto">
        <a:xfrm>
          <a:off x="2006600" y="3073400"/>
          <a:ext cx="1016000" cy="158750"/>
        </a:xfrm>
        <a:prstGeom prst="rect">
          <a:avLst/>
        </a:prstGeom>
        <a:blipFill dpi="0" rotWithShape="0">
          <a:blip xmlns:r="http://schemas.openxmlformats.org/officeDocument/2006/relationships" r:embed="rId2"/>
          <a:srcRect/>
          <a:tile tx="0" ty="0" sx="100000" sy="100000" flip="none" algn="tl"/>
        </a:blipFill>
        <a:ln w="9525">
          <a:solidFill>
            <a:srgbClr val="000000"/>
          </a:solidFill>
          <a:miter lim="800000"/>
          <a:headEnd/>
          <a:tailEnd/>
        </a:ln>
      </xdr:spPr>
    </xdr:sp>
    <xdr:clientData/>
  </xdr:twoCellAnchor>
  <xdr:twoCellAnchor>
    <xdr:from>
      <xdr:col>39</xdr:col>
      <xdr:colOff>63500</xdr:colOff>
      <xdr:row>14</xdr:row>
      <xdr:rowOff>19050</xdr:rowOff>
    </xdr:from>
    <xdr:to>
      <xdr:col>42</xdr:col>
      <xdr:colOff>0</xdr:colOff>
      <xdr:row>30</xdr:row>
      <xdr:rowOff>31750</xdr:rowOff>
    </xdr:to>
    <xdr:sp macro="" textlink="">
      <xdr:nvSpPr>
        <xdr:cNvPr id="889967" name="Rectangle 5" descr="Horizontal brick">
          <a:extLst>
            <a:ext uri="{FF2B5EF4-FFF2-40B4-BE49-F238E27FC236}">
              <a16:creationId xmlns="" xmlns:a16="http://schemas.microsoft.com/office/drawing/2014/main" id="{00000000-0008-0000-2800-00006F940D00}"/>
            </a:ext>
          </a:extLst>
        </xdr:cNvPr>
        <xdr:cNvSpPr>
          <a:spLocks noChangeArrowheads="1"/>
        </xdr:cNvSpPr>
      </xdr:nvSpPr>
      <xdr:spPr bwMode="auto">
        <a:xfrm>
          <a:off x="4025900" y="1454150"/>
          <a:ext cx="241300" cy="1638300"/>
        </a:xfrm>
        <a:prstGeom prst="rect">
          <a:avLst/>
        </a:prstGeom>
        <a:blipFill dpi="0" rotWithShape="0">
          <a:blip xmlns:r="http://schemas.openxmlformats.org/officeDocument/2006/relationships" r:embed="rId2"/>
          <a:srcRect/>
          <a:tile tx="0" ty="0" sx="100000" sy="100000" flip="none" algn="tl"/>
        </a:blipFill>
        <a:ln w="9525">
          <a:solidFill>
            <a:srgbClr val="000000"/>
          </a:solidFill>
          <a:miter lim="800000"/>
          <a:headEnd/>
          <a:tailEnd/>
        </a:ln>
      </xdr:spPr>
    </xdr:sp>
    <xdr:clientData/>
  </xdr:twoCellAnchor>
  <xdr:twoCellAnchor>
    <xdr:from>
      <xdr:col>23</xdr:col>
      <xdr:colOff>63500</xdr:colOff>
      <xdr:row>14</xdr:row>
      <xdr:rowOff>31750</xdr:rowOff>
    </xdr:from>
    <xdr:to>
      <xdr:col>26</xdr:col>
      <xdr:colOff>0</xdr:colOff>
      <xdr:row>30</xdr:row>
      <xdr:rowOff>12700</xdr:rowOff>
    </xdr:to>
    <xdr:sp macro="" textlink="">
      <xdr:nvSpPr>
        <xdr:cNvPr id="889968" name="Rectangle 6" descr="Horizontal brick">
          <a:extLst>
            <a:ext uri="{FF2B5EF4-FFF2-40B4-BE49-F238E27FC236}">
              <a16:creationId xmlns="" xmlns:a16="http://schemas.microsoft.com/office/drawing/2014/main" id="{00000000-0008-0000-2800-000070940D00}"/>
            </a:ext>
          </a:extLst>
        </xdr:cNvPr>
        <xdr:cNvSpPr>
          <a:spLocks noChangeArrowheads="1"/>
        </xdr:cNvSpPr>
      </xdr:nvSpPr>
      <xdr:spPr bwMode="auto">
        <a:xfrm>
          <a:off x="2400300" y="1466850"/>
          <a:ext cx="241300" cy="1606550"/>
        </a:xfrm>
        <a:prstGeom prst="rect">
          <a:avLst/>
        </a:prstGeom>
        <a:blipFill dpi="0" rotWithShape="0">
          <a:blip xmlns:r="http://schemas.openxmlformats.org/officeDocument/2006/relationships" r:embed="rId2"/>
          <a:srcRect/>
          <a:tile tx="0" ty="0" sx="100000" sy="100000" flip="none" algn="tl"/>
        </a:blipFill>
        <a:ln w="9525">
          <a:solidFill>
            <a:srgbClr val="000000"/>
          </a:solidFill>
          <a:miter lim="800000"/>
          <a:headEnd/>
          <a:tailEnd/>
        </a:ln>
      </xdr:spPr>
    </xdr:sp>
    <xdr:clientData/>
  </xdr:twoCellAnchor>
  <xdr:twoCellAnchor>
    <xdr:from>
      <xdr:col>34</xdr:col>
      <xdr:colOff>76200</xdr:colOff>
      <xdr:row>30</xdr:row>
      <xdr:rowOff>19050</xdr:rowOff>
    </xdr:from>
    <xdr:to>
      <xdr:col>42</xdr:col>
      <xdr:colOff>0</xdr:colOff>
      <xdr:row>31</xdr:row>
      <xdr:rowOff>76200</xdr:rowOff>
    </xdr:to>
    <xdr:sp macro="" textlink="">
      <xdr:nvSpPr>
        <xdr:cNvPr id="889969" name="Rectangle 7" descr="Horizontal brick">
          <a:extLst>
            <a:ext uri="{FF2B5EF4-FFF2-40B4-BE49-F238E27FC236}">
              <a16:creationId xmlns="" xmlns:a16="http://schemas.microsoft.com/office/drawing/2014/main" id="{00000000-0008-0000-2800-000071940D00}"/>
            </a:ext>
          </a:extLst>
        </xdr:cNvPr>
        <xdr:cNvSpPr>
          <a:spLocks noChangeArrowheads="1"/>
        </xdr:cNvSpPr>
      </xdr:nvSpPr>
      <xdr:spPr bwMode="auto">
        <a:xfrm>
          <a:off x="3530600" y="3079750"/>
          <a:ext cx="736600" cy="152400"/>
        </a:xfrm>
        <a:prstGeom prst="rect">
          <a:avLst/>
        </a:prstGeom>
        <a:blipFill dpi="0" rotWithShape="0">
          <a:blip xmlns:r="http://schemas.openxmlformats.org/officeDocument/2006/relationships" r:embed="rId2"/>
          <a:srcRect/>
          <a:tile tx="0" ty="0" sx="100000" sy="100000" flip="none" algn="tl"/>
        </a:blipFill>
        <a:ln w="9525">
          <a:solidFill>
            <a:srgbClr val="000000"/>
          </a:solidFill>
          <a:miter lim="800000"/>
          <a:headEnd/>
          <a:tailEnd/>
        </a:ln>
      </xdr:spPr>
    </xdr:sp>
    <xdr:clientData/>
  </xdr:twoCellAnchor>
  <xdr:twoCellAnchor>
    <xdr:from>
      <xdr:col>7</xdr:col>
      <xdr:colOff>76200</xdr:colOff>
      <xdr:row>30</xdr:row>
      <xdr:rowOff>19050</xdr:rowOff>
    </xdr:from>
    <xdr:to>
      <xdr:col>15</xdr:col>
      <xdr:colOff>0</xdr:colOff>
      <xdr:row>31</xdr:row>
      <xdr:rowOff>63500</xdr:rowOff>
    </xdr:to>
    <xdr:sp macro="" textlink="">
      <xdr:nvSpPr>
        <xdr:cNvPr id="889970" name="Rectangle 8" descr="Horizontal brick">
          <a:extLst>
            <a:ext uri="{FF2B5EF4-FFF2-40B4-BE49-F238E27FC236}">
              <a16:creationId xmlns="" xmlns:a16="http://schemas.microsoft.com/office/drawing/2014/main" id="{00000000-0008-0000-2800-000072940D00}"/>
            </a:ext>
          </a:extLst>
        </xdr:cNvPr>
        <xdr:cNvSpPr>
          <a:spLocks noChangeArrowheads="1"/>
        </xdr:cNvSpPr>
      </xdr:nvSpPr>
      <xdr:spPr bwMode="auto">
        <a:xfrm>
          <a:off x="787400" y="3079750"/>
          <a:ext cx="736600" cy="139700"/>
        </a:xfrm>
        <a:prstGeom prst="rect">
          <a:avLst/>
        </a:prstGeom>
        <a:blipFill dpi="0" rotWithShape="0">
          <a:blip xmlns:r="http://schemas.openxmlformats.org/officeDocument/2006/relationships" r:embed="rId2"/>
          <a:srcRect/>
          <a:tile tx="0" ty="0" sx="100000" sy="100000" flip="none" algn="tl"/>
        </a:blipFill>
        <a:ln w="9525">
          <a:solidFill>
            <a:srgbClr val="FF6600"/>
          </a:solidFill>
          <a:miter lim="800000"/>
          <a:headEnd/>
          <a:tailEnd/>
        </a:ln>
      </xdr:spPr>
    </xdr:sp>
    <xdr:clientData/>
  </xdr:twoCellAnchor>
  <xdr:twoCellAnchor>
    <xdr:from>
      <xdr:col>9</xdr:col>
      <xdr:colOff>63500</xdr:colOff>
      <xdr:row>21</xdr:row>
      <xdr:rowOff>38100</xdr:rowOff>
    </xdr:from>
    <xdr:to>
      <xdr:col>23</xdr:col>
      <xdr:colOff>44450</xdr:colOff>
      <xdr:row>21</xdr:row>
      <xdr:rowOff>50800</xdr:rowOff>
    </xdr:to>
    <xdr:sp macro="" textlink="">
      <xdr:nvSpPr>
        <xdr:cNvPr id="889971" name="Line 9">
          <a:extLst>
            <a:ext uri="{FF2B5EF4-FFF2-40B4-BE49-F238E27FC236}">
              <a16:creationId xmlns="" xmlns:a16="http://schemas.microsoft.com/office/drawing/2014/main" id="{00000000-0008-0000-2800-000073940D00}"/>
            </a:ext>
          </a:extLst>
        </xdr:cNvPr>
        <xdr:cNvSpPr>
          <a:spLocks noChangeShapeType="1"/>
        </xdr:cNvSpPr>
      </xdr:nvSpPr>
      <xdr:spPr bwMode="auto">
        <a:xfrm>
          <a:off x="977900" y="2139950"/>
          <a:ext cx="1403350" cy="127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25</xdr:col>
      <xdr:colOff>76200</xdr:colOff>
      <xdr:row>21</xdr:row>
      <xdr:rowOff>0</xdr:rowOff>
    </xdr:from>
    <xdr:to>
      <xdr:col>40</xdr:col>
      <xdr:colOff>0</xdr:colOff>
      <xdr:row>21</xdr:row>
      <xdr:rowOff>19050</xdr:rowOff>
    </xdr:to>
    <xdr:sp macro="" textlink="">
      <xdr:nvSpPr>
        <xdr:cNvPr id="889972" name="Line 10">
          <a:extLst>
            <a:ext uri="{FF2B5EF4-FFF2-40B4-BE49-F238E27FC236}">
              <a16:creationId xmlns="" xmlns:a16="http://schemas.microsoft.com/office/drawing/2014/main" id="{00000000-0008-0000-2800-000074940D00}"/>
            </a:ext>
          </a:extLst>
        </xdr:cNvPr>
        <xdr:cNvSpPr>
          <a:spLocks noChangeShapeType="1"/>
        </xdr:cNvSpPr>
      </xdr:nvSpPr>
      <xdr:spPr bwMode="auto">
        <a:xfrm flipV="1">
          <a:off x="2616200" y="2101850"/>
          <a:ext cx="1447800" cy="190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14</xdr:col>
      <xdr:colOff>57785</xdr:colOff>
      <xdr:row>19</xdr:row>
      <xdr:rowOff>35560</xdr:rowOff>
    </xdr:from>
    <xdr:to>
      <xdr:col>16</xdr:col>
      <xdr:colOff>77554</xdr:colOff>
      <xdr:row>27</xdr:row>
      <xdr:rowOff>76291</xdr:rowOff>
    </xdr:to>
    <xdr:sp macro="" textlink="">
      <xdr:nvSpPr>
        <xdr:cNvPr id="13" name="Text Box 12">
          <a:extLst>
            <a:ext uri="{FF2B5EF4-FFF2-40B4-BE49-F238E27FC236}">
              <a16:creationId xmlns="" xmlns:a16="http://schemas.microsoft.com/office/drawing/2014/main" id="{00000000-0008-0000-2800-00000D000000}"/>
            </a:ext>
          </a:extLst>
        </xdr:cNvPr>
        <xdr:cNvSpPr txBox="1">
          <a:spLocks noChangeArrowheads="1"/>
        </xdr:cNvSpPr>
      </xdr:nvSpPr>
      <xdr:spPr bwMode="auto">
        <a:xfrm>
          <a:off x="1619250" y="1885950"/>
          <a:ext cx="266700" cy="7715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120</a:t>
          </a:r>
        </a:p>
      </xdr:txBody>
    </xdr:sp>
    <xdr:clientData/>
  </xdr:twoCellAnchor>
  <xdr:twoCellAnchor editAs="oneCell">
    <xdr:from>
      <xdr:col>32</xdr:col>
      <xdr:colOff>57785</xdr:colOff>
      <xdr:row>19</xdr:row>
      <xdr:rowOff>32385</xdr:rowOff>
    </xdr:from>
    <xdr:to>
      <xdr:col>35</xdr:col>
      <xdr:colOff>4100</xdr:colOff>
      <xdr:row>25</xdr:row>
      <xdr:rowOff>13231</xdr:rowOff>
    </xdr:to>
    <xdr:sp macro="" textlink="">
      <xdr:nvSpPr>
        <xdr:cNvPr id="14" name="Text Box 13">
          <a:extLst>
            <a:ext uri="{FF2B5EF4-FFF2-40B4-BE49-F238E27FC236}">
              <a16:creationId xmlns="" xmlns:a16="http://schemas.microsoft.com/office/drawing/2014/main" id="{00000000-0008-0000-2800-00000E000000}"/>
            </a:ext>
          </a:extLst>
        </xdr:cNvPr>
        <xdr:cNvSpPr txBox="1">
          <a:spLocks noChangeArrowheads="1"/>
        </xdr:cNvSpPr>
      </xdr:nvSpPr>
      <xdr:spPr bwMode="auto">
        <a:xfrm>
          <a:off x="3533775" y="1819275"/>
          <a:ext cx="238125" cy="5905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120</a:t>
          </a:r>
        </a:p>
      </xdr:txBody>
    </xdr:sp>
    <xdr:clientData/>
  </xdr:twoCellAnchor>
  <xdr:twoCellAnchor>
    <xdr:from>
      <xdr:col>21</xdr:col>
      <xdr:colOff>6350</xdr:colOff>
      <xdr:row>14</xdr:row>
      <xdr:rowOff>50800</xdr:rowOff>
    </xdr:from>
    <xdr:to>
      <xdr:col>21</xdr:col>
      <xdr:colOff>19050</xdr:colOff>
      <xdr:row>30</xdr:row>
      <xdr:rowOff>12700</xdr:rowOff>
    </xdr:to>
    <xdr:sp macro="" textlink="">
      <xdr:nvSpPr>
        <xdr:cNvPr id="889975" name="Line 14">
          <a:extLst>
            <a:ext uri="{FF2B5EF4-FFF2-40B4-BE49-F238E27FC236}">
              <a16:creationId xmlns="" xmlns:a16="http://schemas.microsoft.com/office/drawing/2014/main" id="{00000000-0008-0000-2800-000077940D00}"/>
            </a:ext>
          </a:extLst>
        </xdr:cNvPr>
        <xdr:cNvSpPr>
          <a:spLocks noChangeShapeType="1"/>
        </xdr:cNvSpPr>
      </xdr:nvSpPr>
      <xdr:spPr bwMode="auto">
        <a:xfrm>
          <a:off x="2139950" y="1485900"/>
          <a:ext cx="12700" cy="15875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oneCellAnchor>
    <xdr:from>
      <xdr:col>19</xdr:col>
      <xdr:colOff>41910</xdr:colOff>
      <xdr:row>18</xdr:row>
      <xdr:rowOff>36195</xdr:rowOff>
    </xdr:from>
    <xdr:ext cx="232371" cy="183194"/>
    <xdr:sp macro="" textlink="">
      <xdr:nvSpPr>
        <xdr:cNvPr id="16" name="Text Box 15">
          <a:extLst>
            <a:ext uri="{FF2B5EF4-FFF2-40B4-BE49-F238E27FC236}">
              <a16:creationId xmlns="" xmlns:a16="http://schemas.microsoft.com/office/drawing/2014/main" id="{00000000-0008-0000-2800-000010000000}"/>
            </a:ext>
          </a:extLst>
        </xdr:cNvPr>
        <xdr:cNvSpPr txBox="1">
          <a:spLocks noChangeArrowheads="1"/>
        </xdr:cNvSpPr>
      </xdr:nvSpPr>
      <xdr:spPr bwMode="auto">
        <a:xfrm>
          <a:off x="1972310" y="1852295"/>
          <a:ext cx="232371"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fr-FR" sz="1000" b="0" i="0" strike="noStrike">
              <a:solidFill>
                <a:srgbClr val="000000"/>
              </a:solidFill>
              <a:latin typeface="Arial"/>
              <a:cs typeface="Arial"/>
            </a:rPr>
            <a:t>140</a:t>
          </a:r>
        </a:p>
      </xdr:txBody>
    </xdr:sp>
    <xdr:clientData/>
  </xdr:oneCellAnchor>
  <xdr:twoCellAnchor>
    <xdr:from>
      <xdr:col>35</xdr:col>
      <xdr:colOff>0</xdr:colOff>
      <xdr:row>26</xdr:row>
      <xdr:rowOff>50800</xdr:rowOff>
    </xdr:from>
    <xdr:to>
      <xdr:col>35</xdr:col>
      <xdr:colOff>6350</xdr:colOff>
      <xdr:row>31</xdr:row>
      <xdr:rowOff>63500</xdr:rowOff>
    </xdr:to>
    <xdr:sp macro="" textlink="">
      <xdr:nvSpPr>
        <xdr:cNvPr id="889977" name="Line 16">
          <a:extLst>
            <a:ext uri="{FF2B5EF4-FFF2-40B4-BE49-F238E27FC236}">
              <a16:creationId xmlns="" xmlns:a16="http://schemas.microsoft.com/office/drawing/2014/main" id="{00000000-0008-0000-2800-000079940D00}"/>
            </a:ext>
          </a:extLst>
        </xdr:cNvPr>
        <xdr:cNvSpPr>
          <a:spLocks noChangeShapeType="1"/>
        </xdr:cNvSpPr>
      </xdr:nvSpPr>
      <xdr:spPr bwMode="auto">
        <a:xfrm flipH="1">
          <a:off x="3556000" y="2628900"/>
          <a:ext cx="6350" cy="590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63500</xdr:colOff>
      <xdr:row>27</xdr:row>
      <xdr:rowOff>0</xdr:rowOff>
    </xdr:from>
    <xdr:to>
      <xdr:col>20</xdr:col>
      <xdr:colOff>0</xdr:colOff>
      <xdr:row>31</xdr:row>
      <xdr:rowOff>19050</xdr:rowOff>
    </xdr:to>
    <xdr:sp macro="" textlink="">
      <xdr:nvSpPr>
        <xdr:cNvPr id="889978" name="Line 17">
          <a:extLst>
            <a:ext uri="{FF2B5EF4-FFF2-40B4-BE49-F238E27FC236}">
              <a16:creationId xmlns="" xmlns:a16="http://schemas.microsoft.com/office/drawing/2014/main" id="{00000000-0008-0000-2800-00007A940D00}"/>
            </a:ext>
          </a:extLst>
        </xdr:cNvPr>
        <xdr:cNvSpPr>
          <a:spLocks noChangeShapeType="1"/>
        </xdr:cNvSpPr>
      </xdr:nvSpPr>
      <xdr:spPr bwMode="auto">
        <a:xfrm flipH="1">
          <a:off x="1993900" y="2673350"/>
          <a:ext cx="38100" cy="501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76200</xdr:colOff>
      <xdr:row>27</xdr:row>
      <xdr:rowOff>19050</xdr:rowOff>
    </xdr:from>
    <xdr:to>
      <xdr:col>20</xdr:col>
      <xdr:colOff>6350</xdr:colOff>
      <xdr:row>30</xdr:row>
      <xdr:rowOff>31750</xdr:rowOff>
    </xdr:to>
    <xdr:sp macro="" textlink="">
      <xdr:nvSpPr>
        <xdr:cNvPr id="889979" name="Line 18">
          <a:extLst>
            <a:ext uri="{FF2B5EF4-FFF2-40B4-BE49-F238E27FC236}">
              <a16:creationId xmlns="" xmlns:a16="http://schemas.microsoft.com/office/drawing/2014/main" id="{00000000-0008-0000-2800-00007B940D00}"/>
            </a:ext>
          </a:extLst>
        </xdr:cNvPr>
        <xdr:cNvSpPr>
          <a:spLocks noChangeShapeType="1"/>
        </xdr:cNvSpPr>
      </xdr:nvSpPr>
      <xdr:spPr bwMode="auto">
        <a:xfrm flipH="1">
          <a:off x="1498600" y="2692400"/>
          <a:ext cx="539750" cy="4000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44450</xdr:colOff>
      <xdr:row>26</xdr:row>
      <xdr:rowOff>76200</xdr:rowOff>
    </xdr:from>
    <xdr:to>
      <xdr:col>35</xdr:col>
      <xdr:colOff>6350</xdr:colOff>
      <xdr:row>30</xdr:row>
      <xdr:rowOff>31750</xdr:rowOff>
    </xdr:to>
    <xdr:sp macro="" textlink="">
      <xdr:nvSpPr>
        <xdr:cNvPr id="889980" name="Line 19">
          <a:extLst>
            <a:ext uri="{FF2B5EF4-FFF2-40B4-BE49-F238E27FC236}">
              <a16:creationId xmlns="" xmlns:a16="http://schemas.microsoft.com/office/drawing/2014/main" id="{00000000-0008-0000-2800-00007C940D00}"/>
            </a:ext>
          </a:extLst>
        </xdr:cNvPr>
        <xdr:cNvSpPr>
          <a:spLocks noChangeShapeType="1"/>
        </xdr:cNvSpPr>
      </xdr:nvSpPr>
      <xdr:spPr bwMode="auto">
        <a:xfrm flipH="1">
          <a:off x="2990850" y="2654300"/>
          <a:ext cx="571500" cy="438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19050</xdr:colOff>
      <xdr:row>10</xdr:row>
      <xdr:rowOff>0</xdr:rowOff>
    </xdr:from>
    <xdr:to>
      <xdr:col>18</xdr:col>
      <xdr:colOff>63500</xdr:colOff>
      <xdr:row>12</xdr:row>
      <xdr:rowOff>57150</xdr:rowOff>
    </xdr:to>
    <xdr:sp macro="" textlink="">
      <xdr:nvSpPr>
        <xdr:cNvPr id="889981" name="Rectangle 20">
          <a:extLst>
            <a:ext uri="{FF2B5EF4-FFF2-40B4-BE49-F238E27FC236}">
              <a16:creationId xmlns="" xmlns:a16="http://schemas.microsoft.com/office/drawing/2014/main" id="{00000000-0008-0000-2800-00007D940D00}"/>
            </a:ext>
          </a:extLst>
        </xdr:cNvPr>
        <xdr:cNvSpPr>
          <a:spLocks noChangeArrowheads="1"/>
        </xdr:cNvSpPr>
      </xdr:nvSpPr>
      <xdr:spPr bwMode="auto">
        <a:xfrm>
          <a:off x="1543050" y="1054100"/>
          <a:ext cx="349250" cy="247650"/>
        </a:xfrm>
        <a:prstGeom prst="rect">
          <a:avLst/>
        </a:prstGeom>
        <a:solidFill>
          <a:srgbClr val="FFFFFF"/>
        </a:solidFill>
        <a:ln w="9525">
          <a:solidFill>
            <a:srgbClr val="000000"/>
          </a:solidFill>
          <a:miter lim="800000"/>
          <a:headEnd/>
          <a:tailEnd/>
        </a:ln>
      </xdr:spPr>
    </xdr:sp>
    <xdr:clientData/>
  </xdr:twoCellAnchor>
  <xdr:twoCellAnchor>
    <xdr:from>
      <xdr:col>29</xdr:col>
      <xdr:colOff>63500</xdr:colOff>
      <xdr:row>9</xdr:row>
      <xdr:rowOff>82550</xdr:rowOff>
    </xdr:from>
    <xdr:to>
      <xdr:col>33</xdr:col>
      <xdr:colOff>38100</xdr:colOff>
      <xdr:row>12</xdr:row>
      <xdr:rowOff>57150</xdr:rowOff>
    </xdr:to>
    <xdr:sp macro="" textlink="">
      <xdr:nvSpPr>
        <xdr:cNvPr id="889982" name="Rectangle 21">
          <a:extLst>
            <a:ext uri="{FF2B5EF4-FFF2-40B4-BE49-F238E27FC236}">
              <a16:creationId xmlns="" xmlns:a16="http://schemas.microsoft.com/office/drawing/2014/main" id="{00000000-0008-0000-2800-00007E940D00}"/>
            </a:ext>
          </a:extLst>
        </xdr:cNvPr>
        <xdr:cNvSpPr>
          <a:spLocks noChangeArrowheads="1"/>
        </xdr:cNvSpPr>
      </xdr:nvSpPr>
      <xdr:spPr bwMode="auto">
        <a:xfrm>
          <a:off x="3009900" y="1041400"/>
          <a:ext cx="381000" cy="260350"/>
        </a:xfrm>
        <a:prstGeom prst="rect">
          <a:avLst/>
        </a:prstGeom>
        <a:solidFill>
          <a:srgbClr val="FFFFFF"/>
        </a:solidFill>
        <a:ln w="9525">
          <a:solidFill>
            <a:srgbClr val="000000"/>
          </a:solidFill>
          <a:miter lim="800000"/>
          <a:headEnd/>
          <a:tailEnd/>
        </a:ln>
      </xdr:spPr>
    </xdr:sp>
    <xdr:clientData/>
  </xdr:twoCellAnchor>
  <xdr:twoCellAnchor>
    <xdr:from>
      <xdr:col>18</xdr:col>
      <xdr:colOff>63500</xdr:colOff>
      <xdr:row>11</xdr:row>
      <xdr:rowOff>0</xdr:rowOff>
    </xdr:from>
    <xdr:to>
      <xdr:col>29</xdr:col>
      <xdr:colOff>57150</xdr:colOff>
      <xdr:row>11</xdr:row>
      <xdr:rowOff>76200</xdr:rowOff>
    </xdr:to>
    <xdr:sp macro="" textlink="">
      <xdr:nvSpPr>
        <xdr:cNvPr id="889983" name="Rectangle 22">
          <a:extLst>
            <a:ext uri="{FF2B5EF4-FFF2-40B4-BE49-F238E27FC236}">
              <a16:creationId xmlns="" xmlns:a16="http://schemas.microsoft.com/office/drawing/2014/main" id="{00000000-0008-0000-2800-00007F940D00}"/>
            </a:ext>
          </a:extLst>
        </xdr:cNvPr>
        <xdr:cNvSpPr>
          <a:spLocks noChangeArrowheads="1"/>
        </xdr:cNvSpPr>
      </xdr:nvSpPr>
      <xdr:spPr bwMode="auto">
        <a:xfrm>
          <a:off x="1892300" y="1149350"/>
          <a:ext cx="1111250" cy="76200"/>
        </a:xfrm>
        <a:prstGeom prst="rect">
          <a:avLst/>
        </a:prstGeom>
        <a:gradFill rotWithShape="0">
          <a:gsLst>
            <a:gs pos="0">
              <a:srgbClr val="FFFFFF"/>
            </a:gs>
            <a:gs pos="100000">
              <a:srgbClr val="000000"/>
            </a:gs>
          </a:gsLst>
          <a:lin ang="5400000" scaled="1"/>
        </a:gradFill>
        <a:ln w="9525">
          <a:solidFill>
            <a:srgbClr val="000000"/>
          </a:solidFill>
          <a:miter lim="800000"/>
          <a:headEnd/>
          <a:tailEnd/>
        </a:ln>
      </xdr:spPr>
    </xdr:sp>
    <xdr:clientData/>
  </xdr:twoCellAnchor>
  <xdr:twoCellAnchor>
    <xdr:from>
      <xdr:col>33</xdr:col>
      <xdr:colOff>44450</xdr:colOff>
      <xdr:row>11</xdr:row>
      <xdr:rowOff>12700</xdr:rowOff>
    </xdr:from>
    <xdr:to>
      <xdr:col>56</xdr:col>
      <xdr:colOff>6350</xdr:colOff>
      <xdr:row>12</xdr:row>
      <xdr:rowOff>12700</xdr:rowOff>
    </xdr:to>
    <xdr:sp macro="" textlink="">
      <xdr:nvSpPr>
        <xdr:cNvPr id="889984" name="Rectangle 23">
          <a:extLst>
            <a:ext uri="{FF2B5EF4-FFF2-40B4-BE49-F238E27FC236}">
              <a16:creationId xmlns="" xmlns:a16="http://schemas.microsoft.com/office/drawing/2014/main" id="{00000000-0008-0000-2800-000080940D00}"/>
            </a:ext>
          </a:extLst>
        </xdr:cNvPr>
        <xdr:cNvSpPr>
          <a:spLocks noChangeArrowheads="1"/>
        </xdr:cNvSpPr>
      </xdr:nvSpPr>
      <xdr:spPr bwMode="auto">
        <a:xfrm>
          <a:off x="3397250" y="1162050"/>
          <a:ext cx="2298700" cy="95250"/>
        </a:xfrm>
        <a:prstGeom prst="rect">
          <a:avLst/>
        </a:prstGeom>
        <a:gradFill rotWithShape="0">
          <a:gsLst>
            <a:gs pos="0">
              <a:srgbClr val="FFFFFF"/>
            </a:gs>
            <a:gs pos="100000">
              <a:srgbClr val="000000"/>
            </a:gs>
          </a:gsLst>
          <a:lin ang="5400000" scaled="1"/>
        </a:gradFill>
        <a:ln w="9525">
          <a:solidFill>
            <a:srgbClr val="000000"/>
          </a:solidFill>
          <a:miter lim="800000"/>
          <a:headEnd/>
          <a:tailEnd/>
        </a:ln>
      </xdr:spPr>
    </xdr:sp>
    <xdr:clientData/>
  </xdr:twoCellAnchor>
  <xdr:twoCellAnchor>
    <xdr:from>
      <xdr:col>53</xdr:col>
      <xdr:colOff>36830</xdr:colOff>
      <xdr:row>7</xdr:row>
      <xdr:rowOff>36830</xdr:rowOff>
    </xdr:from>
    <xdr:to>
      <xdr:col>63</xdr:col>
      <xdr:colOff>75675</xdr:colOff>
      <xdr:row>17</xdr:row>
      <xdr:rowOff>32433</xdr:rowOff>
    </xdr:to>
    <xdr:sp macro="" textlink="">
      <xdr:nvSpPr>
        <xdr:cNvPr id="25" name="Oval 24">
          <a:extLst>
            <a:ext uri="{FF2B5EF4-FFF2-40B4-BE49-F238E27FC236}">
              <a16:creationId xmlns="" xmlns:a16="http://schemas.microsoft.com/office/drawing/2014/main" id="{00000000-0008-0000-2800-000019000000}"/>
            </a:ext>
          </a:extLst>
        </xdr:cNvPr>
        <xdr:cNvSpPr>
          <a:spLocks noChangeArrowheads="1"/>
        </xdr:cNvSpPr>
      </xdr:nvSpPr>
      <xdr:spPr bwMode="auto">
        <a:xfrm>
          <a:off x="5715000" y="723900"/>
          <a:ext cx="1076325" cy="904875"/>
        </a:xfrm>
        <a:prstGeom prst="ellipse">
          <a:avLst/>
        </a:prstGeom>
        <a:solidFill>
          <a:srgbClr val="FFFFFF"/>
        </a:solidFill>
        <a:ln w="9525">
          <a:solidFill>
            <a:srgbClr val="000000"/>
          </a:solidFill>
          <a:round/>
          <a:headEnd/>
          <a:tailEnd/>
        </a:ln>
      </xdr:spPr>
      <xdr:txBody>
        <a:bodyPr vertOverflow="clip" wrap="square" lIns="27432" tIns="22860" rIns="0" bIns="0" anchor="t" upright="1"/>
        <a:lstStyle/>
        <a:p>
          <a:pPr algn="l" rtl="0">
            <a:defRPr sz="1000"/>
          </a:pPr>
          <a:endParaRPr lang="fr-FR" sz="1000" b="0" i="0" strike="noStrike">
            <a:solidFill>
              <a:srgbClr val="000000"/>
            </a:solidFill>
            <a:latin typeface="Arial"/>
            <a:cs typeface="Arial"/>
          </a:endParaRPr>
        </a:p>
        <a:p>
          <a:pPr algn="l" rtl="0">
            <a:defRPr sz="1000"/>
          </a:pPr>
          <a:endParaRPr lang="fr-FR" sz="1000" b="0" i="0" strike="noStrike">
            <a:solidFill>
              <a:srgbClr val="000000"/>
            </a:solidFill>
            <a:latin typeface="Arial"/>
            <a:cs typeface="Arial"/>
          </a:endParaRPr>
        </a:p>
      </xdr:txBody>
    </xdr:sp>
    <xdr:clientData/>
  </xdr:twoCellAnchor>
  <xdr:twoCellAnchor>
    <xdr:from>
      <xdr:col>8</xdr:col>
      <xdr:colOff>6350</xdr:colOff>
      <xdr:row>47</xdr:row>
      <xdr:rowOff>19050</xdr:rowOff>
    </xdr:from>
    <xdr:to>
      <xdr:col>42</xdr:col>
      <xdr:colOff>19050</xdr:colOff>
      <xdr:row>60</xdr:row>
      <xdr:rowOff>0</xdr:rowOff>
    </xdr:to>
    <xdr:sp macro="" textlink="">
      <xdr:nvSpPr>
        <xdr:cNvPr id="889986" name="Rectangle 25" descr="Newsprint">
          <a:extLst>
            <a:ext uri="{FF2B5EF4-FFF2-40B4-BE49-F238E27FC236}">
              <a16:creationId xmlns="" xmlns:a16="http://schemas.microsoft.com/office/drawing/2014/main" id="{00000000-0008-0000-2800-000082940D00}"/>
            </a:ext>
          </a:extLst>
        </xdr:cNvPr>
        <xdr:cNvSpPr>
          <a:spLocks noChangeArrowheads="1"/>
        </xdr:cNvSpPr>
      </xdr:nvSpPr>
      <xdr:spPr bwMode="auto">
        <a:xfrm>
          <a:off x="819150" y="4699000"/>
          <a:ext cx="3467100" cy="193040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4</xdr:col>
      <xdr:colOff>76200</xdr:colOff>
      <xdr:row>41</xdr:row>
      <xdr:rowOff>82550</xdr:rowOff>
    </xdr:from>
    <xdr:to>
      <xdr:col>45</xdr:col>
      <xdr:colOff>25400</xdr:colOff>
      <xdr:row>47</xdr:row>
      <xdr:rowOff>12700</xdr:rowOff>
    </xdr:to>
    <xdr:sp macro="" textlink="">
      <xdr:nvSpPr>
        <xdr:cNvPr id="889987" name="Rectangle 26" descr="Light vertical">
          <a:extLst>
            <a:ext uri="{FF2B5EF4-FFF2-40B4-BE49-F238E27FC236}">
              <a16:creationId xmlns="" xmlns:a16="http://schemas.microsoft.com/office/drawing/2014/main" id="{00000000-0008-0000-2800-000083940D00}"/>
            </a:ext>
          </a:extLst>
        </xdr:cNvPr>
        <xdr:cNvSpPr>
          <a:spLocks noChangeArrowheads="1"/>
        </xdr:cNvSpPr>
      </xdr:nvSpPr>
      <xdr:spPr bwMode="auto">
        <a:xfrm>
          <a:off x="482600" y="4191000"/>
          <a:ext cx="4114800" cy="501650"/>
        </a:xfrm>
        <a:prstGeom prst="rect">
          <a:avLst/>
        </a:prstGeom>
        <a:blipFill dpi="0" rotWithShape="0">
          <a:blip xmlns:r="http://schemas.openxmlformats.org/officeDocument/2006/relationships" r:embed="rId4"/>
          <a:srcRect/>
          <a:tile tx="0" ty="0" sx="100000" sy="100000" flip="none" algn="tl"/>
        </a:blipFill>
        <a:ln w="9525">
          <a:solidFill>
            <a:srgbClr val="000000"/>
          </a:solidFill>
          <a:miter lim="800000"/>
          <a:headEnd/>
          <a:tailEnd/>
        </a:ln>
      </xdr:spPr>
    </xdr:sp>
    <xdr:clientData/>
  </xdr:twoCellAnchor>
  <xdr:twoCellAnchor>
    <xdr:from>
      <xdr:col>5</xdr:col>
      <xdr:colOff>38100</xdr:colOff>
      <xdr:row>47</xdr:row>
      <xdr:rowOff>19050</xdr:rowOff>
    </xdr:from>
    <xdr:to>
      <xdr:col>44</xdr:col>
      <xdr:colOff>76200</xdr:colOff>
      <xdr:row>47</xdr:row>
      <xdr:rowOff>76200</xdr:rowOff>
    </xdr:to>
    <xdr:sp macro="" textlink="">
      <xdr:nvSpPr>
        <xdr:cNvPr id="889988" name="Rectangle 27">
          <a:extLst>
            <a:ext uri="{FF2B5EF4-FFF2-40B4-BE49-F238E27FC236}">
              <a16:creationId xmlns="" xmlns:a16="http://schemas.microsoft.com/office/drawing/2014/main" id="{00000000-0008-0000-2800-000084940D00}"/>
            </a:ext>
          </a:extLst>
        </xdr:cNvPr>
        <xdr:cNvSpPr>
          <a:spLocks noChangeArrowheads="1"/>
        </xdr:cNvSpPr>
      </xdr:nvSpPr>
      <xdr:spPr bwMode="auto">
        <a:xfrm>
          <a:off x="546100" y="4699000"/>
          <a:ext cx="4000500" cy="57150"/>
        </a:xfrm>
        <a:prstGeom prst="rect">
          <a:avLst/>
        </a:prstGeom>
        <a:solidFill>
          <a:srgbClr val="00B0F0"/>
        </a:solidFill>
        <a:ln w="9525">
          <a:solidFill>
            <a:srgbClr val="000000"/>
          </a:solidFill>
          <a:miter lim="800000"/>
          <a:headEnd/>
          <a:tailEnd/>
        </a:ln>
      </xdr:spPr>
    </xdr:sp>
    <xdr:clientData/>
  </xdr:twoCellAnchor>
  <xdr:twoCellAnchor>
    <xdr:from>
      <xdr:col>15</xdr:col>
      <xdr:colOff>0</xdr:colOff>
      <xdr:row>50</xdr:row>
      <xdr:rowOff>6350</xdr:rowOff>
    </xdr:from>
    <xdr:to>
      <xdr:col>19</xdr:col>
      <xdr:colOff>76200</xdr:colOff>
      <xdr:row>60</xdr:row>
      <xdr:rowOff>0</xdr:rowOff>
    </xdr:to>
    <xdr:sp macro="" textlink="">
      <xdr:nvSpPr>
        <xdr:cNvPr id="889989" name="Rectangle 28">
          <a:extLst>
            <a:ext uri="{FF2B5EF4-FFF2-40B4-BE49-F238E27FC236}">
              <a16:creationId xmlns="" xmlns:a16="http://schemas.microsoft.com/office/drawing/2014/main" id="{00000000-0008-0000-2800-000085940D00}"/>
            </a:ext>
          </a:extLst>
        </xdr:cNvPr>
        <xdr:cNvSpPr>
          <a:spLocks noChangeArrowheads="1"/>
        </xdr:cNvSpPr>
      </xdr:nvSpPr>
      <xdr:spPr bwMode="auto">
        <a:xfrm>
          <a:off x="1524000" y="4972050"/>
          <a:ext cx="482600" cy="1657350"/>
        </a:xfrm>
        <a:prstGeom prst="rect">
          <a:avLst/>
        </a:prstGeom>
        <a:solidFill>
          <a:srgbClr val="00B0F0"/>
        </a:solidFill>
        <a:ln w="9525">
          <a:solidFill>
            <a:srgbClr val="000000"/>
          </a:solidFill>
          <a:miter lim="800000"/>
          <a:headEnd/>
          <a:tailEnd/>
        </a:ln>
      </xdr:spPr>
    </xdr:sp>
    <xdr:clientData/>
  </xdr:twoCellAnchor>
  <xdr:twoCellAnchor>
    <xdr:from>
      <xdr:col>30</xdr:col>
      <xdr:colOff>0</xdr:colOff>
      <xdr:row>50</xdr:row>
      <xdr:rowOff>6350</xdr:rowOff>
    </xdr:from>
    <xdr:to>
      <xdr:col>34</xdr:col>
      <xdr:colOff>76200</xdr:colOff>
      <xdr:row>60</xdr:row>
      <xdr:rowOff>0</xdr:rowOff>
    </xdr:to>
    <xdr:sp macro="" textlink="">
      <xdr:nvSpPr>
        <xdr:cNvPr id="889990" name="Rectangle 29">
          <a:extLst>
            <a:ext uri="{FF2B5EF4-FFF2-40B4-BE49-F238E27FC236}">
              <a16:creationId xmlns="" xmlns:a16="http://schemas.microsoft.com/office/drawing/2014/main" id="{00000000-0008-0000-2800-000086940D00}"/>
            </a:ext>
          </a:extLst>
        </xdr:cNvPr>
        <xdr:cNvSpPr>
          <a:spLocks noChangeArrowheads="1"/>
        </xdr:cNvSpPr>
      </xdr:nvSpPr>
      <xdr:spPr bwMode="auto">
        <a:xfrm>
          <a:off x="3048000" y="4972050"/>
          <a:ext cx="482600" cy="1657350"/>
        </a:xfrm>
        <a:prstGeom prst="rect">
          <a:avLst/>
        </a:prstGeom>
        <a:solidFill>
          <a:srgbClr val="00B0F0"/>
        </a:solidFill>
        <a:ln w="9525">
          <a:solidFill>
            <a:srgbClr val="000000"/>
          </a:solidFill>
          <a:miter lim="800000"/>
          <a:headEnd/>
          <a:tailEnd/>
        </a:ln>
      </xdr:spPr>
    </xdr:sp>
    <xdr:clientData/>
  </xdr:twoCellAnchor>
  <xdr:twoCellAnchor>
    <xdr:from>
      <xdr:col>7</xdr:col>
      <xdr:colOff>57150</xdr:colOff>
      <xdr:row>60</xdr:row>
      <xdr:rowOff>6350</xdr:rowOff>
    </xdr:from>
    <xdr:to>
      <xdr:col>42</xdr:col>
      <xdr:colOff>76200</xdr:colOff>
      <xdr:row>60</xdr:row>
      <xdr:rowOff>82550</xdr:rowOff>
    </xdr:to>
    <xdr:sp macro="" textlink="">
      <xdr:nvSpPr>
        <xdr:cNvPr id="889991" name="Rectangle 30" descr="Shingle">
          <a:extLst>
            <a:ext uri="{FF2B5EF4-FFF2-40B4-BE49-F238E27FC236}">
              <a16:creationId xmlns="" xmlns:a16="http://schemas.microsoft.com/office/drawing/2014/main" id="{00000000-0008-0000-2800-000087940D00}"/>
            </a:ext>
          </a:extLst>
        </xdr:cNvPr>
        <xdr:cNvSpPr>
          <a:spLocks noChangeArrowheads="1"/>
        </xdr:cNvSpPr>
      </xdr:nvSpPr>
      <xdr:spPr bwMode="auto">
        <a:xfrm>
          <a:off x="768350" y="6635750"/>
          <a:ext cx="3575050" cy="76200"/>
        </a:xfrm>
        <a:prstGeom prst="rect">
          <a:avLst/>
        </a:prstGeom>
        <a:blipFill dpi="0" rotWithShape="0">
          <a:blip xmlns:r="http://schemas.openxmlformats.org/officeDocument/2006/relationships" r:embed="rId5"/>
          <a:srcRect/>
          <a:tile tx="0" ty="0" sx="100000" sy="100000" flip="none" algn="tl"/>
        </a:blipFill>
        <a:ln w="9525">
          <a:solidFill>
            <a:srgbClr val="000000"/>
          </a:solidFill>
          <a:miter lim="800000"/>
          <a:headEnd/>
          <a:tailEnd/>
        </a:ln>
      </xdr:spPr>
    </xdr:sp>
    <xdr:clientData/>
  </xdr:twoCellAnchor>
  <xdr:twoCellAnchor>
    <xdr:from>
      <xdr:col>15</xdr:col>
      <xdr:colOff>44450</xdr:colOff>
      <xdr:row>50</xdr:row>
      <xdr:rowOff>76200</xdr:rowOff>
    </xdr:from>
    <xdr:to>
      <xdr:col>19</xdr:col>
      <xdr:colOff>6350</xdr:colOff>
      <xdr:row>52</xdr:row>
      <xdr:rowOff>50800</xdr:rowOff>
    </xdr:to>
    <xdr:sp macro="" textlink="">
      <xdr:nvSpPr>
        <xdr:cNvPr id="889992" name="Rectangle 31" descr="Outlined diamond">
          <a:extLst>
            <a:ext uri="{FF2B5EF4-FFF2-40B4-BE49-F238E27FC236}">
              <a16:creationId xmlns="" xmlns:a16="http://schemas.microsoft.com/office/drawing/2014/main" id="{00000000-0008-0000-2800-000088940D00}"/>
            </a:ext>
          </a:extLst>
        </xdr:cNvPr>
        <xdr:cNvSpPr>
          <a:spLocks noChangeArrowheads="1"/>
        </xdr:cNvSpPr>
      </xdr:nvSpPr>
      <xdr:spPr bwMode="auto">
        <a:xfrm>
          <a:off x="1568450" y="5041900"/>
          <a:ext cx="368300" cy="2667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30</xdr:col>
      <xdr:colOff>57150</xdr:colOff>
      <xdr:row>50</xdr:row>
      <xdr:rowOff>57150</xdr:rowOff>
    </xdr:from>
    <xdr:to>
      <xdr:col>34</xdr:col>
      <xdr:colOff>19050</xdr:colOff>
      <xdr:row>52</xdr:row>
      <xdr:rowOff>31750</xdr:rowOff>
    </xdr:to>
    <xdr:sp macro="" textlink="">
      <xdr:nvSpPr>
        <xdr:cNvPr id="889993" name="Rectangle 32" descr="Outlined diamond">
          <a:extLst>
            <a:ext uri="{FF2B5EF4-FFF2-40B4-BE49-F238E27FC236}">
              <a16:creationId xmlns="" xmlns:a16="http://schemas.microsoft.com/office/drawing/2014/main" id="{00000000-0008-0000-2800-000089940D00}"/>
            </a:ext>
          </a:extLst>
        </xdr:cNvPr>
        <xdr:cNvSpPr>
          <a:spLocks noChangeArrowheads="1"/>
        </xdr:cNvSpPr>
      </xdr:nvSpPr>
      <xdr:spPr bwMode="auto">
        <a:xfrm>
          <a:off x="3105150" y="5022850"/>
          <a:ext cx="368300" cy="2667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17</xdr:col>
      <xdr:colOff>19050</xdr:colOff>
      <xdr:row>52</xdr:row>
      <xdr:rowOff>57150</xdr:rowOff>
    </xdr:from>
    <xdr:to>
      <xdr:col>17</xdr:col>
      <xdr:colOff>19050</xdr:colOff>
      <xdr:row>59</xdr:row>
      <xdr:rowOff>82550</xdr:rowOff>
    </xdr:to>
    <xdr:sp macro="" textlink="">
      <xdr:nvSpPr>
        <xdr:cNvPr id="889994" name="Line 34">
          <a:extLst>
            <a:ext uri="{FF2B5EF4-FFF2-40B4-BE49-F238E27FC236}">
              <a16:creationId xmlns="" xmlns:a16="http://schemas.microsoft.com/office/drawing/2014/main" id="{00000000-0008-0000-2800-00008A940D00}"/>
            </a:ext>
          </a:extLst>
        </xdr:cNvPr>
        <xdr:cNvSpPr>
          <a:spLocks noChangeShapeType="1"/>
        </xdr:cNvSpPr>
      </xdr:nvSpPr>
      <xdr:spPr bwMode="auto">
        <a:xfrm>
          <a:off x="1746250" y="5314950"/>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19050</xdr:colOff>
      <xdr:row>52</xdr:row>
      <xdr:rowOff>19050</xdr:rowOff>
    </xdr:from>
    <xdr:to>
      <xdr:col>32</xdr:col>
      <xdr:colOff>19050</xdr:colOff>
      <xdr:row>60</xdr:row>
      <xdr:rowOff>6350</xdr:rowOff>
    </xdr:to>
    <xdr:sp macro="" textlink="">
      <xdr:nvSpPr>
        <xdr:cNvPr id="889995" name="Line 36">
          <a:extLst>
            <a:ext uri="{FF2B5EF4-FFF2-40B4-BE49-F238E27FC236}">
              <a16:creationId xmlns="" xmlns:a16="http://schemas.microsoft.com/office/drawing/2014/main" id="{00000000-0008-0000-2800-00008B940D00}"/>
            </a:ext>
          </a:extLst>
        </xdr:cNvPr>
        <xdr:cNvSpPr>
          <a:spLocks noChangeShapeType="1"/>
        </xdr:cNvSpPr>
      </xdr:nvSpPr>
      <xdr:spPr bwMode="auto">
        <a:xfrm>
          <a:off x="3270250" y="5276850"/>
          <a:ext cx="0" cy="1358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13</xdr:row>
      <xdr:rowOff>50800</xdr:rowOff>
    </xdr:from>
    <xdr:to>
      <xdr:col>6</xdr:col>
      <xdr:colOff>6350</xdr:colOff>
      <xdr:row>32</xdr:row>
      <xdr:rowOff>0</xdr:rowOff>
    </xdr:to>
    <xdr:sp macro="" textlink="">
      <xdr:nvSpPr>
        <xdr:cNvPr id="889996" name="Line 37">
          <a:extLst>
            <a:ext uri="{FF2B5EF4-FFF2-40B4-BE49-F238E27FC236}">
              <a16:creationId xmlns="" xmlns:a16="http://schemas.microsoft.com/office/drawing/2014/main" id="{00000000-0008-0000-2800-00008C940D00}"/>
            </a:ext>
          </a:extLst>
        </xdr:cNvPr>
        <xdr:cNvSpPr>
          <a:spLocks noChangeShapeType="1"/>
        </xdr:cNvSpPr>
      </xdr:nvSpPr>
      <xdr:spPr bwMode="auto">
        <a:xfrm>
          <a:off x="609600" y="1390650"/>
          <a:ext cx="6350" cy="18605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xdr:col>
      <xdr:colOff>35560</xdr:colOff>
      <xdr:row>22</xdr:row>
      <xdr:rowOff>17145</xdr:rowOff>
    </xdr:from>
    <xdr:to>
      <xdr:col>4</xdr:col>
      <xdr:colOff>764</xdr:colOff>
      <xdr:row>29</xdr:row>
      <xdr:rowOff>115415</xdr:rowOff>
    </xdr:to>
    <xdr:sp macro="" textlink="">
      <xdr:nvSpPr>
        <xdr:cNvPr id="37" name="Text Box 38">
          <a:extLst>
            <a:ext uri="{FF2B5EF4-FFF2-40B4-BE49-F238E27FC236}">
              <a16:creationId xmlns="" xmlns:a16="http://schemas.microsoft.com/office/drawing/2014/main" id="{00000000-0008-0000-2800-000025000000}"/>
            </a:ext>
          </a:extLst>
        </xdr:cNvPr>
        <xdr:cNvSpPr txBox="1">
          <a:spLocks noChangeArrowheads="1"/>
        </xdr:cNvSpPr>
      </xdr:nvSpPr>
      <xdr:spPr bwMode="auto">
        <a:xfrm>
          <a:off x="285750" y="2114550"/>
          <a:ext cx="238125" cy="8096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160</a:t>
          </a:r>
        </a:p>
      </xdr:txBody>
    </xdr:sp>
    <xdr:clientData/>
  </xdr:twoCellAnchor>
  <xdr:twoCellAnchor>
    <xdr:from>
      <xdr:col>8</xdr:col>
      <xdr:colOff>6350</xdr:colOff>
      <xdr:row>34</xdr:row>
      <xdr:rowOff>82550</xdr:rowOff>
    </xdr:from>
    <xdr:to>
      <xdr:col>42</xdr:col>
      <xdr:colOff>0</xdr:colOff>
      <xdr:row>35</xdr:row>
      <xdr:rowOff>12700</xdr:rowOff>
    </xdr:to>
    <xdr:sp macro="" textlink="">
      <xdr:nvSpPr>
        <xdr:cNvPr id="889998" name="Line 39">
          <a:extLst>
            <a:ext uri="{FF2B5EF4-FFF2-40B4-BE49-F238E27FC236}">
              <a16:creationId xmlns="" xmlns:a16="http://schemas.microsoft.com/office/drawing/2014/main" id="{00000000-0008-0000-2800-00008E940D00}"/>
            </a:ext>
          </a:extLst>
        </xdr:cNvPr>
        <xdr:cNvSpPr>
          <a:spLocks noChangeShapeType="1"/>
        </xdr:cNvSpPr>
      </xdr:nvSpPr>
      <xdr:spPr bwMode="auto">
        <a:xfrm flipV="1">
          <a:off x="819150" y="3524250"/>
          <a:ext cx="3448050" cy="254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31</xdr:col>
      <xdr:colOff>19685</xdr:colOff>
      <xdr:row>31</xdr:row>
      <xdr:rowOff>635</xdr:rowOff>
    </xdr:from>
    <xdr:to>
      <xdr:col>33</xdr:col>
      <xdr:colOff>586</xdr:colOff>
      <xdr:row>39</xdr:row>
      <xdr:rowOff>13046</xdr:rowOff>
    </xdr:to>
    <xdr:sp macro="" textlink="">
      <xdr:nvSpPr>
        <xdr:cNvPr id="39" name="Text Box 40">
          <a:extLst>
            <a:ext uri="{FF2B5EF4-FFF2-40B4-BE49-F238E27FC236}">
              <a16:creationId xmlns="" xmlns:a16="http://schemas.microsoft.com/office/drawing/2014/main" id="{00000000-0008-0000-2800-000027000000}"/>
            </a:ext>
          </a:extLst>
        </xdr:cNvPr>
        <xdr:cNvSpPr txBox="1">
          <a:spLocks noChangeArrowheads="1"/>
        </xdr:cNvSpPr>
      </xdr:nvSpPr>
      <xdr:spPr bwMode="auto">
        <a:xfrm>
          <a:off x="3371850" y="3057525"/>
          <a:ext cx="190500" cy="790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80</a:t>
          </a:r>
        </a:p>
      </xdr:txBody>
    </xdr:sp>
    <xdr:clientData/>
  </xdr:twoCellAnchor>
  <xdr:twoCellAnchor>
    <xdr:from>
      <xdr:col>16</xdr:col>
      <xdr:colOff>57785</xdr:colOff>
      <xdr:row>30</xdr:row>
      <xdr:rowOff>74295</xdr:rowOff>
    </xdr:from>
    <xdr:to>
      <xdr:col>18</xdr:col>
      <xdr:colOff>58317</xdr:colOff>
      <xdr:row>32</xdr:row>
      <xdr:rowOff>8742</xdr:rowOff>
    </xdr:to>
    <xdr:sp macro="" textlink="">
      <xdr:nvSpPr>
        <xdr:cNvPr id="40" name="Text Box 41">
          <a:extLst>
            <a:ext uri="{FF2B5EF4-FFF2-40B4-BE49-F238E27FC236}">
              <a16:creationId xmlns="" xmlns:a16="http://schemas.microsoft.com/office/drawing/2014/main" id="{00000000-0008-0000-2800-000028000000}"/>
            </a:ext>
          </a:extLst>
        </xdr:cNvPr>
        <xdr:cNvSpPr txBox="1">
          <a:spLocks noChangeArrowheads="1"/>
        </xdr:cNvSpPr>
      </xdr:nvSpPr>
      <xdr:spPr bwMode="auto">
        <a:xfrm>
          <a:off x="1838325" y="3048000"/>
          <a:ext cx="200025"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80</a:t>
          </a:r>
        </a:p>
      </xdr:txBody>
    </xdr:sp>
    <xdr:clientData/>
  </xdr:twoCellAnchor>
  <xdr:oneCellAnchor>
    <xdr:from>
      <xdr:col>22</xdr:col>
      <xdr:colOff>20955</xdr:colOff>
      <xdr:row>34</xdr:row>
      <xdr:rowOff>0</xdr:rowOff>
    </xdr:from>
    <xdr:ext cx="232371" cy="170560"/>
    <xdr:sp macro="" textlink="">
      <xdr:nvSpPr>
        <xdr:cNvPr id="41" name="Text Box 43">
          <a:extLst>
            <a:ext uri="{FF2B5EF4-FFF2-40B4-BE49-F238E27FC236}">
              <a16:creationId xmlns="" xmlns:a16="http://schemas.microsoft.com/office/drawing/2014/main" id="{00000000-0008-0000-2800-000029000000}"/>
            </a:ext>
          </a:extLst>
        </xdr:cNvPr>
        <xdr:cNvSpPr txBox="1">
          <a:spLocks noChangeArrowheads="1"/>
        </xdr:cNvSpPr>
      </xdr:nvSpPr>
      <xdr:spPr bwMode="auto">
        <a:xfrm>
          <a:off x="2256155" y="3441700"/>
          <a:ext cx="232371"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fr-FR" sz="1000" b="0" i="0" strike="noStrike">
              <a:solidFill>
                <a:srgbClr val="000000"/>
              </a:solidFill>
              <a:latin typeface="Arial"/>
              <a:cs typeface="Arial"/>
            </a:rPr>
            <a:t>340</a:t>
          </a:r>
        </a:p>
      </xdr:txBody>
    </xdr:sp>
    <xdr:clientData/>
  </xdr:oneCellAnchor>
  <xdr:twoCellAnchor>
    <xdr:from>
      <xdr:col>54</xdr:col>
      <xdr:colOff>0</xdr:colOff>
      <xdr:row>9</xdr:row>
      <xdr:rowOff>76200</xdr:rowOff>
    </xdr:from>
    <xdr:to>
      <xdr:col>63</xdr:col>
      <xdr:colOff>0</xdr:colOff>
      <xdr:row>14</xdr:row>
      <xdr:rowOff>50800</xdr:rowOff>
    </xdr:to>
    <xdr:sp macro="" textlink="">
      <xdr:nvSpPr>
        <xdr:cNvPr id="890002" name="Line 44">
          <a:extLst>
            <a:ext uri="{FF2B5EF4-FFF2-40B4-BE49-F238E27FC236}">
              <a16:creationId xmlns="" xmlns:a16="http://schemas.microsoft.com/office/drawing/2014/main" id="{00000000-0008-0000-2800-000092940D00}"/>
            </a:ext>
          </a:extLst>
        </xdr:cNvPr>
        <xdr:cNvSpPr>
          <a:spLocks noChangeShapeType="1"/>
        </xdr:cNvSpPr>
      </xdr:nvSpPr>
      <xdr:spPr bwMode="auto">
        <a:xfrm flipH="1">
          <a:off x="5486400" y="1035050"/>
          <a:ext cx="914400" cy="4508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oneCellAnchor>
    <xdr:from>
      <xdr:col>57</xdr:col>
      <xdr:colOff>0</xdr:colOff>
      <xdr:row>11</xdr:row>
      <xdr:rowOff>41910</xdr:rowOff>
    </xdr:from>
    <xdr:ext cx="232371" cy="170560"/>
    <xdr:sp macro="" textlink="">
      <xdr:nvSpPr>
        <xdr:cNvPr id="43" name="Text Box 46">
          <a:extLst>
            <a:ext uri="{FF2B5EF4-FFF2-40B4-BE49-F238E27FC236}">
              <a16:creationId xmlns="" xmlns:a16="http://schemas.microsoft.com/office/drawing/2014/main" id="{00000000-0008-0000-2800-00002B000000}"/>
            </a:ext>
          </a:extLst>
        </xdr:cNvPr>
        <xdr:cNvSpPr txBox="1">
          <a:spLocks noChangeArrowheads="1"/>
        </xdr:cNvSpPr>
      </xdr:nvSpPr>
      <xdr:spPr bwMode="auto">
        <a:xfrm>
          <a:off x="5791200" y="1191260"/>
          <a:ext cx="232371"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fr-FR" sz="1000" b="0" i="0" strike="noStrike">
              <a:solidFill>
                <a:srgbClr val="000000"/>
              </a:solidFill>
              <a:latin typeface="Arial"/>
              <a:cs typeface="Arial"/>
            </a:rPr>
            <a:t>120</a:t>
          </a:r>
        </a:p>
      </xdr:txBody>
    </xdr:sp>
    <xdr:clientData/>
  </xdr:oneCellAnchor>
  <xdr:twoCellAnchor>
    <xdr:from>
      <xdr:col>44</xdr:col>
      <xdr:colOff>19050</xdr:colOff>
      <xdr:row>11</xdr:row>
      <xdr:rowOff>57150</xdr:rowOff>
    </xdr:from>
    <xdr:to>
      <xdr:col>51</xdr:col>
      <xdr:colOff>57150</xdr:colOff>
      <xdr:row>23</xdr:row>
      <xdr:rowOff>19050</xdr:rowOff>
    </xdr:to>
    <xdr:sp macro="" textlink="">
      <xdr:nvSpPr>
        <xdr:cNvPr id="890004" name="Line 47">
          <a:extLst>
            <a:ext uri="{FF2B5EF4-FFF2-40B4-BE49-F238E27FC236}">
              <a16:creationId xmlns="" xmlns:a16="http://schemas.microsoft.com/office/drawing/2014/main" id="{00000000-0008-0000-2800-000094940D00}"/>
            </a:ext>
          </a:extLst>
        </xdr:cNvPr>
        <xdr:cNvSpPr>
          <a:spLocks noChangeShapeType="1"/>
        </xdr:cNvSpPr>
      </xdr:nvSpPr>
      <xdr:spPr bwMode="auto">
        <a:xfrm rot="10619956">
          <a:off x="4489450" y="1206500"/>
          <a:ext cx="749300" cy="1104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51</xdr:col>
      <xdr:colOff>78105</xdr:colOff>
      <xdr:row>21</xdr:row>
      <xdr:rowOff>32385</xdr:rowOff>
    </xdr:from>
    <xdr:to>
      <xdr:col>60</xdr:col>
      <xdr:colOff>61099</xdr:colOff>
      <xdr:row>25</xdr:row>
      <xdr:rowOff>128</xdr:rowOff>
    </xdr:to>
    <xdr:sp macro="" textlink="">
      <xdr:nvSpPr>
        <xdr:cNvPr id="45" name="Text Box 48">
          <a:extLst>
            <a:ext uri="{FF2B5EF4-FFF2-40B4-BE49-F238E27FC236}">
              <a16:creationId xmlns="" xmlns:a16="http://schemas.microsoft.com/office/drawing/2014/main" id="{00000000-0008-0000-2800-00002D000000}"/>
            </a:ext>
          </a:extLst>
        </xdr:cNvPr>
        <xdr:cNvSpPr txBox="1">
          <a:spLocks noChangeArrowheads="1"/>
        </xdr:cNvSpPr>
      </xdr:nvSpPr>
      <xdr:spPr bwMode="auto">
        <a:xfrm>
          <a:off x="5543550" y="2019300"/>
          <a:ext cx="885825" cy="3619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tuyau PVC 75 PN 6</a:t>
          </a:r>
        </a:p>
      </xdr:txBody>
    </xdr:sp>
    <xdr:clientData/>
  </xdr:twoCellAnchor>
  <xdr:twoCellAnchor editAs="oneCell">
    <xdr:from>
      <xdr:col>21</xdr:col>
      <xdr:colOff>35560</xdr:colOff>
      <xdr:row>7</xdr:row>
      <xdr:rowOff>36830</xdr:rowOff>
    </xdr:from>
    <xdr:to>
      <xdr:col>28</xdr:col>
      <xdr:colOff>282</xdr:colOff>
      <xdr:row>12</xdr:row>
      <xdr:rowOff>17203</xdr:rowOff>
    </xdr:to>
    <xdr:sp macro="" textlink="">
      <xdr:nvSpPr>
        <xdr:cNvPr id="46" name="Text Box 50">
          <a:extLst>
            <a:ext uri="{FF2B5EF4-FFF2-40B4-BE49-F238E27FC236}">
              <a16:creationId xmlns="" xmlns:a16="http://schemas.microsoft.com/office/drawing/2014/main" id="{00000000-0008-0000-2800-00002E000000}"/>
            </a:ext>
          </a:extLst>
        </xdr:cNvPr>
        <xdr:cNvSpPr txBox="1">
          <a:spLocks noChangeArrowheads="1"/>
        </xdr:cNvSpPr>
      </xdr:nvSpPr>
      <xdr:spPr bwMode="auto">
        <a:xfrm>
          <a:off x="2381250" y="723900"/>
          <a:ext cx="657225" cy="4286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regard de visite</a:t>
          </a:r>
        </a:p>
      </xdr:txBody>
    </xdr:sp>
    <xdr:clientData/>
  </xdr:twoCellAnchor>
  <xdr:twoCellAnchor>
    <xdr:from>
      <xdr:col>20</xdr:col>
      <xdr:colOff>0</xdr:colOff>
      <xdr:row>9</xdr:row>
      <xdr:rowOff>31750</xdr:rowOff>
    </xdr:from>
    <xdr:to>
      <xdr:col>22</xdr:col>
      <xdr:colOff>57150</xdr:colOff>
      <xdr:row>9</xdr:row>
      <xdr:rowOff>82550</xdr:rowOff>
    </xdr:to>
    <xdr:sp macro="" textlink="">
      <xdr:nvSpPr>
        <xdr:cNvPr id="890007" name="Line 51">
          <a:extLst>
            <a:ext uri="{FF2B5EF4-FFF2-40B4-BE49-F238E27FC236}">
              <a16:creationId xmlns="" xmlns:a16="http://schemas.microsoft.com/office/drawing/2014/main" id="{00000000-0008-0000-2800-000097940D00}"/>
            </a:ext>
          </a:extLst>
        </xdr:cNvPr>
        <xdr:cNvSpPr>
          <a:spLocks noChangeShapeType="1"/>
        </xdr:cNvSpPr>
      </xdr:nvSpPr>
      <xdr:spPr bwMode="auto">
        <a:xfrm flipV="1">
          <a:off x="2032000" y="990600"/>
          <a:ext cx="260350" cy="508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57150</xdr:colOff>
      <xdr:row>9</xdr:row>
      <xdr:rowOff>31750</xdr:rowOff>
    </xdr:from>
    <xdr:to>
      <xdr:col>29</xdr:col>
      <xdr:colOff>63500</xdr:colOff>
      <xdr:row>10</xdr:row>
      <xdr:rowOff>12700</xdr:rowOff>
    </xdr:to>
    <xdr:sp macro="" textlink="">
      <xdr:nvSpPr>
        <xdr:cNvPr id="890008" name="Line 52">
          <a:extLst>
            <a:ext uri="{FF2B5EF4-FFF2-40B4-BE49-F238E27FC236}">
              <a16:creationId xmlns="" xmlns:a16="http://schemas.microsoft.com/office/drawing/2014/main" id="{00000000-0008-0000-2800-000098940D00}"/>
            </a:ext>
          </a:extLst>
        </xdr:cNvPr>
        <xdr:cNvSpPr>
          <a:spLocks noChangeShapeType="1"/>
        </xdr:cNvSpPr>
      </xdr:nvSpPr>
      <xdr:spPr bwMode="auto">
        <a:xfrm flipH="1" flipV="1">
          <a:off x="2901950" y="990600"/>
          <a:ext cx="107950" cy="762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19050</xdr:colOff>
      <xdr:row>17</xdr:row>
      <xdr:rowOff>19050</xdr:rowOff>
    </xdr:from>
    <xdr:to>
      <xdr:col>17</xdr:col>
      <xdr:colOff>38100</xdr:colOff>
      <xdr:row>18</xdr:row>
      <xdr:rowOff>50800</xdr:rowOff>
    </xdr:to>
    <xdr:sp macro="" textlink="">
      <xdr:nvSpPr>
        <xdr:cNvPr id="890009" name="Oval 53" descr="Outlined diamond">
          <a:extLst>
            <a:ext uri="{FF2B5EF4-FFF2-40B4-BE49-F238E27FC236}">
              <a16:creationId xmlns="" xmlns:a16="http://schemas.microsoft.com/office/drawing/2014/main" id="{00000000-0008-0000-2800-000099940D00}"/>
            </a:ext>
          </a:extLst>
        </xdr:cNvPr>
        <xdr:cNvSpPr>
          <a:spLocks noChangeArrowheads="1"/>
        </xdr:cNvSpPr>
      </xdr:nvSpPr>
      <xdr:spPr bwMode="auto">
        <a:xfrm>
          <a:off x="1644650" y="1739900"/>
          <a:ext cx="120650" cy="127000"/>
        </a:xfrm>
        <a:prstGeom prst="ellipse">
          <a:avLst/>
        </a:prstGeom>
        <a:blipFill dpi="0" rotWithShape="0">
          <a:blip xmlns:r="http://schemas.openxmlformats.org/officeDocument/2006/relationships" r:embed="rId6"/>
          <a:srcRect/>
          <a:tile tx="0" ty="0" sx="100000" sy="100000" flip="none" algn="tl"/>
        </a:blipFill>
        <a:ln w="9525">
          <a:solidFill>
            <a:srgbClr val="000000"/>
          </a:solidFill>
          <a:round/>
          <a:headEnd/>
          <a:tailEnd/>
        </a:ln>
      </xdr:spPr>
    </xdr:sp>
    <xdr:clientData/>
  </xdr:twoCellAnchor>
  <xdr:twoCellAnchor>
    <xdr:from>
      <xdr:col>31</xdr:col>
      <xdr:colOff>44450</xdr:colOff>
      <xdr:row>17</xdr:row>
      <xdr:rowOff>19050</xdr:rowOff>
    </xdr:from>
    <xdr:to>
      <xdr:col>32</xdr:col>
      <xdr:colOff>63500</xdr:colOff>
      <xdr:row>18</xdr:row>
      <xdr:rowOff>50800</xdr:rowOff>
    </xdr:to>
    <xdr:sp macro="" textlink="">
      <xdr:nvSpPr>
        <xdr:cNvPr id="890010" name="Oval 54" descr="Outlined diamond">
          <a:extLst>
            <a:ext uri="{FF2B5EF4-FFF2-40B4-BE49-F238E27FC236}">
              <a16:creationId xmlns="" xmlns:a16="http://schemas.microsoft.com/office/drawing/2014/main" id="{00000000-0008-0000-2800-00009A940D00}"/>
            </a:ext>
          </a:extLst>
        </xdr:cNvPr>
        <xdr:cNvSpPr>
          <a:spLocks noChangeArrowheads="1"/>
        </xdr:cNvSpPr>
      </xdr:nvSpPr>
      <xdr:spPr bwMode="auto">
        <a:xfrm>
          <a:off x="3194050" y="1739900"/>
          <a:ext cx="120650" cy="127000"/>
        </a:xfrm>
        <a:prstGeom prst="ellipse">
          <a:avLst/>
        </a:prstGeom>
        <a:blipFill dpi="0" rotWithShape="0">
          <a:blip xmlns:r="http://schemas.openxmlformats.org/officeDocument/2006/relationships" r:embed="rId6"/>
          <a:srcRect/>
          <a:tile tx="0" ty="0" sx="100000" sy="100000" flip="none" algn="tl"/>
        </a:blipFill>
        <a:ln w="9525">
          <a:solidFill>
            <a:srgbClr val="000000"/>
          </a:solidFill>
          <a:round/>
          <a:headEnd/>
          <a:tailEnd/>
        </a:ln>
      </xdr:spPr>
    </xdr:sp>
    <xdr:clientData/>
  </xdr:twoCellAnchor>
  <xdr:twoCellAnchor>
    <xdr:from>
      <xdr:col>29</xdr:col>
      <xdr:colOff>44450</xdr:colOff>
      <xdr:row>18</xdr:row>
      <xdr:rowOff>12700</xdr:rowOff>
    </xdr:from>
    <xdr:to>
      <xdr:col>32</xdr:col>
      <xdr:colOff>57150</xdr:colOff>
      <xdr:row>24</xdr:row>
      <xdr:rowOff>50800</xdr:rowOff>
    </xdr:to>
    <xdr:sp macro="" textlink="">
      <xdr:nvSpPr>
        <xdr:cNvPr id="890011" name="Line 55">
          <a:extLst>
            <a:ext uri="{FF2B5EF4-FFF2-40B4-BE49-F238E27FC236}">
              <a16:creationId xmlns="" xmlns:a16="http://schemas.microsoft.com/office/drawing/2014/main" id="{00000000-0008-0000-2800-00009B940D00}"/>
            </a:ext>
          </a:extLst>
        </xdr:cNvPr>
        <xdr:cNvSpPr>
          <a:spLocks noChangeShapeType="1"/>
        </xdr:cNvSpPr>
      </xdr:nvSpPr>
      <xdr:spPr bwMode="auto">
        <a:xfrm flipH="1">
          <a:off x="2990850" y="1828800"/>
          <a:ext cx="317500" cy="609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18</xdr:row>
      <xdr:rowOff>57150</xdr:rowOff>
    </xdr:from>
    <xdr:to>
      <xdr:col>30</xdr:col>
      <xdr:colOff>0</xdr:colOff>
      <xdr:row>24</xdr:row>
      <xdr:rowOff>31750</xdr:rowOff>
    </xdr:to>
    <xdr:sp macro="" textlink="">
      <xdr:nvSpPr>
        <xdr:cNvPr id="890012" name="Line 56">
          <a:extLst>
            <a:ext uri="{FF2B5EF4-FFF2-40B4-BE49-F238E27FC236}">
              <a16:creationId xmlns="" xmlns:a16="http://schemas.microsoft.com/office/drawing/2014/main" id="{00000000-0008-0000-2800-00009C940D00}"/>
            </a:ext>
          </a:extLst>
        </xdr:cNvPr>
        <xdr:cNvSpPr>
          <a:spLocks noChangeShapeType="1"/>
        </xdr:cNvSpPr>
      </xdr:nvSpPr>
      <xdr:spPr bwMode="auto">
        <a:xfrm>
          <a:off x="1746250" y="1873250"/>
          <a:ext cx="1301750" cy="5461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28</xdr:col>
      <xdr:colOff>3174</xdr:colOff>
      <xdr:row>24</xdr:row>
      <xdr:rowOff>1</xdr:rowOff>
    </xdr:from>
    <xdr:ext cx="889595" cy="190294"/>
    <xdr:sp macro="" textlink="">
      <xdr:nvSpPr>
        <xdr:cNvPr id="53" name="Text Box 57">
          <a:extLst>
            <a:ext uri="{FF2B5EF4-FFF2-40B4-BE49-F238E27FC236}">
              <a16:creationId xmlns="" xmlns:a16="http://schemas.microsoft.com/office/drawing/2014/main" id="{00000000-0008-0000-2800-000035000000}"/>
            </a:ext>
          </a:extLst>
        </xdr:cNvPr>
        <xdr:cNvSpPr txBox="1">
          <a:spLocks noChangeArrowheads="1"/>
        </xdr:cNvSpPr>
      </xdr:nvSpPr>
      <xdr:spPr bwMode="auto">
        <a:xfrm>
          <a:off x="2936874" y="2390776"/>
          <a:ext cx="866268" cy="171265"/>
        </a:xfrm>
        <a:prstGeom prst="rect">
          <a:avLst/>
        </a:prstGeom>
        <a:noFill/>
        <a:ln w="9525">
          <a:noFill/>
          <a:miter lim="800000"/>
          <a:headEnd/>
          <a:tailEnd/>
        </a:ln>
      </xdr:spPr>
      <xdr:txBody>
        <a:bodyPr wrap="square" lIns="18288" tIns="22860" rIns="0" bIns="0" anchor="t" upright="1">
          <a:spAutoFit/>
        </a:bodyPr>
        <a:lstStyle/>
        <a:p>
          <a:pPr algn="l" rtl="0">
            <a:defRPr sz="1000"/>
          </a:pPr>
          <a:r>
            <a:rPr lang="fr-FR" sz="1000" b="0" i="0" strike="noStrike">
              <a:solidFill>
                <a:srgbClr val="000000"/>
              </a:solidFill>
              <a:latin typeface="Arial"/>
              <a:cs typeface="Arial"/>
            </a:rPr>
            <a:t>crepine </a:t>
          </a:r>
          <a:r>
            <a:rPr lang="fr-FR" sz="1000" b="0" i="0" strike="noStrike">
              <a:solidFill>
                <a:srgbClr val="000000"/>
              </a:solidFill>
              <a:latin typeface="Franklin Gothic Book"/>
              <a:cs typeface="Arial"/>
            </a:rPr>
            <a:t>ф75</a:t>
          </a:r>
          <a:endParaRPr lang="fr-FR" sz="1000" b="0" i="0" strike="noStrike">
            <a:solidFill>
              <a:srgbClr val="000000"/>
            </a:solidFill>
            <a:latin typeface="Arial"/>
            <a:cs typeface="Arial"/>
          </a:endParaRPr>
        </a:p>
      </xdr:txBody>
    </xdr:sp>
    <xdr:clientData/>
  </xdr:oneCellAnchor>
  <xdr:twoCellAnchor>
    <xdr:from>
      <xdr:col>8</xdr:col>
      <xdr:colOff>19050</xdr:colOff>
      <xdr:row>75</xdr:row>
      <xdr:rowOff>19050</xdr:rowOff>
    </xdr:from>
    <xdr:to>
      <xdr:col>27</xdr:col>
      <xdr:colOff>0</xdr:colOff>
      <xdr:row>88</xdr:row>
      <xdr:rowOff>76200</xdr:rowOff>
    </xdr:to>
    <xdr:sp macro="" textlink="">
      <xdr:nvSpPr>
        <xdr:cNvPr id="890014" name="Rectangle 58">
          <a:extLst>
            <a:ext uri="{FF2B5EF4-FFF2-40B4-BE49-F238E27FC236}">
              <a16:creationId xmlns="" xmlns:a16="http://schemas.microsoft.com/office/drawing/2014/main" id="{00000000-0008-0000-2800-00009E940D00}"/>
            </a:ext>
          </a:extLst>
        </xdr:cNvPr>
        <xdr:cNvSpPr>
          <a:spLocks noChangeArrowheads="1"/>
        </xdr:cNvSpPr>
      </xdr:nvSpPr>
      <xdr:spPr bwMode="auto">
        <a:xfrm>
          <a:off x="831850" y="9601200"/>
          <a:ext cx="1911350" cy="2616200"/>
        </a:xfrm>
        <a:prstGeom prst="rect">
          <a:avLst/>
        </a:prstGeom>
        <a:solidFill>
          <a:srgbClr val="FFFFFF"/>
        </a:solidFill>
        <a:ln w="9525">
          <a:solidFill>
            <a:srgbClr val="000000"/>
          </a:solidFill>
          <a:miter lim="800000"/>
          <a:headEnd/>
          <a:tailEnd/>
        </a:ln>
      </xdr:spPr>
    </xdr:sp>
    <xdr:clientData/>
  </xdr:twoCellAnchor>
  <xdr:twoCellAnchor>
    <xdr:from>
      <xdr:col>8</xdr:col>
      <xdr:colOff>19050</xdr:colOff>
      <xdr:row>75</xdr:row>
      <xdr:rowOff>6350</xdr:rowOff>
    </xdr:from>
    <xdr:to>
      <xdr:col>9</xdr:col>
      <xdr:colOff>63500</xdr:colOff>
      <xdr:row>88</xdr:row>
      <xdr:rowOff>63500</xdr:rowOff>
    </xdr:to>
    <xdr:sp macro="" textlink="">
      <xdr:nvSpPr>
        <xdr:cNvPr id="890015" name="Rectangle 59" descr="Horizontal brick">
          <a:extLst>
            <a:ext uri="{FF2B5EF4-FFF2-40B4-BE49-F238E27FC236}">
              <a16:creationId xmlns="" xmlns:a16="http://schemas.microsoft.com/office/drawing/2014/main" id="{00000000-0008-0000-2800-00009F940D00}"/>
            </a:ext>
          </a:extLst>
        </xdr:cNvPr>
        <xdr:cNvSpPr>
          <a:spLocks noChangeArrowheads="1"/>
        </xdr:cNvSpPr>
      </xdr:nvSpPr>
      <xdr:spPr bwMode="auto">
        <a:xfrm>
          <a:off x="831850" y="9588500"/>
          <a:ext cx="146050" cy="2616200"/>
        </a:xfrm>
        <a:prstGeom prst="rect">
          <a:avLst/>
        </a:prstGeom>
        <a:blipFill dpi="0" rotWithShape="0">
          <a:blip xmlns:r="http://schemas.openxmlformats.org/officeDocument/2006/relationships" r:embed="rId7"/>
          <a:srcRect/>
          <a:tile tx="0" ty="0" sx="100000" sy="100000" flip="none" algn="tl"/>
        </a:blipFill>
        <a:ln w="9525">
          <a:solidFill>
            <a:srgbClr val="000000"/>
          </a:solidFill>
          <a:miter lim="800000"/>
          <a:headEnd/>
          <a:tailEnd/>
        </a:ln>
      </xdr:spPr>
    </xdr:sp>
    <xdr:clientData/>
  </xdr:twoCellAnchor>
  <xdr:twoCellAnchor>
    <xdr:from>
      <xdr:col>25</xdr:col>
      <xdr:colOff>57150</xdr:colOff>
      <xdr:row>76</xdr:row>
      <xdr:rowOff>25400</xdr:rowOff>
    </xdr:from>
    <xdr:to>
      <xdr:col>27</xdr:col>
      <xdr:colOff>6350</xdr:colOff>
      <xdr:row>88</xdr:row>
      <xdr:rowOff>82550</xdr:rowOff>
    </xdr:to>
    <xdr:sp macro="" textlink="">
      <xdr:nvSpPr>
        <xdr:cNvPr id="890016" name="Rectangle 60">
          <a:extLst>
            <a:ext uri="{FF2B5EF4-FFF2-40B4-BE49-F238E27FC236}">
              <a16:creationId xmlns="" xmlns:a16="http://schemas.microsoft.com/office/drawing/2014/main" id="{00000000-0008-0000-2800-0000A0940D00}"/>
            </a:ext>
          </a:extLst>
        </xdr:cNvPr>
        <xdr:cNvSpPr>
          <a:spLocks noChangeArrowheads="1"/>
        </xdr:cNvSpPr>
      </xdr:nvSpPr>
      <xdr:spPr bwMode="auto">
        <a:xfrm>
          <a:off x="2597150" y="9804400"/>
          <a:ext cx="152400" cy="2419350"/>
        </a:xfrm>
        <a:prstGeom prst="rect">
          <a:avLst/>
        </a:prstGeom>
        <a:solidFill>
          <a:srgbClr val="FFFFFF"/>
        </a:solidFill>
        <a:ln w="9525">
          <a:solidFill>
            <a:srgbClr val="000000"/>
          </a:solidFill>
          <a:miter lim="800000"/>
          <a:headEnd/>
          <a:tailEnd/>
        </a:ln>
      </xdr:spPr>
    </xdr:sp>
    <xdr:clientData/>
  </xdr:twoCellAnchor>
  <xdr:twoCellAnchor>
    <xdr:from>
      <xdr:col>8</xdr:col>
      <xdr:colOff>6350</xdr:colOff>
      <xdr:row>74</xdr:row>
      <xdr:rowOff>38100</xdr:rowOff>
    </xdr:from>
    <xdr:to>
      <xdr:col>31</xdr:col>
      <xdr:colOff>76200</xdr:colOff>
      <xdr:row>75</xdr:row>
      <xdr:rowOff>6350</xdr:rowOff>
    </xdr:to>
    <xdr:sp macro="" textlink="">
      <xdr:nvSpPr>
        <xdr:cNvPr id="890017" name="Rectangle 61">
          <a:extLst>
            <a:ext uri="{FF2B5EF4-FFF2-40B4-BE49-F238E27FC236}">
              <a16:creationId xmlns="" xmlns:a16="http://schemas.microsoft.com/office/drawing/2014/main" id="{00000000-0008-0000-2800-0000A1940D00}"/>
            </a:ext>
          </a:extLst>
        </xdr:cNvPr>
        <xdr:cNvSpPr>
          <a:spLocks noChangeArrowheads="1"/>
        </xdr:cNvSpPr>
      </xdr:nvSpPr>
      <xdr:spPr bwMode="auto">
        <a:xfrm>
          <a:off x="819150" y="9423400"/>
          <a:ext cx="2406650" cy="165100"/>
        </a:xfrm>
        <a:prstGeom prst="rect">
          <a:avLst/>
        </a:prstGeom>
        <a:solidFill>
          <a:srgbClr val="FFFFFF"/>
        </a:solidFill>
        <a:ln w="9525">
          <a:solidFill>
            <a:srgbClr val="000000"/>
          </a:solidFill>
          <a:miter lim="800000"/>
          <a:headEnd/>
          <a:tailEnd/>
        </a:ln>
      </xdr:spPr>
    </xdr:sp>
    <xdr:clientData/>
  </xdr:twoCellAnchor>
  <xdr:twoCellAnchor>
    <xdr:from>
      <xdr:col>10</xdr:col>
      <xdr:colOff>25400</xdr:colOff>
      <xdr:row>69</xdr:row>
      <xdr:rowOff>63500</xdr:rowOff>
    </xdr:from>
    <xdr:to>
      <xdr:col>11</xdr:col>
      <xdr:colOff>0</xdr:colOff>
      <xdr:row>74</xdr:row>
      <xdr:rowOff>57150</xdr:rowOff>
    </xdr:to>
    <xdr:sp macro="" textlink="">
      <xdr:nvSpPr>
        <xdr:cNvPr id="890018" name="Rectangle 62">
          <a:extLst>
            <a:ext uri="{FF2B5EF4-FFF2-40B4-BE49-F238E27FC236}">
              <a16:creationId xmlns="" xmlns:a16="http://schemas.microsoft.com/office/drawing/2014/main" id="{00000000-0008-0000-2800-0000A2940D00}"/>
            </a:ext>
          </a:extLst>
        </xdr:cNvPr>
        <xdr:cNvSpPr>
          <a:spLocks noChangeArrowheads="1"/>
        </xdr:cNvSpPr>
      </xdr:nvSpPr>
      <xdr:spPr bwMode="auto">
        <a:xfrm>
          <a:off x="1041400" y="8464550"/>
          <a:ext cx="76200" cy="977900"/>
        </a:xfrm>
        <a:prstGeom prst="rect">
          <a:avLst/>
        </a:prstGeom>
        <a:solidFill>
          <a:srgbClr val="FFFFFF"/>
        </a:solidFill>
        <a:ln w="9525">
          <a:solidFill>
            <a:srgbClr val="000000"/>
          </a:solidFill>
          <a:miter lim="800000"/>
          <a:headEnd/>
          <a:tailEnd/>
        </a:ln>
      </xdr:spPr>
    </xdr:sp>
    <xdr:clientData/>
  </xdr:twoCellAnchor>
  <xdr:twoCellAnchor>
    <xdr:from>
      <xdr:col>15</xdr:col>
      <xdr:colOff>0</xdr:colOff>
      <xdr:row>70</xdr:row>
      <xdr:rowOff>76200</xdr:rowOff>
    </xdr:from>
    <xdr:to>
      <xdr:col>15</xdr:col>
      <xdr:colOff>57150</xdr:colOff>
      <xdr:row>74</xdr:row>
      <xdr:rowOff>57150</xdr:rowOff>
    </xdr:to>
    <xdr:sp macro="" textlink="">
      <xdr:nvSpPr>
        <xdr:cNvPr id="890019" name="Rectangle 63">
          <a:extLst>
            <a:ext uri="{FF2B5EF4-FFF2-40B4-BE49-F238E27FC236}">
              <a16:creationId xmlns="" xmlns:a16="http://schemas.microsoft.com/office/drawing/2014/main" id="{00000000-0008-0000-2800-0000A3940D00}"/>
            </a:ext>
          </a:extLst>
        </xdr:cNvPr>
        <xdr:cNvSpPr>
          <a:spLocks noChangeArrowheads="1"/>
        </xdr:cNvSpPr>
      </xdr:nvSpPr>
      <xdr:spPr bwMode="auto">
        <a:xfrm>
          <a:off x="1524000" y="8674100"/>
          <a:ext cx="57150" cy="768350"/>
        </a:xfrm>
        <a:prstGeom prst="rect">
          <a:avLst/>
        </a:prstGeom>
        <a:solidFill>
          <a:srgbClr val="FFFFFF"/>
        </a:solidFill>
        <a:ln w="9525">
          <a:solidFill>
            <a:srgbClr val="000000"/>
          </a:solidFill>
          <a:miter lim="800000"/>
          <a:headEnd/>
          <a:tailEnd/>
        </a:ln>
      </xdr:spPr>
    </xdr:sp>
    <xdr:clientData/>
  </xdr:twoCellAnchor>
  <xdr:twoCellAnchor>
    <xdr:from>
      <xdr:col>22</xdr:col>
      <xdr:colOff>19050</xdr:colOff>
      <xdr:row>72</xdr:row>
      <xdr:rowOff>38100</xdr:rowOff>
    </xdr:from>
    <xdr:to>
      <xdr:col>23</xdr:col>
      <xdr:colOff>0</xdr:colOff>
      <xdr:row>74</xdr:row>
      <xdr:rowOff>82550</xdr:rowOff>
    </xdr:to>
    <xdr:sp macro="" textlink="">
      <xdr:nvSpPr>
        <xdr:cNvPr id="890020" name="Rectangle 64">
          <a:extLst>
            <a:ext uri="{FF2B5EF4-FFF2-40B4-BE49-F238E27FC236}">
              <a16:creationId xmlns="" xmlns:a16="http://schemas.microsoft.com/office/drawing/2014/main" id="{00000000-0008-0000-2800-0000A4940D00}"/>
            </a:ext>
          </a:extLst>
        </xdr:cNvPr>
        <xdr:cNvSpPr>
          <a:spLocks noChangeArrowheads="1"/>
        </xdr:cNvSpPr>
      </xdr:nvSpPr>
      <xdr:spPr bwMode="auto">
        <a:xfrm>
          <a:off x="2254250" y="9029700"/>
          <a:ext cx="82550" cy="438150"/>
        </a:xfrm>
        <a:prstGeom prst="rect">
          <a:avLst/>
        </a:prstGeom>
        <a:solidFill>
          <a:srgbClr val="FFFFFF"/>
        </a:solidFill>
        <a:ln w="9525">
          <a:solidFill>
            <a:srgbClr val="000000"/>
          </a:solidFill>
          <a:miter lim="800000"/>
          <a:headEnd/>
          <a:tailEnd/>
        </a:ln>
      </xdr:spPr>
    </xdr:sp>
    <xdr:clientData/>
  </xdr:twoCellAnchor>
  <xdr:twoCellAnchor>
    <xdr:from>
      <xdr:col>28</xdr:col>
      <xdr:colOff>57150</xdr:colOff>
      <xdr:row>74</xdr:row>
      <xdr:rowOff>0</xdr:rowOff>
    </xdr:from>
    <xdr:to>
      <xdr:col>29</xdr:col>
      <xdr:colOff>25400</xdr:colOff>
      <xdr:row>75</xdr:row>
      <xdr:rowOff>0</xdr:rowOff>
    </xdr:to>
    <xdr:sp macro="" textlink="">
      <xdr:nvSpPr>
        <xdr:cNvPr id="890021" name="Rectangle 65">
          <a:extLst>
            <a:ext uri="{FF2B5EF4-FFF2-40B4-BE49-F238E27FC236}">
              <a16:creationId xmlns="" xmlns:a16="http://schemas.microsoft.com/office/drawing/2014/main" id="{00000000-0008-0000-2800-0000A5940D00}"/>
            </a:ext>
          </a:extLst>
        </xdr:cNvPr>
        <xdr:cNvSpPr>
          <a:spLocks noChangeArrowheads="1"/>
        </xdr:cNvSpPr>
      </xdr:nvSpPr>
      <xdr:spPr bwMode="auto">
        <a:xfrm>
          <a:off x="2901950" y="9385300"/>
          <a:ext cx="69850" cy="19685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70</xdr:row>
      <xdr:rowOff>82550</xdr:rowOff>
    </xdr:from>
    <xdr:to>
      <xdr:col>31</xdr:col>
      <xdr:colOff>63500</xdr:colOff>
      <xdr:row>71</xdr:row>
      <xdr:rowOff>25400</xdr:rowOff>
    </xdr:to>
    <xdr:sp macro="" textlink="">
      <xdr:nvSpPr>
        <xdr:cNvPr id="890022" name="Rectangle 66">
          <a:extLst>
            <a:ext uri="{FF2B5EF4-FFF2-40B4-BE49-F238E27FC236}">
              <a16:creationId xmlns="" xmlns:a16="http://schemas.microsoft.com/office/drawing/2014/main" id="{00000000-0008-0000-2800-0000A6940D00}"/>
            </a:ext>
          </a:extLst>
        </xdr:cNvPr>
        <xdr:cNvSpPr>
          <a:spLocks noChangeArrowheads="1"/>
        </xdr:cNvSpPr>
      </xdr:nvSpPr>
      <xdr:spPr bwMode="auto">
        <a:xfrm rot="811614">
          <a:off x="463550" y="8680450"/>
          <a:ext cx="2749550" cy="139700"/>
        </a:xfrm>
        <a:prstGeom prst="rect">
          <a:avLst/>
        </a:prstGeom>
        <a:solidFill>
          <a:srgbClr val="FFFFFF"/>
        </a:solidFill>
        <a:ln w="9525">
          <a:solidFill>
            <a:srgbClr val="000000"/>
          </a:solidFill>
          <a:miter lim="800000"/>
          <a:headEnd/>
          <a:tailEnd/>
        </a:ln>
      </xdr:spPr>
    </xdr:sp>
    <xdr:clientData/>
  </xdr:twoCellAnchor>
  <xdr:twoCellAnchor>
    <xdr:from>
      <xdr:col>8</xdr:col>
      <xdr:colOff>19050</xdr:colOff>
      <xdr:row>68</xdr:row>
      <xdr:rowOff>19050</xdr:rowOff>
    </xdr:from>
    <xdr:to>
      <xdr:col>9</xdr:col>
      <xdr:colOff>38100</xdr:colOff>
      <xdr:row>74</xdr:row>
      <xdr:rowOff>38100</xdr:rowOff>
    </xdr:to>
    <xdr:sp macro="" textlink="">
      <xdr:nvSpPr>
        <xdr:cNvPr id="890023" name="Rectangle 67" descr="Horizontal brick">
          <a:extLst>
            <a:ext uri="{FF2B5EF4-FFF2-40B4-BE49-F238E27FC236}">
              <a16:creationId xmlns="" xmlns:a16="http://schemas.microsoft.com/office/drawing/2014/main" id="{00000000-0008-0000-2800-0000A7940D00}"/>
            </a:ext>
          </a:extLst>
        </xdr:cNvPr>
        <xdr:cNvSpPr>
          <a:spLocks noChangeArrowheads="1"/>
        </xdr:cNvSpPr>
      </xdr:nvSpPr>
      <xdr:spPr bwMode="auto">
        <a:xfrm>
          <a:off x="831850" y="8223250"/>
          <a:ext cx="120650" cy="1200150"/>
        </a:xfrm>
        <a:prstGeom prst="rect">
          <a:avLst/>
        </a:prstGeom>
        <a:blipFill dpi="0" rotWithShape="0">
          <a:blip xmlns:r="http://schemas.openxmlformats.org/officeDocument/2006/relationships" r:embed="rId7"/>
          <a:srcRect/>
          <a:tile tx="0" ty="0" sx="100000" sy="100000" flip="none" algn="tl"/>
        </a:blipFill>
        <a:ln w="9525">
          <a:solidFill>
            <a:srgbClr val="000000"/>
          </a:solidFill>
          <a:miter lim="800000"/>
          <a:headEnd/>
          <a:tailEnd/>
        </a:ln>
      </xdr:spPr>
    </xdr:sp>
    <xdr:clientData/>
  </xdr:twoCellAnchor>
  <xdr:twoCellAnchor>
    <xdr:from>
      <xdr:col>7</xdr:col>
      <xdr:colOff>38100</xdr:colOff>
      <xdr:row>88</xdr:row>
      <xdr:rowOff>82550</xdr:rowOff>
    </xdr:from>
    <xdr:to>
      <xdr:col>10</xdr:col>
      <xdr:colOff>57150</xdr:colOff>
      <xdr:row>92</xdr:row>
      <xdr:rowOff>76200</xdr:rowOff>
    </xdr:to>
    <xdr:sp macro="" textlink="">
      <xdr:nvSpPr>
        <xdr:cNvPr id="890024" name="Rectangle 68" descr="Shingle">
          <a:extLst>
            <a:ext uri="{FF2B5EF4-FFF2-40B4-BE49-F238E27FC236}">
              <a16:creationId xmlns="" xmlns:a16="http://schemas.microsoft.com/office/drawing/2014/main" id="{00000000-0008-0000-2800-0000A8940D00}"/>
            </a:ext>
          </a:extLst>
        </xdr:cNvPr>
        <xdr:cNvSpPr>
          <a:spLocks noChangeArrowheads="1"/>
        </xdr:cNvSpPr>
      </xdr:nvSpPr>
      <xdr:spPr bwMode="auto">
        <a:xfrm>
          <a:off x="749300" y="12223750"/>
          <a:ext cx="323850" cy="781050"/>
        </a:xfrm>
        <a:prstGeom prst="rect">
          <a:avLst/>
        </a:prstGeom>
        <a:blipFill dpi="0" rotWithShape="0">
          <a:blip xmlns:r="http://schemas.openxmlformats.org/officeDocument/2006/relationships" r:embed="rId8"/>
          <a:srcRect/>
          <a:tile tx="0" ty="0" sx="100000" sy="100000" flip="none" algn="tl"/>
        </a:blipFill>
        <a:ln w="9525">
          <a:solidFill>
            <a:srgbClr val="000000"/>
          </a:solidFill>
          <a:miter lim="800000"/>
          <a:headEnd/>
          <a:tailEnd/>
        </a:ln>
      </xdr:spPr>
    </xdr:sp>
    <xdr:clientData/>
  </xdr:twoCellAnchor>
  <xdr:twoCellAnchor>
    <xdr:from>
      <xdr:col>24</xdr:col>
      <xdr:colOff>25400</xdr:colOff>
      <xdr:row>88</xdr:row>
      <xdr:rowOff>82550</xdr:rowOff>
    </xdr:from>
    <xdr:to>
      <xdr:col>27</xdr:col>
      <xdr:colOff>44450</xdr:colOff>
      <xdr:row>92</xdr:row>
      <xdr:rowOff>76200</xdr:rowOff>
    </xdr:to>
    <xdr:sp macro="" textlink="">
      <xdr:nvSpPr>
        <xdr:cNvPr id="890025" name="Rectangle 69" descr="Shingle">
          <a:extLst>
            <a:ext uri="{FF2B5EF4-FFF2-40B4-BE49-F238E27FC236}">
              <a16:creationId xmlns="" xmlns:a16="http://schemas.microsoft.com/office/drawing/2014/main" id="{00000000-0008-0000-2800-0000A9940D00}"/>
            </a:ext>
          </a:extLst>
        </xdr:cNvPr>
        <xdr:cNvSpPr>
          <a:spLocks noChangeArrowheads="1"/>
        </xdr:cNvSpPr>
      </xdr:nvSpPr>
      <xdr:spPr bwMode="auto">
        <a:xfrm>
          <a:off x="2463800" y="12223750"/>
          <a:ext cx="323850" cy="781050"/>
        </a:xfrm>
        <a:prstGeom prst="rect">
          <a:avLst/>
        </a:prstGeom>
        <a:blipFill dpi="0" rotWithShape="0">
          <a:blip xmlns:r="http://schemas.openxmlformats.org/officeDocument/2006/relationships" r:embed="rId8"/>
          <a:srcRect/>
          <a:tile tx="0" ty="0" sx="100000" sy="100000" flip="none" algn="tl"/>
        </a:blipFill>
        <a:ln w="9525">
          <a:solidFill>
            <a:srgbClr val="000000"/>
          </a:solidFill>
          <a:miter lim="800000"/>
          <a:headEnd/>
          <a:tailEnd/>
        </a:ln>
      </xdr:spPr>
    </xdr:sp>
    <xdr:clientData/>
  </xdr:twoCellAnchor>
  <xdr:twoCellAnchor>
    <xdr:from>
      <xdr:col>10</xdr:col>
      <xdr:colOff>57150</xdr:colOff>
      <xdr:row>88</xdr:row>
      <xdr:rowOff>82550</xdr:rowOff>
    </xdr:from>
    <xdr:to>
      <xdr:col>24</xdr:col>
      <xdr:colOff>38100</xdr:colOff>
      <xdr:row>90</xdr:row>
      <xdr:rowOff>63500</xdr:rowOff>
    </xdr:to>
    <xdr:sp macro="" textlink="">
      <xdr:nvSpPr>
        <xdr:cNvPr id="890026" name="Rectangle 70" descr="Shingle">
          <a:extLst>
            <a:ext uri="{FF2B5EF4-FFF2-40B4-BE49-F238E27FC236}">
              <a16:creationId xmlns="" xmlns:a16="http://schemas.microsoft.com/office/drawing/2014/main" id="{00000000-0008-0000-2800-0000AA940D00}"/>
            </a:ext>
          </a:extLst>
        </xdr:cNvPr>
        <xdr:cNvSpPr>
          <a:spLocks noChangeArrowheads="1"/>
        </xdr:cNvSpPr>
      </xdr:nvSpPr>
      <xdr:spPr bwMode="auto">
        <a:xfrm>
          <a:off x="1073150" y="12223750"/>
          <a:ext cx="1403350" cy="374650"/>
        </a:xfrm>
        <a:prstGeom prst="rect">
          <a:avLst/>
        </a:prstGeom>
        <a:blipFill dpi="0" rotWithShape="0">
          <a:blip xmlns:r="http://schemas.openxmlformats.org/officeDocument/2006/relationships" r:embed="rId8"/>
          <a:srcRect/>
          <a:tile tx="0" ty="0" sx="100000" sy="100000" flip="none" algn="tl"/>
        </a:blipFill>
        <a:ln w="9525">
          <a:solidFill>
            <a:srgbClr val="000000"/>
          </a:solidFill>
          <a:miter lim="800000"/>
          <a:headEnd/>
          <a:tailEnd/>
        </a:ln>
      </xdr:spPr>
    </xdr:sp>
    <xdr:clientData/>
  </xdr:twoCellAnchor>
  <xdr:twoCellAnchor>
    <xdr:from>
      <xdr:col>26</xdr:col>
      <xdr:colOff>44450</xdr:colOff>
      <xdr:row>76</xdr:row>
      <xdr:rowOff>57150</xdr:rowOff>
    </xdr:from>
    <xdr:to>
      <xdr:col>26</xdr:col>
      <xdr:colOff>44450</xdr:colOff>
      <xdr:row>88</xdr:row>
      <xdr:rowOff>76200</xdr:rowOff>
    </xdr:to>
    <xdr:sp macro="" textlink="">
      <xdr:nvSpPr>
        <xdr:cNvPr id="890027" name="Line 71">
          <a:extLst>
            <a:ext uri="{FF2B5EF4-FFF2-40B4-BE49-F238E27FC236}">
              <a16:creationId xmlns="" xmlns:a16="http://schemas.microsoft.com/office/drawing/2014/main" id="{00000000-0008-0000-2800-0000AB940D00}"/>
            </a:ext>
          </a:extLst>
        </xdr:cNvPr>
        <xdr:cNvSpPr>
          <a:spLocks noChangeShapeType="1"/>
        </xdr:cNvSpPr>
      </xdr:nvSpPr>
      <xdr:spPr bwMode="auto">
        <a:xfrm>
          <a:off x="2686050" y="9836150"/>
          <a:ext cx="0" cy="2381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38100</xdr:colOff>
      <xdr:row>76</xdr:row>
      <xdr:rowOff>44450</xdr:rowOff>
    </xdr:from>
    <xdr:to>
      <xdr:col>27</xdr:col>
      <xdr:colOff>0</xdr:colOff>
      <xdr:row>76</xdr:row>
      <xdr:rowOff>44450</xdr:rowOff>
    </xdr:to>
    <xdr:sp macro="" textlink="">
      <xdr:nvSpPr>
        <xdr:cNvPr id="890028" name="Line 72">
          <a:extLst>
            <a:ext uri="{FF2B5EF4-FFF2-40B4-BE49-F238E27FC236}">
              <a16:creationId xmlns="" xmlns:a16="http://schemas.microsoft.com/office/drawing/2014/main" id="{00000000-0008-0000-2800-0000AC940D00}"/>
            </a:ext>
          </a:extLst>
        </xdr:cNvPr>
        <xdr:cNvSpPr>
          <a:spLocks noChangeShapeType="1"/>
        </xdr:cNvSpPr>
      </xdr:nvSpPr>
      <xdr:spPr bwMode="auto">
        <a:xfrm>
          <a:off x="2578100" y="9823450"/>
          <a:ext cx="165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57150</xdr:colOff>
      <xdr:row>75</xdr:row>
      <xdr:rowOff>0</xdr:rowOff>
    </xdr:from>
    <xdr:to>
      <xdr:col>27</xdr:col>
      <xdr:colOff>0</xdr:colOff>
      <xdr:row>76</xdr:row>
      <xdr:rowOff>44450</xdr:rowOff>
    </xdr:to>
    <xdr:sp macro="" textlink="">
      <xdr:nvSpPr>
        <xdr:cNvPr id="890029" name="Rectangle 73" descr="Small confetti">
          <a:extLst>
            <a:ext uri="{FF2B5EF4-FFF2-40B4-BE49-F238E27FC236}">
              <a16:creationId xmlns="" xmlns:a16="http://schemas.microsoft.com/office/drawing/2014/main" id="{00000000-0008-0000-2800-0000AD940D00}"/>
            </a:ext>
          </a:extLst>
        </xdr:cNvPr>
        <xdr:cNvSpPr>
          <a:spLocks noChangeArrowheads="1"/>
        </xdr:cNvSpPr>
      </xdr:nvSpPr>
      <xdr:spPr bwMode="auto">
        <a:xfrm>
          <a:off x="2597150" y="9582150"/>
          <a:ext cx="146050" cy="241300"/>
        </a:xfrm>
        <a:prstGeom prst="rect">
          <a:avLst/>
        </a:prstGeom>
        <a:blipFill dpi="0" rotWithShape="0">
          <a:blip xmlns:r="http://schemas.openxmlformats.org/officeDocument/2006/relationships" r:embed="rId9"/>
          <a:srcRect/>
          <a:tile tx="0" ty="0" sx="100000" sy="100000" flip="none" algn="tl"/>
        </a:blipFill>
        <a:ln w="9525">
          <a:solidFill>
            <a:srgbClr val="000000"/>
          </a:solidFill>
          <a:miter lim="800000"/>
          <a:headEnd/>
          <a:tailEnd/>
        </a:ln>
      </xdr:spPr>
    </xdr:sp>
    <xdr:clientData/>
  </xdr:twoCellAnchor>
  <xdr:twoCellAnchor>
    <xdr:from>
      <xdr:col>3</xdr:col>
      <xdr:colOff>38100</xdr:colOff>
      <xdr:row>67</xdr:row>
      <xdr:rowOff>0</xdr:rowOff>
    </xdr:from>
    <xdr:to>
      <xdr:col>32</xdr:col>
      <xdr:colOff>19050</xdr:colOff>
      <xdr:row>73</xdr:row>
      <xdr:rowOff>57150</xdr:rowOff>
    </xdr:to>
    <xdr:sp macro="" textlink="">
      <xdr:nvSpPr>
        <xdr:cNvPr id="890030" name="Line 74">
          <a:extLst>
            <a:ext uri="{FF2B5EF4-FFF2-40B4-BE49-F238E27FC236}">
              <a16:creationId xmlns="" xmlns:a16="http://schemas.microsoft.com/office/drawing/2014/main" id="{00000000-0008-0000-2800-0000AE940D00}"/>
            </a:ext>
          </a:extLst>
        </xdr:cNvPr>
        <xdr:cNvSpPr>
          <a:spLocks noChangeShapeType="1"/>
        </xdr:cNvSpPr>
      </xdr:nvSpPr>
      <xdr:spPr bwMode="auto">
        <a:xfrm>
          <a:off x="342900" y="8007350"/>
          <a:ext cx="2927350" cy="1238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63500</xdr:colOff>
      <xdr:row>67</xdr:row>
      <xdr:rowOff>25400</xdr:rowOff>
    </xdr:from>
    <xdr:to>
      <xdr:col>4</xdr:col>
      <xdr:colOff>76200</xdr:colOff>
      <xdr:row>68</xdr:row>
      <xdr:rowOff>44450</xdr:rowOff>
    </xdr:to>
    <xdr:sp macro="" textlink="">
      <xdr:nvSpPr>
        <xdr:cNvPr id="890031" name="Line 75">
          <a:extLst>
            <a:ext uri="{FF2B5EF4-FFF2-40B4-BE49-F238E27FC236}">
              <a16:creationId xmlns="" xmlns:a16="http://schemas.microsoft.com/office/drawing/2014/main" id="{00000000-0008-0000-2800-0000AF940D00}"/>
            </a:ext>
          </a:extLst>
        </xdr:cNvPr>
        <xdr:cNvSpPr>
          <a:spLocks noChangeShapeType="1"/>
        </xdr:cNvSpPr>
      </xdr:nvSpPr>
      <xdr:spPr bwMode="auto">
        <a:xfrm flipH="1" flipV="1">
          <a:off x="469900" y="8032750"/>
          <a:ext cx="12700" cy="215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38100</xdr:colOff>
      <xdr:row>73</xdr:row>
      <xdr:rowOff>63500</xdr:rowOff>
    </xdr:from>
    <xdr:to>
      <xdr:col>31</xdr:col>
      <xdr:colOff>76200</xdr:colOff>
      <xdr:row>74</xdr:row>
      <xdr:rowOff>76200</xdr:rowOff>
    </xdr:to>
    <xdr:sp macro="" textlink="">
      <xdr:nvSpPr>
        <xdr:cNvPr id="890032" name="Rectangle 76">
          <a:extLst>
            <a:ext uri="{FF2B5EF4-FFF2-40B4-BE49-F238E27FC236}">
              <a16:creationId xmlns="" xmlns:a16="http://schemas.microsoft.com/office/drawing/2014/main" id="{00000000-0008-0000-2800-0000B0940D00}"/>
            </a:ext>
          </a:extLst>
        </xdr:cNvPr>
        <xdr:cNvSpPr>
          <a:spLocks noChangeArrowheads="1"/>
        </xdr:cNvSpPr>
      </xdr:nvSpPr>
      <xdr:spPr bwMode="auto">
        <a:xfrm>
          <a:off x="3187700" y="9251950"/>
          <a:ext cx="38100" cy="209550"/>
        </a:xfrm>
        <a:prstGeom prst="rect">
          <a:avLst/>
        </a:prstGeom>
        <a:solidFill>
          <a:srgbClr val="FFFFFF"/>
        </a:solidFill>
        <a:ln w="9525">
          <a:solidFill>
            <a:srgbClr val="000000"/>
          </a:solidFill>
          <a:miter lim="800000"/>
          <a:headEnd/>
          <a:tailEnd/>
        </a:ln>
      </xdr:spPr>
    </xdr:sp>
    <xdr:clientData/>
  </xdr:twoCellAnchor>
  <xdr:twoCellAnchor>
    <xdr:from>
      <xdr:col>27</xdr:col>
      <xdr:colOff>44450</xdr:colOff>
      <xdr:row>90</xdr:row>
      <xdr:rowOff>0</xdr:rowOff>
    </xdr:from>
    <xdr:to>
      <xdr:col>31</xdr:col>
      <xdr:colOff>57150</xdr:colOff>
      <xdr:row>90</xdr:row>
      <xdr:rowOff>82550</xdr:rowOff>
    </xdr:to>
    <xdr:sp macro="" textlink="">
      <xdr:nvSpPr>
        <xdr:cNvPr id="890033" name="Rectangle 77" descr="Horizontal brick">
          <a:extLst>
            <a:ext uri="{FF2B5EF4-FFF2-40B4-BE49-F238E27FC236}">
              <a16:creationId xmlns="" xmlns:a16="http://schemas.microsoft.com/office/drawing/2014/main" id="{00000000-0008-0000-2800-0000B1940D00}"/>
            </a:ext>
          </a:extLst>
        </xdr:cNvPr>
        <xdr:cNvSpPr>
          <a:spLocks noChangeArrowheads="1"/>
        </xdr:cNvSpPr>
      </xdr:nvSpPr>
      <xdr:spPr bwMode="auto">
        <a:xfrm>
          <a:off x="2787650" y="12534900"/>
          <a:ext cx="419100" cy="82550"/>
        </a:xfrm>
        <a:prstGeom prst="rect">
          <a:avLst/>
        </a:prstGeom>
        <a:blipFill dpi="0" rotWithShape="0">
          <a:blip xmlns:r="http://schemas.openxmlformats.org/officeDocument/2006/relationships" r:embed="rId7"/>
          <a:srcRect/>
          <a:tile tx="0" ty="0" sx="100000" sy="100000" flip="none" algn="tl"/>
        </a:blipFill>
        <a:ln w="9525">
          <a:solidFill>
            <a:srgbClr val="000000"/>
          </a:solidFill>
          <a:miter lim="800000"/>
          <a:headEnd/>
          <a:tailEnd/>
        </a:ln>
      </xdr:spPr>
    </xdr:sp>
    <xdr:clientData/>
  </xdr:twoCellAnchor>
  <xdr:twoCellAnchor>
    <xdr:from>
      <xdr:col>31</xdr:col>
      <xdr:colOff>44450</xdr:colOff>
      <xdr:row>90</xdr:row>
      <xdr:rowOff>57150</xdr:rowOff>
    </xdr:from>
    <xdr:to>
      <xdr:col>36</xdr:col>
      <xdr:colOff>44450</xdr:colOff>
      <xdr:row>90</xdr:row>
      <xdr:rowOff>57150</xdr:rowOff>
    </xdr:to>
    <xdr:sp macro="" textlink="">
      <xdr:nvSpPr>
        <xdr:cNvPr id="890034" name="Line 78">
          <a:extLst>
            <a:ext uri="{FF2B5EF4-FFF2-40B4-BE49-F238E27FC236}">
              <a16:creationId xmlns="" xmlns:a16="http://schemas.microsoft.com/office/drawing/2014/main" id="{00000000-0008-0000-2800-0000B2940D00}"/>
            </a:ext>
          </a:extLst>
        </xdr:cNvPr>
        <xdr:cNvSpPr>
          <a:spLocks noChangeShapeType="1"/>
        </xdr:cNvSpPr>
      </xdr:nvSpPr>
      <xdr:spPr bwMode="auto">
        <a:xfrm>
          <a:off x="3194050" y="12592050"/>
          <a:ext cx="50800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44450</xdr:colOff>
      <xdr:row>90</xdr:row>
      <xdr:rowOff>57150</xdr:rowOff>
    </xdr:from>
    <xdr:to>
      <xdr:col>7</xdr:col>
      <xdr:colOff>25400</xdr:colOff>
      <xdr:row>90</xdr:row>
      <xdr:rowOff>57150</xdr:rowOff>
    </xdr:to>
    <xdr:sp macro="" textlink="">
      <xdr:nvSpPr>
        <xdr:cNvPr id="890035" name="Line 79">
          <a:extLst>
            <a:ext uri="{FF2B5EF4-FFF2-40B4-BE49-F238E27FC236}">
              <a16:creationId xmlns="" xmlns:a16="http://schemas.microsoft.com/office/drawing/2014/main" id="{00000000-0008-0000-2800-0000B3940D00}"/>
            </a:ext>
          </a:extLst>
        </xdr:cNvPr>
        <xdr:cNvSpPr>
          <a:spLocks noChangeShapeType="1"/>
        </xdr:cNvSpPr>
      </xdr:nvSpPr>
      <xdr:spPr bwMode="auto">
        <a:xfrm flipH="1">
          <a:off x="247650" y="12592050"/>
          <a:ext cx="48895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6350</xdr:colOff>
      <xdr:row>60</xdr:row>
      <xdr:rowOff>82550</xdr:rowOff>
    </xdr:from>
    <xdr:to>
      <xdr:col>44</xdr:col>
      <xdr:colOff>19050</xdr:colOff>
      <xdr:row>61</xdr:row>
      <xdr:rowOff>0</xdr:rowOff>
    </xdr:to>
    <xdr:sp macro="" textlink="">
      <xdr:nvSpPr>
        <xdr:cNvPr id="890036" name="Line 80">
          <a:extLst>
            <a:ext uri="{FF2B5EF4-FFF2-40B4-BE49-F238E27FC236}">
              <a16:creationId xmlns="" xmlns:a16="http://schemas.microsoft.com/office/drawing/2014/main" id="{00000000-0008-0000-2800-0000B4940D00}"/>
            </a:ext>
          </a:extLst>
        </xdr:cNvPr>
        <xdr:cNvSpPr>
          <a:spLocks noChangeShapeType="1"/>
        </xdr:cNvSpPr>
      </xdr:nvSpPr>
      <xdr:spPr bwMode="auto">
        <a:xfrm flipV="1">
          <a:off x="717550" y="6711950"/>
          <a:ext cx="3771900" cy="11430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19050</xdr:colOff>
      <xdr:row>95</xdr:row>
      <xdr:rowOff>0</xdr:rowOff>
    </xdr:from>
    <xdr:to>
      <xdr:col>10</xdr:col>
      <xdr:colOff>44450</xdr:colOff>
      <xdr:row>95</xdr:row>
      <xdr:rowOff>6350</xdr:rowOff>
    </xdr:to>
    <xdr:sp macro="" textlink="">
      <xdr:nvSpPr>
        <xdr:cNvPr id="890037" name="Line 81">
          <a:extLst>
            <a:ext uri="{FF2B5EF4-FFF2-40B4-BE49-F238E27FC236}">
              <a16:creationId xmlns="" xmlns:a16="http://schemas.microsoft.com/office/drawing/2014/main" id="{00000000-0008-0000-2800-0000B5940D00}"/>
            </a:ext>
          </a:extLst>
        </xdr:cNvPr>
        <xdr:cNvSpPr>
          <a:spLocks noChangeShapeType="1"/>
        </xdr:cNvSpPr>
      </xdr:nvSpPr>
      <xdr:spPr bwMode="auto">
        <a:xfrm>
          <a:off x="730250" y="13519150"/>
          <a:ext cx="330200" cy="63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0</xdr:colOff>
      <xdr:row>94</xdr:row>
      <xdr:rowOff>82550</xdr:rowOff>
    </xdr:from>
    <xdr:to>
      <xdr:col>27</xdr:col>
      <xdr:colOff>44450</xdr:colOff>
      <xdr:row>95</xdr:row>
      <xdr:rowOff>0</xdr:rowOff>
    </xdr:to>
    <xdr:sp macro="" textlink="">
      <xdr:nvSpPr>
        <xdr:cNvPr id="890038" name="Line 82">
          <a:extLst>
            <a:ext uri="{FF2B5EF4-FFF2-40B4-BE49-F238E27FC236}">
              <a16:creationId xmlns="" xmlns:a16="http://schemas.microsoft.com/office/drawing/2014/main" id="{00000000-0008-0000-2800-0000B6940D00}"/>
            </a:ext>
          </a:extLst>
        </xdr:cNvPr>
        <xdr:cNvSpPr>
          <a:spLocks noChangeShapeType="1"/>
        </xdr:cNvSpPr>
      </xdr:nvSpPr>
      <xdr:spPr bwMode="auto">
        <a:xfrm flipV="1">
          <a:off x="2438400" y="13404850"/>
          <a:ext cx="349250" cy="1143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6350</xdr:colOff>
      <xdr:row>74</xdr:row>
      <xdr:rowOff>76200</xdr:rowOff>
    </xdr:from>
    <xdr:to>
      <xdr:col>16</xdr:col>
      <xdr:colOff>25400</xdr:colOff>
      <xdr:row>88</xdr:row>
      <xdr:rowOff>44450</xdr:rowOff>
    </xdr:to>
    <xdr:sp macro="" textlink="">
      <xdr:nvSpPr>
        <xdr:cNvPr id="890039" name="Line 83">
          <a:extLst>
            <a:ext uri="{FF2B5EF4-FFF2-40B4-BE49-F238E27FC236}">
              <a16:creationId xmlns="" xmlns:a16="http://schemas.microsoft.com/office/drawing/2014/main" id="{00000000-0008-0000-2800-0000B7940D00}"/>
            </a:ext>
          </a:extLst>
        </xdr:cNvPr>
        <xdr:cNvSpPr>
          <a:spLocks noChangeShapeType="1"/>
        </xdr:cNvSpPr>
      </xdr:nvSpPr>
      <xdr:spPr bwMode="auto">
        <a:xfrm>
          <a:off x="1631950" y="9461500"/>
          <a:ext cx="19050" cy="27241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23</xdr:col>
      <xdr:colOff>19050</xdr:colOff>
      <xdr:row>76</xdr:row>
      <xdr:rowOff>25400</xdr:rowOff>
    </xdr:from>
    <xdr:to>
      <xdr:col>23</xdr:col>
      <xdr:colOff>19050</xdr:colOff>
      <xdr:row>87</xdr:row>
      <xdr:rowOff>63500</xdr:rowOff>
    </xdr:to>
    <xdr:sp macro="" textlink="">
      <xdr:nvSpPr>
        <xdr:cNvPr id="890040" name="Line 84">
          <a:extLst>
            <a:ext uri="{FF2B5EF4-FFF2-40B4-BE49-F238E27FC236}">
              <a16:creationId xmlns="" xmlns:a16="http://schemas.microsoft.com/office/drawing/2014/main" id="{00000000-0008-0000-2800-0000B8940D00}"/>
            </a:ext>
          </a:extLst>
        </xdr:cNvPr>
        <xdr:cNvSpPr>
          <a:spLocks noChangeShapeType="1"/>
        </xdr:cNvSpPr>
      </xdr:nvSpPr>
      <xdr:spPr bwMode="auto">
        <a:xfrm flipH="1">
          <a:off x="2355850" y="9804400"/>
          <a:ext cx="0" cy="22034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oneCellAnchor>
    <xdr:from>
      <xdr:col>14</xdr:col>
      <xdr:colOff>0</xdr:colOff>
      <xdr:row>82</xdr:row>
      <xdr:rowOff>39370</xdr:rowOff>
    </xdr:from>
    <xdr:ext cx="232371" cy="170560"/>
    <xdr:sp macro="" textlink="">
      <xdr:nvSpPr>
        <xdr:cNvPr id="81" name="Text Box 86">
          <a:extLst>
            <a:ext uri="{FF2B5EF4-FFF2-40B4-BE49-F238E27FC236}">
              <a16:creationId xmlns="" xmlns:a16="http://schemas.microsoft.com/office/drawing/2014/main" id="{00000000-0008-0000-2800-000051000000}"/>
            </a:ext>
          </a:extLst>
        </xdr:cNvPr>
        <xdr:cNvSpPr txBox="1">
          <a:spLocks noChangeArrowheads="1"/>
        </xdr:cNvSpPr>
      </xdr:nvSpPr>
      <xdr:spPr bwMode="auto">
        <a:xfrm>
          <a:off x="1422400" y="10999470"/>
          <a:ext cx="232371"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fr-FR" sz="1000" b="0" i="0" strike="noStrike">
              <a:solidFill>
                <a:srgbClr val="000000"/>
              </a:solidFill>
              <a:latin typeface="Arial"/>
              <a:cs typeface="Arial"/>
            </a:rPr>
            <a:t>205</a:t>
          </a:r>
        </a:p>
      </xdr:txBody>
    </xdr:sp>
    <xdr:clientData/>
  </xdr:oneCellAnchor>
  <xdr:oneCellAnchor>
    <xdr:from>
      <xdr:col>21</xdr:col>
      <xdr:colOff>22225</xdr:colOff>
      <xdr:row>82</xdr:row>
      <xdr:rowOff>73025</xdr:rowOff>
    </xdr:from>
    <xdr:ext cx="232371" cy="190240"/>
    <xdr:sp macro="" textlink="">
      <xdr:nvSpPr>
        <xdr:cNvPr id="82" name="Text Box 87">
          <a:extLst>
            <a:ext uri="{FF2B5EF4-FFF2-40B4-BE49-F238E27FC236}">
              <a16:creationId xmlns="" xmlns:a16="http://schemas.microsoft.com/office/drawing/2014/main" id="{00000000-0008-0000-2800-000052000000}"/>
            </a:ext>
          </a:extLst>
        </xdr:cNvPr>
        <xdr:cNvSpPr txBox="1">
          <a:spLocks noChangeArrowheads="1"/>
        </xdr:cNvSpPr>
      </xdr:nvSpPr>
      <xdr:spPr bwMode="auto">
        <a:xfrm>
          <a:off x="2155825" y="11033125"/>
          <a:ext cx="232371"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fr-FR" sz="1000" b="0" i="0" strike="noStrike">
              <a:solidFill>
                <a:srgbClr val="000000"/>
              </a:solidFill>
              <a:latin typeface="Arial"/>
              <a:cs typeface="Arial"/>
            </a:rPr>
            <a:t>190</a:t>
          </a:r>
        </a:p>
      </xdr:txBody>
    </xdr:sp>
    <xdr:clientData/>
  </xdr:oneCellAnchor>
  <xdr:twoCellAnchor editAs="oneCell">
    <xdr:from>
      <xdr:col>24</xdr:col>
      <xdr:colOff>75565</xdr:colOff>
      <xdr:row>93</xdr:row>
      <xdr:rowOff>57785</xdr:rowOff>
    </xdr:from>
    <xdr:to>
      <xdr:col>26</xdr:col>
      <xdr:colOff>74834</xdr:colOff>
      <xdr:row>99</xdr:row>
      <xdr:rowOff>57785</xdr:rowOff>
    </xdr:to>
    <xdr:sp macro="" textlink="">
      <xdr:nvSpPr>
        <xdr:cNvPr id="83" name="Text Box 88">
          <a:extLst>
            <a:ext uri="{FF2B5EF4-FFF2-40B4-BE49-F238E27FC236}">
              <a16:creationId xmlns="" xmlns:a16="http://schemas.microsoft.com/office/drawing/2014/main" id="{00000000-0008-0000-2800-000053000000}"/>
            </a:ext>
          </a:extLst>
        </xdr:cNvPr>
        <xdr:cNvSpPr txBox="1">
          <a:spLocks noChangeArrowheads="1"/>
        </xdr:cNvSpPr>
      </xdr:nvSpPr>
      <xdr:spPr bwMode="auto">
        <a:xfrm>
          <a:off x="2705100" y="9220200"/>
          <a:ext cx="228600" cy="12001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40</a:t>
          </a:r>
        </a:p>
      </xdr:txBody>
    </xdr:sp>
    <xdr:clientData/>
  </xdr:twoCellAnchor>
  <xdr:twoCellAnchor editAs="oneCell">
    <xdr:from>
      <xdr:col>8</xdr:col>
      <xdr:colOff>635</xdr:colOff>
      <xdr:row>93</xdr:row>
      <xdr:rowOff>75565</xdr:rowOff>
    </xdr:from>
    <xdr:to>
      <xdr:col>10</xdr:col>
      <xdr:colOff>232</xdr:colOff>
      <xdr:row>99</xdr:row>
      <xdr:rowOff>56549</xdr:rowOff>
    </xdr:to>
    <xdr:sp macro="" textlink="">
      <xdr:nvSpPr>
        <xdr:cNvPr id="84" name="Text Box 89">
          <a:extLst>
            <a:ext uri="{FF2B5EF4-FFF2-40B4-BE49-F238E27FC236}">
              <a16:creationId xmlns="" xmlns:a16="http://schemas.microsoft.com/office/drawing/2014/main" id="{00000000-0008-0000-2800-000054000000}"/>
            </a:ext>
          </a:extLst>
        </xdr:cNvPr>
        <xdr:cNvSpPr txBox="1">
          <a:spLocks noChangeArrowheads="1"/>
        </xdr:cNvSpPr>
      </xdr:nvSpPr>
      <xdr:spPr bwMode="auto">
        <a:xfrm>
          <a:off x="952500" y="9258300"/>
          <a:ext cx="200025" cy="11811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40</a:t>
          </a:r>
        </a:p>
      </xdr:txBody>
    </xdr:sp>
    <xdr:clientData/>
  </xdr:twoCellAnchor>
  <xdr:twoCellAnchor>
    <xdr:from>
      <xdr:col>33</xdr:col>
      <xdr:colOff>63500</xdr:colOff>
      <xdr:row>67</xdr:row>
      <xdr:rowOff>82550</xdr:rowOff>
    </xdr:from>
    <xdr:to>
      <xdr:col>33</xdr:col>
      <xdr:colOff>63500</xdr:colOff>
      <xdr:row>74</xdr:row>
      <xdr:rowOff>57150</xdr:rowOff>
    </xdr:to>
    <xdr:sp macro="" textlink="">
      <xdr:nvSpPr>
        <xdr:cNvPr id="890045" name="Line 90">
          <a:extLst>
            <a:ext uri="{FF2B5EF4-FFF2-40B4-BE49-F238E27FC236}">
              <a16:creationId xmlns="" xmlns:a16="http://schemas.microsoft.com/office/drawing/2014/main" id="{00000000-0008-0000-2800-0000BD940D00}"/>
            </a:ext>
          </a:extLst>
        </xdr:cNvPr>
        <xdr:cNvSpPr>
          <a:spLocks noChangeShapeType="1"/>
        </xdr:cNvSpPr>
      </xdr:nvSpPr>
      <xdr:spPr bwMode="auto">
        <a:xfrm flipH="1">
          <a:off x="3416300" y="8089900"/>
          <a:ext cx="0" cy="13525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34</xdr:col>
      <xdr:colOff>74295</xdr:colOff>
      <xdr:row>70</xdr:row>
      <xdr:rowOff>19685</xdr:rowOff>
    </xdr:from>
    <xdr:to>
      <xdr:col>35</xdr:col>
      <xdr:colOff>75099</xdr:colOff>
      <xdr:row>74</xdr:row>
      <xdr:rowOff>37070</xdr:rowOff>
    </xdr:to>
    <xdr:sp macro="" textlink="">
      <xdr:nvSpPr>
        <xdr:cNvPr id="86" name="Text Box 91">
          <a:extLst>
            <a:ext uri="{FF2B5EF4-FFF2-40B4-BE49-F238E27FC236}">
              <a16:creationId xmlns="" xmlns:a16="http://schemas.microsoft.com/office/drawing/2014/main" id="{00000000-0008-0000-2800-000056000000}"/>
            </a:ext>
          </a:extLst>
        </xdr:cNvPr>
        <xdr:cNvSpPr txBox="1">
          <a:spLocks noChangeArrowheads="1"/>
        </xdr:cNvSpPr>
      </xdr:nvSpPr>
      <xdr:spPr bwMode="auto">
        <a:xfrm>
          <a:off x="3752850" y="6991350"/>
          <a:ext cx="123825" cy="8477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40</a:t>
          </a:r>
        </a:p>
      </xdr:txBody>
    </xdr:sp>
    <xdr:clientData/>
  </xdr:twoCellAnchor>
  <xdr:twoCellAnchor>
    <xdr:from>
      <xdr:col>12</xdr:col>
      <xdr:colOff>57150</xdr:colOff>
      <xdr:row>69</xdr:row>
      <xdr:rowOff>19050</xdr:rowOff>
    </xdr:from>
    <xdr:to>
      <xdr:col>13</xdr:col>
      <xdr:colOff>25400</xdr:colOff>
      <xdr:row>75</xdr:row>
      <xdr:rowOff>0</xdr:rowOff>
    </xdr:to>
    <xdr:sp macro="" textlink="">
      <xdr:nvSpPr>
        <xdr:cNvPr id="890047" name="Rectangle 92">
          <a:extLst>
            <a:ext uri="{FF2B5EF4-FFF2-40B4-BE49-F238E27FC236}">
              <a16:creationId xmlns="" xmlns:a16="http://schemas.microsoft.com/office/drawing/2014/main" id="{00000000-0008-0000-2800-0000BF940D00}"/>
            </a:ext>
          </a:extLst>
        </xdr:cNvPr>
        <xdr:cNvSpPr>
          <a:spLocks noChangeArrowheads="1"/>
        </xdr:cNvSpPr>
      </xdr:nvSpPr>
      <xdr:spPr bwMode="auto">
        <a:xfrm rot="2770693">
          <a:off x="730250" y="8966200"/>
          <a:ext cx="1162050" cy="69850"/>
        </a:xfrm>
        <a:prstGeom prst="rect">
          <a:avLst/>
        </a:prstGeom>
        <a:solidFill>
          <a:srgbClr val="FFFFFF"/>
        </a:solidFill>
        <a:ln w="9525">
          <a:solidFill>
            <a:srgbClr val="000000"/>
          </a:solidFill>
          <a:miter lim="800000"/>
          <a:headEnd/>
          <a:tailEnd/>
        </a:ln>
      </xdr:spPr>
    </xdr:sp>
    <xdr:clientData/>
  </xdr:twoCellAnchor>
  <xdr:twoCellAnchor>
    <xdr:from>
      <xdr:col>15</xdr:col>
      <xdr:colOff>25400</xdr:colOff>
      <xdr:row>72</xdr:row>
      <xdr:rowOff>44450</xdr:rowOff>
    </xdr:from>
    <xdr:to>
      <xdr:col>22</xdr:col>
      <xdr:colOff>44450</xdr:colOff>
      <xdr:row>73</xdr:row>
      <xdr:rowOff>0</xdr:rowOff>
    </xdr:to>
    <xdr:sp macro="" textlink="">
      <xdr:nvSpPr>
        <xdr:cNvPr id="890048" name="Rectangle 93">
          <a:extLst>
            <a:ext uri="{FF2B5EF4-FFF2-40B4-BE49-F238E27FC236}">
              <a16:creationId xmlns="" xmlns:a16="http://schemas.microsoft.com/office/drawing/2014/main" id="{00000000-0008-0000-2800-0000C0940D00}"/>
            </a:ext>
          </a:extLst>
        </xdr:cNvPr>
        <xdr:cNvSpPr>
          <a:spLocks noChangeArrowheads="1"/>
        </xdr:cNvSpPr>
      </xdr:nvSpPr>
      <xdr:spPr bwMode="auto">
        <a:xfrm rot="1569779" flipH="1">
          <a:off x="1549400" y="9036050"/>
          <a:ext cx="730250" cy="152400"/>
        </a:xfrm>
        <a:prstGeom prst="rect">
          <a:avLst/>
        </a:prstGeom>
        <a:solidFill>
          <a:srgbClr val="FFFFFF"/>
        </a:solidFill>
        <a:ln w="9525">
          <a:solidFill>
            <a:srgbClr val="000000"/>
          </a:solidFill>
          <a:miter lim="800000"/>
          <a:headEnd/>
          <a:tailEnd/>
        </a:ln>
      </xdr:spPr>
    </xdr:sp>
    <xdr:clientData/>
  </xdr:twoCellAnchor>
  <xdr:twoCellAnchor>
    <xdr:from>
      <xdr:col>26</xdr:col>
      <xdr:colOff>76200</xdr:colOff>
      <xdr:row>85</xdr:row>
      <xdr:rowOff>82550</xdr:rowOff>
    </xdr:from>
    <xdr:to>
      <xdr:col>36</xdr:col>
      <xdr:colOff>6350</xdr:colOff>
      <xdr:row>89</xdr:row>
      <xdr:rowOff>57150</xdr:rowOff>
    </xdr:to>
    <xdr:sp macro="" textlink="">
      <xdr:nvSpPr>
        <xdr:cNvPr id="890049" name="Line 94">
          <a:extLst>
            <a:ext uri="{FF2B5EF4-FFF2-40B4-BE49-F238E27FC236}">
              <a16:creationId xmlns="" xmlns:a16="http://schemas.microsoft.com/office/drawing/2014/main" id="{00000000-0008-0000-2800-0000C1940D00}"/>
            </a:ext>
          </a:extLst>
        </xdr:cNvPr>
        <xdr:cNvSpPr>
          <a:spLocks noChangeShapeType="1"/>
        </xdr:cNvSpPr>
      </xdr:nvSpPr>
      <xdr:spPr bwMode="auto">
        <a:xfrm flipV="1">
          <a:off x="2717800" y="11633200"/>
          <a:ext cx="946150" cy="762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36</xdr:col>
      <xdr:colOff>57785</xdr:colOff>
      <xdr:row>84</xdr:row>
      <xdr:rowOff>18415</xdr:rowOff>
    </xdr:from>
    <xdr:to>
      <xdr:col>49</xdr:col>
      <xdr:colOff>55889</xdr:colOff>
      <xdr:row>86</xdr:row>
      <xdr:rowOff>37033</xdr:rowOff>
    </xdr:to>
    <xdr:sp macro="" textlink="">
      <xdr:nvSpPr>
        <xdr:cNvPr id="90" name="Text Box 95">
          <a:extLst>
            <a:ext uri="{FF2B5EF4-FFF2-40B4-BE49-F238E27FC236}">
              <a16:creationId xmlns="" xmlns:a16="http://schemas.microsoft.com/office/drawing/2014/main" id="{00000000-0008-0000-2800-00005A000000}"/>
            </a:ext>
          </a:extLst>
        </xdr:cNvPr>
        <xdr:cNvSpPr txBox="1">
          <a:spLocks noChangeArrowheads="1"/>
        </xdr:cNvSpPr>
      </xdr:nvSpPr>
      <xdr:spPr bwMode="auto">
        <a:xfrm>
          <a:off x="3924300" y="8334375"/>
          <a:ext cx="1362075" cy="2286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Fondation en moellon</a:t>
          </a:r>
        </a:p>
      </xdr:txBody>
    </xdr:sp>
    <xdr:clientData/>
  </xdr:twoCellAnchor>
  <xdr:twoCellAnchor>
    <xdr:from>
      <xdr:col>27</xdr:col>
      <xdr:colOff>19050</xdr:colOff>
      <xdr:row>76</xdr:row>
      <xdr:rowOff>0</xdr:rowOff>
    </xdr:from>
    <xdr:to>
      <xdr:col>41</xdr:col>
      <xdr:colOff>19050</xdr:colOff>
      <xdr:row>77</xdr:row>
      <xdr:rowOff>0</xdr:rowOff>
    </xdr:to>
    <xdr:sp macro="" textlink="">
      <xdr:nvSpPr>
        <xdr:cNvPr id="890051" name="Line 96">
          <a:extLst>
            <a:ext uri="{FF2B5EF4-FFF2-40B4-BE49-F238E27FC236}">
              <a16:creationId xmlns="" xmlns:a16="http://schemas.microsoft.com/office/drawing/2014/main" id="{00000000-0008-0000-2800-0000C3940D00}"/>
            </a:ext>
          </a:extLst>
        </xdr:cNvPr>
        <xdr:cNvSpPr>
          <a:spLocks noChangeShapeType="1"/>
        </xdr:cNvSpPr>
      </xdr:nvSpPr>
      <xdr:spPr bwMode="auto">
        <a:xfrm>
          <a:off x="2762250" y="9779000"/>
          <a:ext cx="1422400" cy="196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42</xdr:col>
      <xdr:colOff>0</xdr:colOff>
      <xdr:row>76</xdr:row>
      <xdr:rowOff>18415</xdr:rowOff>
    </xdr:from>
    <xdr:ext cx="1627105" cy="385540"/>
    <xdr:sp macro="" textlink="">
      <xdr:nvSpPr>
        <xdr:cNvPr id="92" name="Text Box 97">
          <a:extLst>
            <a:ext uri="{FF2B5EF4-FFF2-40B4-BE49-F238E27FC236}">
              <a16:creationId xmlns="" xmlns:a16="http://schemas.microsoft.com/office/drawing/2014/main" id="{00000000-0008-0000-2800-00005C000000}"/>
            </a:ext>
          </a:extLst>
        </xdr:cNvPr>
        <xdr:cNvSpPr txBox="1">
          <a:spLocks noChangeArrowheads="1"/>
        </xdr:cNvSpPr>
      </xdr:nvSpPr>
      <xdr:spPr bwMode="auto">
        <a:xfrm>
          <a:off x="4362450" y="9886950"/>
          <a:ext cx="1654009" cy="318036"/>
        </a:xfrm>
        <a:prstGeom prst="rect">
          <a:avLst/>
        </a:prstGeom>
        <a:noFill/>
        <a:ln w="9525">
          <a:noFill/>
          <a:miter lim="800000"/>
          <a:headEnd/>
          <a:tailEnd/>
        </a:ln>
      </xdr:spPr>
      <xdr:txBody>
        <a:bodyPr wrap="square" lIns="18288" tIns="22860" rIns="0" bIns="0" anchor="t" upright="1">
          <a:spAutoFit/>
        </a:bodyPr>
        <a:lstStyle/>
        <a:p>
          <a:pPr algn="l" rtl="0">
            <a:defRPr sz="1000"/>
          </a:pPr>
          <a:r>
            <a:rPr lang="fr-FR" sz="1000" b="0" i="0" strike="noStrike">
              <a:solidFill>
                <a:srgbClr val="000000"/>
              </a:solidFill>
              <a:latin typeface="Arial"/>
              <a:cs typeface="Arial"/>
            </a:rPr>
            <a:t>chainage en BA 300kg/m3 Epaisseur de 15cm</a:t>
          </a:r>
        </a:p>
      </xdr:txBody>
    </xdr:sp>
    <xdr:clientData/>
  </xdr:oneCellAnchor>
  <xdr:twoCellAnchor>
    <xdr:from>
      <xdr:col>22</xdr:col>
      <xdr:colOff>63500</xdr:colOff>
      <xdr:row>76</xdr:row>
      <xdr:rowOff>38100</xdr:rowOff>
    </xdr:from>
    <xdr:to>
      <xdr:col>25</xdr:col>
      <xdr:colOff>57150</xdr:colOff>
      <xdr:row>76</xdr:row>
      <xdr:rowOff>38100</xdr:rowOff>
    </xdr:to>
    <xdr:sp macro="" textlink="">
      <xdr:nvSpPr>
        <xdr:cNvPr id="890053" name="Line 98">
          <a:extLst>
            <a:ext uri="{FF2B5EF4-FFF2-40B4-BE49-F238E27FC236}">
              <a16:creationId xmlns="" xmlns:a16="http://schemas.microsoft.com/office/drawing/2014/main" id="{00000000-0008-0000-2800-0000C5940D00}"/>
            </a:ext>
          </a:extLst>
        </xdr:cNvPr>
        <xdr:cNvSpPr>
          <a:spLocks noChangeShapeType="1"/>
        </xdr:cNvSpPr>
      </xdr:nvSpPr>
      <xdr:spPr bwMode="auto">
        <a:xfrm flipV="1">
          <a:off x="2298700" y="9817100"/>
          <a:ext cx="2984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64</xdr:col>
      <xdr:colOff>42545</xdr:colOff>
      <xdr:row>15</xdr:row>
      <xdr:rowOff>28575</xdr:rowOff>
    </xdr:from>
    <xdr:ext cx="652871" cy="170560"/>
    <xdr:sp macro="" textlink="">
      <xdr:nvSpPr>
        <xdr:cNvPr id="94" name="Text Box 99">
          <a:extLst>
            <a:ext uri="{FF2B5EF4-FFF2-40B4-BE49-F238E27FC236}">
              <a16:creationId xmlns="" xmlns:a16="http://schemas.microsoft.com/office/drawing/2014/main" id="{00000000-0008-0000-2800-00005E000000}"/>
            </a:ext>
          </a:extLst>
        </xdr:cNvPr>
        <xdr:cNvSpPr txBox="1">
          <a:spLocks noChangeArrowheads="1"/>
        </xdr:cNvSpPr>
      </xdr:nvSpPr>
      <xdr:spPr bwMode="auto">
        <a:xfrm>
          <a:off x="6544945" y="1558925"/>
          <a:ext cx="652871"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fr-FR" sz="1000" b="0" i="0" strike="noStrike">
              <a:solidFill>
                <a:srgbClr val="000000"/>
              </a:solidFill>
              <a:latin typeface="Arial"/>
              <a:cs typeface="Arial"/>
            </a:rPr>
            <a:t>puits perdu</a:t>
          </a:r>
        </a:p>
      </xdr:txBody>
    </xdr:sp>
    <xdr:clientData/>
  </xdr:oneCellAnchor>
  <xdr:oneCellAnchor>
    <xdr:from>
      <xdr:col>15</xdr:col>
      <xdr:colOff>36830</xdr:colOff>
      <xdr:row>2</xdr:row>
      <xdr:rowOff>56515</xdr:rowOff>
    </xdr:from>
    <xdr:ext cx="2853426" cy="189963"/>
    <xdr:sp macro="" textlink="">
      <xdr:nvSpPr>
        <xdr:cNvPr id="95" name="Text Box 100">
          <a:extLst>
            <a:ext uri="{FF2B5EF4-FFF2-40B4-BE49-F238E27FC236}">
              <a16:creationId xmlns="" xmlns:a16="http://schemas.microsoft.com/office/drawing/2014/main" id="{00000000-0008-0000-2800-00005F000000}"/>
            </a:ext>
          </a:extLst>
        </xdr:cNvPr>
        <xdr:cNvSpPr txBox="1">
          <a:spLocks noChangeArrowheads="1"/>
        </xdr:cNvSpPr>
      </xdr:nvSpPr>
      <xdr:spPr bwMode="auto">
        <a:xfrm>
          <a:off x="1733550" y="276225"/>
          <a:ext cx="2819400" cy="170560"/>
        </a:xfrm>
        <a:prstGeom prst="rect">
          <a:avLst/>
        </a:prstGeom>
        <a:noFill/>
        <a:ln w="9525">
          <a:noFill/>
          <a:miter lim="800000"/>
          <a:headEnd/>
          <a:tailEnd/>
        </a:ln>
      </xdr:spPr>
      <xdr:txBody>
        <a:bodyPr wrap="square" lIns="18288" tIns="22860" rIns="0" bIns="0" anchor="t" upright="1">
          <a:spAutoFit/>
        </a:bodyPr>
        <a:lstStyle/>
        <a:p>
          <a:pPr algn="l" rtl="0">
            <a:defRPr sz="1000"/>
          </a:pPr>
          <a:r>
            <a:rPr lang="fr-FR" sz="1000" b="1" i="0" strike="noStrike">
              <a:solidFill>
                <a:srgbClr val="000000"/>
              </a:solidFill>
              <a:latin typeface="Arial"/>
              <a:cs typeface="Arial"/>
            </a:rPr>
            <a:t>DOUCHE BLOC DE 2 PORTES AU  CS</a:t>
          </a:r>
        </a:p>
      </xdr:txBody>
    </xdr:sp>
    <xdr:clientData/>
  </xdr:oneCellAnchor>
  <xdr:oneCellAnchor>
    <xdr:from>
      <xdr:col>17</xdr:col>
      <xdr:colOff>22225</xdr:colOff>
      <xdr:row>37</xdr:row>
      <xdr:rowOff>41910</xdr:rowOff>
    </xdr:from>
    <xdr:ext cx="866519" cy="170560"/>
    <xdr:sp macro="" textlink="">
      <xdr:nvSpPr>
        <xdr:cNvPr id="96" name="Text Box 101">
          <a:extLst>
            <a:ext uri="{FF2B5EF4-FFF2-40B4-BE49-F238E27FC236}">
              <a16:creationId xmlns="" xmlns:a16="http://schemas.microsoft.com/office/drawing/2014/main" id="{00000000-0008-0000-2800-000060000000}"/>
            </a:ext>
          </a:extLst>
        </xdr:cNvPr>
        <xdr:cNvSpPr txBox="1">
          <a:spLocks noChangeArrowheads="1"/>
        </xdr:cNvSpPr>
      </xdr:nvSpPr>
      <xdr:spPr bwMode="auto">
        <a:xfrm>
          <a:off x="1749425" y="3769360"/>
          <a:ext cx="866519"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fr-FR" sz="1000" b="0" i="0" strike="noStrike">
              <a:solidFill>
                <a:srgbClr val="000000"/>
              </a:solidFill>
              <a:latin typeface="Arial"/>
              <a:cs typeface="Arial"/>
            </a:rPr>
            <a:t>VUE EN PLAN</a:t>
          </a:r>
        </a:p>
      </xdr:txBody>
    </xdr:sp>
    <xdr:clientData/>
  </xdr:oneCellAnchor>
  <xdr:oneCellAnchor>
    <xdr:from>
      <xdr:col>16</xdr:col>
      <xdr:colOff>1905</xdr:colOff>
      <xdr:row>64</xdr:row>
      <xdr:rowOff>22225</xdr:rowOff>
    </xdr:from>
    <xdr:ext cx="1364989" cy="170560"/>
    <xdr:sp macro="" textlink="">
      <xdr:nvSpPr>
        <xdr:cNvPr id="97" name="Text Box 102">
          <a:extLst>
            <a:ext uri="{FF2B5EF4-FFF2-40B4-BE49-F238E27FC236}">
              <a16:creationId xmlns="" xmlns:a16="http://schemas.microsoft.com/office/drawing/2014/main" id="{00000000-0008-0000-2800-000061000000}"/>
            </a:ext>
          </a:extLst>
        </xdr:cNvPr>
        <xdr:cNvSpPr txBox="1">
          <a:spLocks noChangeArrowheads="1"/>
        </xdr:cNvSpPr>
      </xdr:nvSpPr>
      <xdr:spPr bwMode="auto">
        <a:xfrm>
          <a:off x="1627505" y="7439025"/>
          <a:ext cx="1364989"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fr-FR" sz="1000" b="1" i="0" strike="noStrike">
              <a:solidFill>
                <a:srgbClr val="000000"/>
              </a:solidFill>
              <a:latin typeface="Arial"/>
              <a:cs typeface="Arial"/>
            </a:rPr>
            <a:t>FAÇADE PRINCIPALE</a:t>
          </a:r>
        </a:p>
      </xdr:txBody>
    </xdr:sp>
    <xdr:clientData/>
  </xdr:oneCellAnchor>
  <xdr:oneCellAnchor>
    <xdr:from>
      <xdr:col>12</xdr:col>
      <xdr:colOff>22225</xdr:colOff>
      <xdr:row>99</xdr:row>
      <xdr:rowOff>73025</xdr:rowOff>
    </xdr:from>
    <xdr:ext cx="54117" cy="170560"/>
    <xdr:sp macro="" textlink="">
      <xdr:nvSpPr>
        <xdr:cNvPr id="98" name="Text Box 103">
          <a:extLst>
            <a:ext uri="{FF2B5EF4-FFF2-40B4-BE49-F238E27FC236}">
              <a16:creationId xmlns="" xmlns:a16="http://schemas.microsoft.com/office/drawing/2014/main" id="{00000000-0008-0000-2800-000062000000}"/>
            </a:ext>
          </a:extLst>
        </xdr:cNvPr>
        <xdr:cNvSpPr txBox="1">
          <a:spLocks noChangeArrowheads="1"/>
        </xdr:cNvSpPr>
      </xdr:nvSpPr>
      <xdr:spPr bwMode="auto">
        <a:xfrm>
          <a:off x="1241425" y="14379575"/>
          <a:ext cx="54117"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fr-FR" sz="1000" b="1" i="0" strike="noStrike">
              <a:solidFill>
                <a:srgbClr val="000000"/>
              </a:solidFill>
              <a:latin typeface="Arial"/>
              <a:cs typeface="Arial"/>
            </a:rPr>
            <a:t> </a:t>
          </a:r>
        </a:p>
      </xdr:txBody>
    </xdr:sp>
    <xdr:clientData/>
  </xdr:oneCellAnchor>
  <xdr:twoCellAnchor>
    <xdr:from>
      <xdr:col>31</xdr:col>
      <xdr:colOff>44450</xdr:colOff>
      <xdr:row>6</xdr:row>
      <xdr:rowOff>31750</xdr:rowOff>
    </xdr:from>
    <xdr:to>
      <xdr:col>31</xdr:col>
      <xdr:colOff>57150</xdr:colOff>
      <xdr:row>36</xdr:row>
      <xdr:rowOff>82550</xdr:rowOff>
    </xdr:to>
    <xdr:sp macro="" textlink="">
      <xdr:nvSpPr>
        <xdr:cNvPr id="890059" name="Line 104">
          <a:extLst>
            <a:ext uri="{FF2B5EF4-FFF2-40B4-BE49-F238E27FC236}">
              <a16:creationId xmlns="" xmlns:a16="http://schemas.microsoft.com/office/drawing/2014/main" id="{00000000-0008-0000-2800-0000CB940D00}"/>
            </a:ext>
          </a:extLst>
        </xdr:cNvPr>
        <xdr:cNvSpPr>
          <a:spLocks noChangeShapeType="1"/>
        </xdr:cNvSpPr>
      </xdr:nvSpPr>
      <xdr:spPr bwMode="auto">
        <a:xfrm flipH="1">
          <a:off x="3194050" y="704850"/>
          <a:ext cx="12700" cy="300990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29</xdr:col>
      <xdr:colOff>25400</xdr:colOff>
      <xdr:row>37</xdr:row>
      <xdr:rowOff>0</xdr:rowOff>
    </xdr:from>
    <xdr:to>
      <xdr:col>31</xdr:col>
      <xdr:colOff>57150</xdr:colOff>
      <xdr:row>37</xdr:row>
      <xdr:rowOff>0</xdr:rowOff>
    </xdr:to>
    <xdr:sp macro="" textlink="">
      <xdr:nvSpPr>
        <xdr:cNvPr id="890060" name="Line 105">
          <a:extLst>
            <a:ext uri="{FF2B5EF4-FFF2-40B4-BE49-F238E27FC236}">
              <a16:creationId xmlns="" xmlns:a16="http://schemas.microsoft.com/office/drawing/2014/main" id="{00000000-0008-0000-2800-0000CC940D00}"/>
            </a:ext>
          </a:extLst>
        </xdr:cNvPr>
        <xdr:cNvSpPr>
          <a:spLocks noChangeShapeType="1"/>
        </xdr:cNvSpPr>
      </xdr:nvSpPr>
      <xdr:spPr bwMode="auto">
        <a:xfrm flipV="1">
          <a:off x="2971800" y="3727450"/>
          <a:ext cx="2349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29</xdr:col>
      <xdr:colOff>57150</xdr:colOff>
      <xdr:row>6</xdr:row>
      <xdr:rowOff>19050</xdr:rowOff>
    </xdr:from>
    <xdr:to>
      <xdr:col>31</xdr:col>
      <xdr:colOff>57150</xdr:colOff>
      <xdr:row>6</xdr:row>
      <xdr:rowOff>82550</xdr:rowOff>
    </xdr:to>
    <xdr:sp macro="" textlink="">
      <xdr:nvSpPr>
        <xdr:cNvPr id="890061" name="AutoShape 106">
          <a:extLst>
            <a:ext uri="{FF2B5EF4-FFF2-40B4-BE49-F238E27FC236}">
              <a16:creationId xmlns="" xmlns:a16="http://schemas.microsoft.com/office/drawing/2014/main" id="{00000000-0008-0000-2800-0000CD940D00}"/>
            </a:ext>
          </a:extLst>
        </xdr:cNvPr>
        <xdr:cNvSpPr>
          <a:spLocks noChangeArrowheads="1"/>
        </xdr:cNvSpPr>
      </xdr:nvSpPr>
      <xdr:spPr bwMode="auto">
        <a:xfrm>
          <a:off x="3003550" y="692150"/>
          <a:ext cx="203200" cy="63500"/>
        </a:xfrm>
        <a:prstGeom prst="rightArrow">
          <a:avLst>
            <a:gd name="adj1" fmla="val 50000"/>
            <a:gd name="adj2" fmla="val 70000"/>
          </a:avLst>
        </a:prstGeom>
        <a:solidFill>
          <a:srgbClr val="000000"/>
        </a:solidFill>
        <a:ln w="9525">
          <a:solidFill>
            <a:srgbClr val="000000"/>
          </a:solidFill>
          <a:miter lim="800000"/>
          <a:headEnd/>
          <a:tailEnd/>
        </a:ln>
      </xdr:spPr>
    </xdr:sp>
    <xdr:clientData/>
  </xdr:twoCellAnchor>
  <xdr:twoCellAnchor>
    <xdr:from>
      <xdr:col>29</xdr:col>
      <xdr:colOff>25400</xdr:colOff>
      <xdr:row>36</xdr:row>
      <xdr:rowOff>63500</xdr:rowOff>
    </xdr:from>
    <xdr:to>
      <xdr:col>31</xdr:col>
      <xdr:colOff>38100</xdr:colOff>
      <xdr:row>37</xdr:row>
      <xdr:rowOff>38100</xdr:rowOff>
    </xdr:to>
    <xdr:sp macro="" textlink="">
      <xdr:nvSpPr>
        <xdr:cNvPr id="890062" name="AutoShape 107">
          <a:extLst>
            <a:ext uri="{FF2B5EF4-FFF2-40B4-BE49-F238E27FC236}">
              <a16:creationId xmlns="" xmlns:a16="http://schemas.microsoft.com/office/drawing/2014/main" id="{00000000-0008-0000-2800-0000CE940D00}"/>
            </a:ext>
          </a:extLst>
        </xdr:cNvPr>
        <xdr:cNvSpPr>
          <a:spLocks noChangeArrowheads="1"/>
        </xdr:cNvSpPr>
      </xdr:nvSpPr>
      <xdr:spPr bwMode="auto">
        <a:xfrm>
          <a:off x="2971800" y="3695700"/>
          <a:ext cx="215900" cy="69850"/>
        </a:xfrm>
        <a:prstGeom prst="rightArrow">
          <a:avLst>
            <a:gd name="adj1" fmla="val 50000"/>
            <a:gd name="adj2" fmla="val 57955"/>
          </a:avLst>
        </a:prstGeom>
        <a:solidFill>
          <a:srgbClr val="000000"/>
        </a:solidFill>
        <a:ln w="9525">
          <a:solidFill>
            <a:srgbClr val="000000"/>
          </a:solidFill>
          <a:miter lim="800000"/>
          <a:headEnd/>
          <a:tailEnd/>
        </a:ln>
      </xdr:spPr>
    </xdr:sp>
    <xdr:clientData/>
  </xdr:twoCellAnchor>
  <xdr:twoCellAnchor editAs="oneCell">
    <xdr:from>
      <xdr:col>26</xdr:col>
      <xdr:colOff>57150</xdr:colOff>
      <xdr:row>37</xdr:row>
      <xdr:rowOff>31750</xdr:rowOff>
    </xdr:from>
    <xdr:to>
      <xdr:col>27</xdr:col>
      <xdr:colOff>0</xdr:colOff>
      <xdr:row>45</xdr:row>
      <xdr:rowOff>57150</xdr:rowOff>
    </xdr:to>
    <xdr:sp macro="" textlink="">
      <xdr:nvSpPr>
        <xdr:cNvPr id="890063" name="Text Box 108">
          <a:extLst>
            <a:ext uri="{FF2B5EF4-FFF2-40B4-BE49-F238E27FC236}">
              <a16:creationId xmlns="" xmlns:a16="http://schemas.microsoft.com/office/drawing/2014/main" id="{00000000-0008-0000-2800-0000CF940D00}"/>
            </a:ext>
          </a:extLst>
        </xdr:cNvPr>
        <xdr:cNvSpPr txBox="1">
          <a:spLocks noChangeArrowheads="1"/>
        </xdr:cNvSpPr>
      </xdr:nvSpPr>
      <xdr:spPr bwMode="auto">
        <a:xfrm>
          <a:off x="2698750" y="3759200"/>
          <a:ext cx="44450" cy="78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27</xdr:col>
      <xdr:colOff>1905</xdr:colOff>
      <xdr:row>36</xdr:row>
      <xdr:rowOff>0</xdr:rowOff>
    </xdr:from>
    <xdr:to>
      <xdr:col>29</xdr:col>
      <xdr:colOff>335</xdr:colOff>
      <xdr:row>48</xdr:row>
      <xdr:rowOff>28581</xdr:rowOff>
    </xdr:to>
    <xdr:sp macro="" textlink="">
      <xdr:nvSpPr>
        <xdr:cNvPr id="104" name="Text Box 110">
          <a:extLst>
            <a:ext uri="{FF2B5EF4-FFF2-40B4-BE49-F238E27FC236}">
              <a16:creationId xmlns="" xmlns:a16="http://schemas.microsoft.com/office/drawing/2014/main" id="{00000000-0008-0000-2800-000068000000}"/>
            </a:ext>
          </a:extLst>
        </xdr:cNvPr>
        <xdr:cNvSpPr txBox="1">
          <a:spLocks noChangeArrowheads="1"/>
        </xdr:cNvSpPr>
      </xdr:nvSpPr>
      <xdr:spPr bwMode="auto">
        <a:xfrm>
          <a:off x="2924175" y="3533775"/>
          <a:ext cx="219075" cy="1152525"/>
        </a:xfrm>
        <a:prstGeom prst="rect">
          <a:avLst/>
        </a:prstGeom>
        <a:noFill/>
        <a:ln w="9525">
          <a:noFill/>
          <a:miter lim="800000"/>
          <a:headEnd/>
          <a:tailEnd/>
        </a:ln>
      </xdr:spPr>
      <xdr:txBody>
        <a:bodyPr vertOverflow="clip" wrap="square" lIns="36576" tIns="27432" rIns="0" bIns="0" anchor="t" upright="1"/>
        <a:lstStyle/>
        <a:p>
          <a:pPr algn="l" rtl="0">
            <a:defRPr sz="1000"/>
          </a:pPr>
          <a:r>
            <a:rPr lang="fr-FR" sz="1400" b="1" i="0" strike="noStrike">
              <a:solidFill>
                <a:srgbClr val="000000"/>
              </a:solidFill>
              <a:latin typeface="Arial"/>
              <a:cs typeface="Arial"/>
            </a:rPr>
            <a:t>A</a:t>
          </a:r>
        </a:p>
      </xdr:txBody>
    </xdr:sp>
    <xdr:clientData/>
  </xdr:twoCellAnchor>
  <xdr:oneCellAnchor>
    <xdr:from>
      <xdr:col>12</xdr:col>
      <xdr:colOff>41910</xdr:colOff>
      <xdr:row>97</xdr:row>
      <xdr:rowOff>22225</xdr:rowOff>
    </xdr:from>
    <xdr:ext cx="738023" cy="170560"/>
    <xdr:sp macro="" textlink="">
      <xdr:nvSpPr>
        <xdr:cNvPr id="105" name="Text Box 111">
          <a:extLst>
            <a:ext uri="{FF2B5EF4-FFF2-40B4-BE49-F238E27FC236}">
              <a16:creationId xmlns="" xmlns:a16="http://schemas.microsoft.com/office/drawing/2014/main" id="{00000000-0008-0000-2800-000069000000}"/>
            </a:ext>
          </a:extLst>
        </xdr:cNvPr>
        <xdr:cNvSpPr txBox="1">
          <a:spLocks noChangeArrowheads="1"/>
        </xdr:cNvSpPr>
      </xdr:nvSpPr>
      <xdr:spPr bwMode="auto">
        <a:xfrm>
          <a:off x="1261110" y="13935075"/>
          <a:ext cx="738023"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fr-FR" sz="1000" b="1" i="0" strike="noStrike">
              <a:solidFill>
                <a:srgbClr val="000000"/>
              </a:solidFill>
              <a:latin typeface="Arial"/>
              <a:cs typeface="Arial"/>
            </a:rPr>
            <a:t>COUPE A-A</a:t>
          </a:r>
        </a:p>
      </xdr:txBody>
    </xdr:sp>
    <xdr:clientData/>
  </xdr:oneCellAnchor>
  <xdr:twoCellAnchor>
    <xdr:from>
      <xdr:col>25</xdr:col>
      <xdr:colOff>57150</xdr:colOff>
      <xdr:row>72</xdr:row>
      <xdr:rowOff>44450</xdr:rowOff>
    </xdr:from>
    <xdr:to>
      <xdr:col>26</xdr:col>
      <xdr:colOff>76200</xdr:colOff>
      <xdr:row>74</xdr:row>
      <xdr:rowOff>82550</xdr:rowOff>
    </xdr:to>
    <xdr:sp macro="" textlink="">
      <xdr:nvSpPr>
        <xdr:cNvPr id="890066" name="Rectangle 67" descr="Horizontal brick">
          <a:extLst>
            <a:ext uri="{FF2B5EF4-FFF2-40B4-BE49-F238E27FC236}">
              <a16:creationId xmlns="" xmlns:a16="http://schemas.microsoft.com/office/drawing/2014/main" id="{00000000-0008-0000-2800-0000D2940D00}"/>
            </a:ext>
          </a:extLst>
        </xdr:cNvPr>
        <xdr:cNvSpPr>
          <a:spLocks noChangeArrowheads="1"/>
        </xdr:cNvSpPr>
      </xdr:nvSpPr>
      <xdr:spPr bwMode="auto">
        <a:xfrm>
          <a:off x="2597150" y="9036050"/>
          <a:ext cx="120650" cy="431800"/>
        </a:xfrm>
        <a:prstGeom prst="rect">
          <a:avLst/>
        </a:prstGeom>
        <a:blipFill dpi="0" rotWithShape="0">
          <a:blip xmlns:r="http://schemas.openxmlformats.org/officeDocument/2006/relationships" r:embed="rId7"/>
          <a:srcRect/>
          <a:tile tx="0" ty="0" sx="100000" sy="100000" flip="none" algn="tl"/>
        </a:blipFill>
        <a:ln w="9525">
          <a:solidFill>
            <a:srgbClr val="000000"/>
          </a:solidFill>
          <a:miter lim="800000"/>
          <a:headEnd/>
          <a:tailEnd/>
        </a:ln>
      </xdr:spPr>
    </xdr:sp>
    <xdr:clientData/>
  </xdr:twoCellAnchor>
  <xdr:twoCellAnchor>
    <xdr:from>
      <xdr:col>27</xdr:col>
      <xdr:colOff>0</xdr:colOff>
      <xdr:row>4</xdr:row>
      <xdr:rowOff>35561</xdr:rowOff>
    </xdr:from>
    <xdr:to>
      <xdr:col>29</xdr:col>
      <xdr:colOff>37692</xdr:colOff>
      <xdr:row>7</xdr:row>
      <xdr:rowOff>13395</xdr:rowOff>
    </xdr:to>
    <xdr:sp macro="" textlink="">
      <xdr:nvSpPr>
        <xdr:cNvPr id="107" name="TextBox 105">
          <a:extLst>
            <a:ext uri="{FF2B5EF4-FFF2-40B4-BE49-F238E27FC236}">
              <a16:creationId xmlns="" xmlns:a16="http://schemas.microsoft.com/office/drawing/2014/main" id="{00000000-0008-0000-2800-00006B000000}"/>
            </a:ext>
          </a:extLst>
        </xdr:cNvPr>
        <xdr:cNvSpPr txBox="1"/>
      </xdr:nvSpPr>
      <xdr:spPr>
        <a:xfrm>
          <a:off x="2933700" y="447676"/>
          <a:ext cx="2571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GB" sz="1400" b="1"/>
            <a:t>A</a:t>
          </a:r>
        </a:p>
      </xdr:txBody>
    </xdr:sp>
    <xdr:clientData/>
  </xdr:twoCellAnchor>
  <xdr:twoCellAnchor>
    <xdr:from>
      <xdr:col>16</xdr:col>
      <xdr:colOff>60960</xdr:colOff>
      <xdr:row>12</xdr:row>
      <xdr:rowOff>10795</xdr:rowOff>
    </xdr:from>
    <xdr:to>
      <xdr:col>17</xdr:col>
      <xdr:colOff>2441</xdr:colOff>
      <xdr:row>17</xdr:row>
      <xdr:rowOff>35890</xdr:rowOff>
    </xdr:to>
    <xdr:sp macro="" textlink="">
      <xdr:nvSpPr>
        <xdr:cNvPr id="108" name="Rectangle 107">
          <a:extLst>
            <a:ext uri="{FF2B5EF4-FFF2-40B4-BE49-F238E27FC236}">
              <a16:creationId xmlns="" xmlns:a16="http://schemas.microsoft.com/office/drawing/2014/main" id="{00000000-0008-0000-2800-00006C000000}"/>
            </a:ext>
          </a:extLst>
        </xdr:cNvPr>
        <xdr:cNvSpPr/>
      </xdr:nvSpPr>
      <xdr:spPr bwMode="auto">
        <a:xfrm>
          <a:off x="1819275" y="1181100"/>
          <a:ext cx="95250" cy="514350"/>
        </a:xfrm>
        <a:prstGeom prst="rect">
          <a:avLst/>
        </a:prstGeom>
        <a:noFill/>
        <a:ln w="9525" cap="flat" cmpd="sng" algn="ctr">
          <a:solidFill>
            <a:srgbClr val="000000"/>
          </a:solidFill>
          <a:prstDash val="sysDash"/>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31</xdr:col>
      <xdr:colOff>78105</xdr:colOff>
      <xdr:row>12</xdr:row>
      <xdr:rowOff>12700</xdr:rowOff>
    </xdr:from>
    <xdr:to>
      <xdr:col>32</xdr:col>
      <xdr:colOff>76720</xdr:colOff>
      <xdr:row>17</xdr:row>
      <xdr:rowOff>35486</xdr:rowOff>
    </xdr:to>
    <xdr:sp macro="" textlink="">
      <xdr:nvSpPr>
        <xdr:cNvPr id="109" name="Rectangle 108">
          <a:extLst>
            <a:ext uri="{FF2B5EF4-FFF2-40B4-BE49-F238E27FC236}">
              <a16:creationId xmlns="" xmlns:a16="http://schemas.microsoft.com/office/drawing/2014/main" id="{00000000-0008-0000-2800-00006D000000}"/>
            </a:ext>
          </a:extLst>
        </xdr:cNvPr>
        <xdr:cNvSpPr/>
      </xdr:nvSpPr>
      <xdr:spPr bwMode="auto">
        <a:xfrm>
          <a:off x="3448050" y="1171575"/>
          <a:ext cx="95250" cy="514350"/>
        </a:xfrm>
        <a:prstGeom prst="rect">
          <a:avLst/>
        </a:prstGeom>
        <a:noFill/>
        <a:ln w="9525" cap="flat" cmpd="sng" algn="ctr">
          <a:solidFill>
            <a:srgbClr val="000000"/>
          </a:solidFill>
          <a:prstDash val="sysDash"/>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9</xdr:col>
      <xdr:colOff>57150</xdr:colOff>
      <xdr:row>7</xdr:row>
      <xdr:rowOff>12700</xdr:rowOff>
    </xdr:from>
    <xdr:to>
      <xdr:col>16</xdr:col>
      <xdr:colOff>19050</xdr:colOff>
      <xdr:row>16</xdr:row>
      <xdr:rowOff>50800</xdr:rowOff>
    </xdr:to>
    <xdr:sp macro="" textlink="">
      <xdr:nvSpPr>
        <xdr:cNvPr id="890070" name="Line 47">
          <a:extLst>
            <a:ext uri="{FF2B5EF4-FFF2-40B4-BE49-F238E27FC236}">
              <a16:creationId xmlns="" xmlns:a16="http://schemas.microsoft.com/office/drawing/2014/main" id="{00000000-0008-0000-2800-0000D6940D00}"/>
            </a:ext>
          </a:extLst>
        </xdr:cNvPr>
        <xdr:cNvSpPr>
          <a:spLocks noChangeShapeType="1"/>
        </xdr:cNvSpPr>
      </xdr:nvSpPr>
      <xdr:spPr bwMode="auto">
        <a:xfrm rot="10619956" flipH="1" flipV="1">
          <a:off x="971550" y="781050"/>
          <a:ext cx="673100" cy="895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74295</xdr:colOff>
      <xdr:row>6</xdr:row>
      <xdr:rowOff>10795</xdr:rowOff>
    </xdr:from>
    <xdr:to>
      <xdr:col>13</xdr:col>
      <xdr:colOff>97090</xdr:colOff>
      <xdr:row>8</xdr:row>
      <xdr:rowOff>10795</xdr:rowOff>
    </xdr:to>
    <xdr:sp macro="" textlink="">
      <xdr:nvSpPr>
        <xdr:cNvPr id="111" name="Text Box 48">
          <a:extLst>
            <a:ext uri="{FF2B5EF4-FFF2-40B4-BE49-F238E27FC236}">
              <a16:creationId xmlns="" xmlns:a16="http://schemas.microsoft.com/office/drawing/2014/main" id="{00000000-0008-0000-2800-00006F000000}"/>
            </a:ext>
          </a:extLst>
        </xdr:cNvPr>
        <xdr:cNvSpPr txBox="1">
          <a:spLocks noChangeArrowheads="1"/>
        </xdr:cNvSpPr>
      </xdr:nvSpPr>
      <xdr:spPr bwMode="auto">
        <a:xfrm>
          <a:off x="400050" y="619125"/>
          <a:ext cx="1171575" cy="1809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tuyau PVC 75 PN 6</a:t>
          </a:r>
        </a:p>
      </xdr:txBody>
    </xdr:sp>
    <xdr:clientData/>
  </xdr:twoCellAnchor>
  <xdr:twoCellAnchor>
    <xdr:from>
      <xdr:col>27</xdr:col>
      <xdr:colOff>44450</xdr:colOff>
      <xdr:row>92</xdr:row>
      <xdr:rowOff>76200</xdr:rowOff>
    </xdr:from>
    <xdr:to>
      <xdr:col>36</xdr:col>
      <xdr:colOff>63500</xdr:colOff>
      <xdr:row>92</xdr:row>
      <xdr:rowOff>76200</xdr:rowOff>
    </xdr:to>
    <xdr:cxnSp macro="">
      <xdr:nvCxnSpPr>
        <xdr:cNvPr id="890072" name="Connecteur droit avec flèche 111">
          <a:extLst>
            <a:ext uri="{FF2B5EF4-FFF2-40B4-BE49-F238E27FC236}">
              <a16:creationId xmlns="" xmlns:a16="http://schemas.microsoft.com/office/drawing/2014/main" id="{00000000-0008-0000-2800-0000D8940D00}"/>
            </a:ext>
          </a:extLst>
        </xdr:cNvPr>
        <xdr:cNvCxnSpPr>
          <a:cxnSpLocks noChangeShapeType="1"/>
        </xdr:cNvCxnSpPr>
      </xdr:nvCxnSpPr>
      <xdr:spPr bwMode="auto">
        <a:xfrm flipV="1">
          <a:off x="2787650" y="13004800"/>
          <a:ext cx="933450" cy="0"/>
        </a:xfrm>
        <a:prstGeom prst="straightConnector1">
          <a:avLst/>
        </a:prstGeom>
        <a:noFill/>
        <a:ln w="19050"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31</xdr:col>
      <xdr:colOff>0</xdr:colOff>
      <xdr:row>90</xdr:row>
      <xdr:rowOff>95249</xdr:rowOff>
    </xdr:from>
    <xdr:to>
      <xdr:col>35</xdr:col>
      <xdr:colOff>19865</xdr:colOff>
      <xdr:row>93</xdr:row>
      <xdr:rowOff>20059</xdr:rowOff>
    </xdr:to>
    <xdr:sp macro="" textlink="">
      <xdr:nvSpPr>
        <xdr:cNvPr id="113" name="ZoneTexte 112">
          <a:extLst>
            <a:ext uri="{FF2B5EF4-FFF2-40B4-BE49-F238E27FC236}">
              <a16:creationId xmlns="" xmlns:a16="http://schemas.microsoft.com/office/drawing/2014/main" id="{00000000-0008-0000-2800-000071000000}"/>
            </a:ext>
          </a:extLst>
        </xdr:cNvPr>
        <xdr:cNvSpPr txBox="1"/>
      </xdr:nvSpPr>
      <xdr:spPr>
        <a:xfrm>
          <a:off x="3352800" y="8982074"/>
          <a:ext cx="43815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t>110</a:t>
          </a:r>
        </a:p>
      </xdr:txBody>
    </xdr:sp>
    <xdr:clientData/>
  </xdr:twoCellAnchor>
  <xdr:twoCellAnchor>
    <xdr:from>
      <xdr:col>2</xdr:col>
      <xdr:colOff>57150</xdr:colOff>
      <xdr:row>92</xdr:row>
      <xdr:rowOff>76200</xdr:rowOff>
    </xdr:from>
    <xdr:to>
      <xdr:col>7</xdr:col>
      <xdr:colOff>57150</xdr:colOff>
      <xdr:row>92</xdr:row>
      <xdr:rowOff>76200</xdr:rowOff>
    </xdr:to>
    <xdr:cxnSp macro="">
      <xdr:nvCxnSpPr>
        <xdr:cNvPr id="890074" name="Connecteur droit avec flèche 113">
          <a:extLst>
            <a:ext uri="{FF2B5EF4-FFF2-40B4-BE49-F238E27FC236}">
              <a16:creationId xmlns="" xmlns:a16="http://schemas.microsoft.com/office/drawing/2014/main" id="{00000000-0008-0000-2800-0000DA940D00}"/>
            </a:ext>
          </a:extLst>
        </xdr:cNvPr>
        <xdr:cNvCxnSpPr>
          <a:cxnSpLocks noChangeShapeType="1"/>
        </xdr:cNvCxnSpPr>
      </xdr:nvCxnSpPr>
      <xdr:spPr bwMode="auto">
        <a:xfrm>
          <a:off x="260350" y="13004800"/>
          <a:ext cx="508000" cy="0"/>
        </a:xfrm>
        <a:prstGeom prst="straightConnector1">
          <a:avLst/>
        </a:prstGeom>
        <a:noFill/>
        <a:ln w="19050"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91</xdr:row>
      <xdr:rowOff>0</xdr:rowOff>
    </xdr:from>
    <xdr:to>
      <xdr:col>8</xdr:col>
      <xdr:colOff>61883</xdr:colOff>
      <xdr:row>93</xdr:row>
      <xdr:rowOff>2583</xdr:rowOff>
    </xdr:to>
    <xdr:sp macro="" textlink="">
      <xdr:nvSpPr>
        <xdr:cNvPr id="115" name="ZoneTexte 114">
          <a:extLst>
            <a:ext uri="{FF2B5EF4-FFF2-40B4-BE49-F238E27FC236}">
              <a16:creationId xmlns="" xmlns:a16="http://schemas.microsoft.com/office/drawing/2014/main" id="{00000000-0008-0000-2800-000073000000}"/>
            </a:ext>
          </a:extLst>
        </xdr:cNvPr>
        <xdr:cNvSpPr txBox="1"/>
      </xdr:nvSpPr>
      <xdr:spPr>
        <a:xfrm>
          <a:off x="523875" y="8982075"/>
          <a:ext cx="43815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t>110</a:t>
          </a:r>
        </a:p>
      </xdr:txBody>
    </xdr:sp>
    <xdr:clientData/>
  </xdr:twoCellAnchor>
  <xdr:twoCellAnchor>
    <xdr:from>
      <xdr:col>2</xdr:col>
      <xdr:colOff>57150</xdr:colOff>
      <xdr:row>91</xdr:row>
      <xdr:rowOff>57150</xdr:rowOff>
    </xdr:from>
    <xdr:to>
      <xdr:col>2</xdr:col>
      <xdr:colOff>57150</xdr:colOff>
      <xdr:row>93</xdr:row>
      <xdr:rowOff>38100</xdr:rowOff>
    </xdr:to>
    <xdr:cxnSp macro="">
      <xdr:nvCxnSpPr>
        <xdr:cNvPr id="890076" name="Connecteur droit 115">
          <a:extLst>
            <a:ext uri="{FF2B5EF4-FFF2-40B4-BE49-F238E27FC236}">
              <a16:creationId xmlns="" xmlns:a16="http://schemas.microsoft.com/office/drawing/2014/main" id="{00000000-0008-0000-2800-0000DC940D00}"/>
            </a:ext>
          </a:extLst>
        </xdr:cNvPr>
        <xdr:cNvCxnSpPr>
          <a:cxnSpLocks noChangeShapeType="1"/>
        </xdr:cNvCxnSpPr>
      </xdr:nvCxnSpPr>
      <xdr:spPr bwMode="auto">
        <a:xfrm rot="5400000">
          <a:off x="73025" y="12976225"/>
          <a:ext cx="37465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36</xdr:col>
      <xdr:colOff>63500</xdr:colOff>
      <xdr:row>91</xdr:row>
      <xdr:rowOff>82550</xdr:rowOff>
    </xdr:from>
    <xdr:to>
      <xdr:col>36</xdr:col>
      <xdr:colOff>63500</xdr:colOff>
      <xdr:row>93</xdr:row>
      <xdr:rowOff>57150</xdr:rowOff>
    </xdr:to>
    <xdr:cxnSp macro="">
      <xdr:nvCxnSpPr>
        <xdr:cNvPr id="890077" name="Connecteur droit 116">
          <a:extLst>
            <a:ext uri="{FF2B5EF4-FFF2-40B4-BE49-F238E27FC236}">
              <a16:creationId xmlns="" xmlns:a16="http://schemas.microsoft.com/office/drawing/2014/main" id="{00000000-0008-0000-2800-0000DD940D00}"/>
            </a:ext>
          </a:extLst>
        </xdr:cNvPr>
        <xdr:cNvCxnSpPr>
          <a:cxnSpLocks noChangeShapeType="1"/>
        </xdr:cNvCxnSpPr>
      </xdr:nvCxnSpPr>
      <xdr:spPr bwMode="auto">
        <a:xfrm rot="5400000">
          <a:off x="3536950" y="12998450"/>
          <a:ext cx="36830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635</xdr:colOff>
      <xdr:row>87</xdr:row>
      <xdr:rowOff>57785</xdr:rowOff>
    </xdr:from>
    <xdr:to>
      <xdr:col>8</xdr:col>
      <xdr:colOff>20725</xdr:colOff>
      <xdr:row>87</xdr:row>
      <xdr:rowOff>170454</xdr:rowOff>
    </xdr:to>
    <xdr:sp macro="" textlink="">
      <xdr:nvSpPr>
        <xdr:cNvPr id="118" name="Rectangle 117">
          <a:extLst>
            <a:ext uri="{FF2B5EF4-FFF2-40B4-BE49-F238E27FC236}">
              <a16:creationId xmlns="" xmlns:a16="http://schemas.microsoft.com/office/drawing/2014/main" id="{00000000-0008-0000-2800-000076000000}"/>
            </a:ext>
          </a:extLst>
        </xdr:cNvPr>
        <xdr:cNvSpPr/>
      </xdr:nvSpPr>
      <xdr:spPr bwMode="auto">
        <a:xfrm>
          <a:off x="533400" y="8658225"/>
          <a:ext cx="438150" cy="38100"/>
        </a:xfrm>
        <a:prstGeom prst="rect">
          <a:avLst/>
        </a:prstGeom>
        <a:blipFill>
          <a:blip xmlns:r="http://schemas.openxmlformats.org/officeDocument/2006/relationships" r:embed="rId10" cstate="print"/>
          <a:tile tx="0" ty="0" sx="100000" sy="100000" flip="none" algn="tl"/>
        </a:blip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5</xdr:col>
      <xdr:colOff>55880</xdr:colOff>
      <xdr:row>86</xdr:row>
      <xdr:rowOff>36831</xdr:rowOff>
    </xdr:from>
    <xdr:to>
      <xdr:col>6</xdr:col>
      <xdr:colOff>100290</xdr:colOff>
      <xdr:row>88</xdr:row>
      <xdr:rowOff>35774</xdr:rowOff>
    </xdr:to>
    <xdr:sp macro="" textlink="">
      <xdr:nvSpPr>
        <xdr:cNvPr id="119" name="Arc plein 118">
          <a:extLst>
            <a:ext uri="{FF2B5EF4-FFF2-40B4-BE49-F238E27FC236}">
              <a16:creationId xmlns="" xmlns:a16="http://schemas.microsoft.com/office/drawing/2014/main" id="{00000000-0008-0000-2800-000077000000}"/>
            </a:ext>
          </a:extLst>
        </xdr:cNvPr>
        <xdr:cNvSpPr/>
      </xdr:nvSpPr>
      <xdr:spPr bwMode="auto">
        <a:xfrm>
          <a:off x="676275" y="8562976"/>
          <a:ext cx="161925" cy="200024"/>
        </a:xfrm>
        <a:prstGeom prst="blockArc">
          <a:avLst/>
        </a:prstGeom>
        <a:solidFill>
          <a:schemeClr val="tx1">
            <a:lumMod val="50000"/>
            <a:lumOff val="5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DOCUME~1\bnsiama\LOCALS~1\Temp\notesCAD8FF\~735787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DOTEMPAK/Desktop/Matrice%20%20Travaux%20de%20groupe%20Final%20Atelier%20Provinciaux_2018.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AOUATTAR9/Documents/Copy%20of%20Matrice%20Index%20Risque%20vulnerabiliteNK%20FINAL%20(0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NANCE/JOHN/John%202002/Balance%20Sheet%20ACS/Gratuity%20Revaluation.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78870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otempak/AppData/Local/Microsoft/Windows/Temporary%20Internet%20Files/Content.Outlook/NQWZBH3U/DRC%20-%20Calcul%20Personnes%20affectees%20HNP-HRP-2016-2019_Final_23112016.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20110805_USSC%20Supply%20plan%20ARV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Aim&#233;%20Cikomola/Documents/Rapport%20Trimestriel/DVDMT_Prov_Sud%20Kivu_2013.xls%20VF.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htraoremana/Documents/Equipe%20Nut/DRC%20Oct_Nov%202019%20UNICEF%20OFFICE%20DRC%20Leave%20Plan%20-%20NUTRITION%20SC%20DE%20BENI_BUTEMBO_KOMANDA.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Ocha/AppData/Local/Temp/notes95E17C/GOOD_OCHA_HRP_FINAL_Estimation%20Population%20Affectees%202017-2019_RDC_Fin30-09-201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bnsiama/AppData/Local/Microsoft/Windows/INetCache/Content.Outlook/R41GMC8I/Budget%20UNICEF%20Resilience%20Rwanguba%20et%20Nyiragongo_Revised%20Budget_for%20submiss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2010"/>
      <sheetName val="GRAND BUDGET"/>
      <sheetName val="Budget narratif"/>
      <sheetName val="B2 Fourn"/>
      <sheetName val="B3 COM"/>
      <sheetName val="B4 FORM"/>
      <sheetName val="sheet"/>
      <sheetName val="Paramètres"/>
      <sheetName val="Annex 5 - Equipes ouvrages"/>
      <sheetName val="Education"/>
      <sheetName val="Guidance_20101"/>
      <sheetName val="GRAND_BUDGET1"/>
      <sheetName val="Budget_narratif1"/>
      <sheetName val="B2_Fourn1"/>
      <sheetName val="B3_COM1"/>
      <sheetName val="B4_FORM1"/>
      <sheetName val="Annex_5_-_Equipes_ouvrages1"/>
      <sheetName val="Guidance_2010"/>
      <sheetName val="GRAND_BUDGET"/>
      <sheetName val="Budget_narratif"/>
      <sheetName val="B2_Fourn"/>
      <sheetName val="B3_COM"/>
      <sheetName val="B4_FORM"/>
      <sheetName val="Annex_5_-_Equipes_ouvrages"/>
      <sheetName val="Guidance_20103"/>
      <sheetName val="GRAND_BUDGET3"/>
      <sheetName val="Budget_narratif3"/>
      <sheetName val="B2_Fourn3"/>
      <sheetName val="B3_COM3"/>
      <sheetName val="B4_FORM3"/>
      <sheetName val="Annex_5_-_Equipes_ouvrages3"/>
      <sheetName val="Guidance_20102"/>
      <sheetName val="GRAND_BUDGET2"/>
      <sheetName val="Budget_narratif2"/>
      <sheetName val="B2_Fourn2"/>
      <sheetName val="B3_COM2"/>
      <sheetName val="B4_FORM2"/>
      <sheetName val="Annex_5_-_Equipes_ouvrages2"/>
      <sheetName val="FACE DCT"/>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_Index"/>
      <sheetName val="IDP OS1"/>
      <sheetName val="Protection OS2"/>
      <sheetName val="Cholera"/>
      <sheetName val="Rougeole"/>
      <sheetName val="Fièvre-Jaune"/>
      <sheetName val="ZS Crise et Risque OS3"/>
      <sheetName val="Situation Globale OS3"/>
      <sheetName val="Nutrition"/>
      <sheetName val="Donnees Secal"/>
      <sheetName val="Protection"/>
      <sheetName val="Matrice  Travaux de groupe Fina"/>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ones Dynamiques17"/>
      <sheetName val="Zones Dynamiques18"/>
      <sheetName val="Zones Dynamiques19"/>
      <sheetName val="Inc Prot"/>
      <sheetName val="Ridits"/>
      <sheetName val="ZONE EN CRISE"/>
      <sheetName val="ZONE A RISQUE"/>
      <sheetName val="IDP"/>
      <sheetName val="Def_Index"/>
      <sheetName val="TabSecal15eme"/>
      <sheetName val="SecalZS"/>
      <sheetName val="TabCholera17"/>
      <sheetName val="TabNut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tuity Regional staff"/>
      <sheetName val="Gratuity Kenyan staff"/>
      <sheetName val="Gratuity Kenyan staff (2)"/>
      <sheetName val="Gratuity 1999"/>
      <sheetName val="SUDBASE"/>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Kenya and Ethiopia summary"/>
      <sheetName val="IRC SUMMARY"/>
      <sheetName val="Look up for area recharge rates"/>
      <sheetName val="Gratuity_Regional_staff"/>
      <sheetName val="Gratuity_Kenyan_staff"/>
      <sheetName val="Gratuity_Kenyan_staff_(2)"/>
      <sheetName val="Gratuity_1999"/>
      <sheetName val="Kenya_and_Ethiopia_summary"/>
      <sheetName val="IRC_SUMMARY"/>
      <sheetName val="Guidance"/>
      <sheetName val="."/>
      <sheetName val="Validation Lists"/>
      <sheetName val="FX_EXCL Rtrv"/>
      <sheetName val="7.5 Detailed budget"/>
      <sheetName val="Recipients"/>
      <sheetName val="Cover - Start here"/>
      <sheetName val="Translations"/>
      <sheetName val="7.1 Financial gap"/>
      <sheetName val="Definitions"/>
      <sheetName val="Drops"/>
      <sheetName val="7.6 (d) Incremental"/>
      <sheetName val="Objectives"/>
      <sheetName val="Gratuity_Regional_staff1"/>
      <sheetName val="Gratuity_Kenyan_staff1"/>
      <sheetName val="Gratuity_Kenyan_staff_(2)1"/>
      <sheetName val="Gratuity_19991"/>
      <sheetName val="Kenya_and_Ethiopia_summary1"/>
      <sheetName val="IRC_SUMMARY1"/>
      <sheetName val="Look_up_for_area_recharge_rates"/>
      <sheetName val="Key"/>
      <sheetName val="Validations"/>
      <sheetName val="Customize Your Invoice"/>
      <sheetName val="Dropdown List"/>
      <sheetName val="Setting"/>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heetName val="admin"/>
      <sheetName val="Sheet1"/>
      <sheetName val="Sheet2"/>
      <sheetName val="LIST DATA"/>
    </sheetNames>
    <sheetDataSet>
      <sheetData sheetId="0">
        <row r="1">
          <cell r="C1" t="str">
            <v>adm1_name</v>
          </cell>
        </row>
      </sheetData>
      <sheetData sheetId="1">
        <row r="1">
          <cell r="C1" t="str">
            <v>adm1_name</v>
          </cell>
        </row>
        <row r="2">
          <cell r="C2" t="str">
            <v>AJK</v>
          </cell>
        </row>
        <row r="3">
          <cell r="C3" t="str">
            <v>AJK</v>
          </cell>
        </row>
        <row r="4">
          <cell r="C4" t="str">
            <v>AJK</v>
          </cell>
        </row>
        <row r="5">
          <cell r="C5" t="str">
            <v>AJK</v>
          </cell>
        </row>
        <row r="6">
          <cell r="C6" t="str">
            <v>AJK</v>
          </cell>
        </row>
        <row r="7">
          <cell r="C7" t="str">
            <v>AJK</v>
          </cell>
        </row>
        <row r="8">
          <cell r="C8" t="str">
            <v>AJK</v>
          </cell>
        </row>
        <row r="9">
          <cell r="C9" t="str">
            <v>AJK</v>
          </cell>
        </row>
        <row r="10">
          <cell r="C10" t="str">
            <v>AJK</v>
          </cell>
        </row>
        <row r="11">
          <cell r="C11" t="str">
            <v>AJK</v>
          </cell>
        </row>
        <row r="12">
          <cell r="C12" t="str">
            <v>Balochistan</v>
          </cell>
        </row>
        <row r="13">
          <cell r="C13" t="str">
            <v>Balochistan</v>
          </cell>
        </row>
        <row r="14">
          <cell r="C14" t="str">
            <v>Balochistan</v>
          </cell>
        </row>
        <row r="15">
          <cell r="C15" t="str">
            <v>Balochistan</v>
          </cell>
        </row>
        <row r="16">
          <cell r="C16" t="str">
            <v>Balochistan</v>
          </cell>
        </row>
        <row r="17">
          <cell r="C17" t="str">
            <v>Balochistan</v>
          </cell>
        </row>
        <row r="18">
          <cell r="C18" t="str">
            <v>Balochistan</v>
          </cell>
        </row>
        <row r="19">
          <cell r="C19" t="str">
            <v>Balochistan</v>
          </cell>
        </row>
        <row r="20">
          <cell r="C20" t="str">
            <v>Balochistan</v>
          </cell>
        </row>
        <row r="21">
          <cell r="C21" t="str">
            <v>Balochistan</v>
          </cell>
        </row>
        <row r="22">
          <cell r="C22" t="str">
            <v>Balochistan</v>
          </cell>
        </row>
        <row r="23">
          <cell r="C23" t="str">
            <v>Balochistan</v>
          </cell>
        </row>
        <row r="24">
          <cell r="C24" t="str">
            <v>Balochistan</v>
          </cell>
        </row>
        <row r="25">
          <cell r="C25" t="str">
            <v>Balochistan</v>
          </cell>
        </row>
        <row r="26">
          <cell r="C26" t="str">
            <v>Balochistan</v>
          </cell>
        </row>
        <row r="27">
          <cell r="C27" t="str">
            <v>Balochistan</v>
          </cell>
        </row>
        <row r="28">
          <cell r="C28" t="str">
            <v>Balochistan</v>
          </cell>
        </row>
        <row r="29">
          <cell r="C29" t="str">
            <v>Balochistan</v>
          </cell>
        </row>
        <row r="30">
          <cell r="C30" t="str">
            <v>Balochistan</v>
          </cell>
        </row>
        <row r="31">
          <cell r="C31" t="str">
            <v>Balochistan</v>
          </cell>
        </row>
        <row r="32">
          <cell r="C32" t="str">
            <v>Balochistan</v>
          </cell>
        </row>
        <row r="33">
          <cell r="C33" t="str">
            <v>Balochistan</v>
          </cell>
        </row>
        <row r="34">
          <cell r="C34" t="str">
            <v>Balochistan</v>
          </cell>
        </row>
        <row r="35">
          <cell r="C35" t="str">
            <v>Balochistan</v>
          </cell>
        </row>
        <row r="36">
          <cell r="C36" t="str">
            <v>Balochistan</v>
          </cell>
        </row>
        <row r="37">
          <cell r="C37" t="str">
            <v>Balochistan</v>
          </cell>
        </row>
        <row r="38">
          <cell r="C38" t="str">
            <v>Balochistan</v>
          </cell>
        </row>
        <row r="39">
          <cell r="C39" t="str">
            <v>Balochistan</v>
          </cell>
        </row>
        <row r="40">
          <cell r="C40" t="str">
            <v>Balochistan</v>
          </cell>
        </row>
        <row r="41">
          <cell r="C41" t="str">
            <v>Balochistan</v>
          </cell>
        </row>
        <row r="42">
          <cell r="C42" t="str">
            <v>Balochistan</v>
          </cell>
        </row>
        <row r="43">
          <cell r="C43" t="str">
            <v>Balochistan</v>
          </cell>
        </row>
        <row r="44">
          <cell r="C44" t="str">
            <v>FATA</v>
          </cell>
        </row>
        <row r="45">
          <cell r="C45" t="str">
            <v>FATA</v>
          </cell>
        </row>
        <row r="46">
          <cell r="C46" t="str">
            <v>FATA</v>
          </cell>
        </row>
        <row r="47">
          <cell r="C47" t="str">
            <v>FATA</v>
          </cell>
        </row>
        <row r="48">
          <cell r="C48" t="str">
            <v>FATA</v>
          </cell>
        </row>
        <row r="49">
          <cell r="C49" t="str">
            <v>FATA</v>
          </cell>
        </row>
        <row r="50">
          <cell r="C50" t="str">
            <v>FATA</v>
          </cell>
        </row>
        <row r="51">
          <cell r="C51" t="str">
            <v>FATA</v>
          </cell>
        </row>
        <row r="52">
          <cell r="C52" t="str">
            <v>FATA</v>
          </cell>
        </row>
        <row r="53">
          <cell r="C53" t="str">
            <v>FATA</v>
          </cell>
        </row>
        <row r="54">
          <cell r="C54" t="str">
            <v>FATA</v>
          </cell>
        </row>
        <row r="55">
          <cell r="C55" t="str">
            <v>FATA</v>
          </cell>
        </row>
        <row r="56">
          <cell r="C56" t="str">
            <v>FATA</v>
          </cell>
        </row>
        <row r="57">
          <cell r="C57" t="str">
            <v>Gilgit Baltistan</v>
          </cell>
        </row>
        <row r="58">
          <cell r="C58" t="str">
            <v>Gilgit Baltistan</v>
          </cell>
        </row>
        <row r="59">
          <cell r="C59" t="str">
            <v>Gilgit Baltistan</v>
          </cell>
        </row>
        <row r="60">
          <cell r="C60" t="str">
            <v>Gilgit Baltistan</v>
          </cell>
        </row>
        <row r="61">
          <cell r="C61" t="str">
            <v>Gilgit Baltistan</v>
          </cell>
        </row>
        <row r="62">
          <cell r="C62" t="str">
            <v>Gilgit Baltistan</v>
          </cell>
        </row>
        <row r="63">
          <cell r="C63" t="str">
            <v>Gilgit Baltistan</v>
          </cell>
        </row>
        <row r="64">
          <cell r="C64" t="str">
            <v>Islamabad</v>
          </cell>
        </row>
        <row r="65">
          <cell r="C65" t="str">
            <v>Kyber Pakhtunkhwa</v>
          </cell>
        </row>
        <row r="66">
          <cell r="C66" t="str">
            <v>Kyber Pakhtunkhwa</v>
          </cell>
        </row>
        <row r="67">
          <cell r="C67" t="str">
            <v>Kyber Pakhtunkhwa</v>
          </cell>
        </row>
        <row r="68">
          <cell r="C68" t="str">
            <v>Kyber Pakhtunkhwa</v>
          </cell>
        </row>
        <row r="69">
          <cell r="C69" t="str">
            <v>Kyber Pakhtunkhwa</v>
          </cell>
        </row>
        <row r="70">
          <cell r="C70" t="str">
            <v>Kyber Pakhtunkhwa</v>
          </cell>
        </row>
        <row r="71">
          <cell r="C71" t="str">
            <v>Kyber Pakhtunkhwa</v>
          </cell>
        </row>
        <row r="72">
          <cell r="C72" t="str">
            <v>Kyber Pakhtunkhwa</v>
          </cell>
        </row>
        <row r="73">
          <cell r="C73" t="str">
            <v>Kyber Pakhtunkhwa</v>
          </cell>
        </row>
        <row r="74">
          <cell r="C74" t="str">
            <v>Kyber Pakhtunkhwa</v>
          </cell>
        </row>
        <row r="75">
          <cell r="C75" t="str">
            <v>Kyber Pakhtunkhwa</v>
          </cell>
        </row>
        <row r="76">
          <cell r="C76" t="str">
            <v>Kyber Pakhtunkhwa</v>
          </cell>
        </row>
        <row r="77">
          <cell r="C77" t="str">
            <v>Kyber Pakhtunkhwa</v>
          </cell>
        </row>
        <row r="78">
          <cell r="C78" t="str">
            <v>Kyber Pakhtunkhwa</v>
          </cell>
        </row>
        <row r="79">
          <cell r="C79" t="str">
            <v>Kyber Pakhtunkhwa</v>
          </cell>
        </row>
        <row r="80">
          <cell r="C80" t="str">
            <v>Kyber Pakhtunkhwa</v>
          </cell>
        </row>
        <row r="81">
          <cell r="C81" t="str">
            <v>Kyber Pakhtunkhwa</v>
          </cell>
        </row>
        <row r="82">
          <cell r="C82" t="str">
            <v>Kyber Pakhtunkhwa</v>
          </cell>
        </row>
        <row r="83">
          <cell r="C83" t="str">
            <v>Kyber Pakhtunkhwa</v>
          </cell>
        </row>
        <row r="84">
          <cell r="C84" t="str">
            <v>Kyber Pakhtunkhwa</v>
          </cell>
        </row>
        <row r="85">
          <cell r="C85" t="str">
            <v>Kyber Pakhtunkhwa</v>
          </cell>
        </row>
        <row r="86">
          <cell r="C86" t="str">
            <v>Kyber Pakhtunkhwa</v>
          </cell>
        </row>
        <row r="87">
          <cell r="C87" t="str">
            <v>Kyber Pakhtunkhwa</v>
          </cell>
        </row>
        <row r="88">
          <cell r="C88" t="str">
            <v>Kyber Pakhtunkhwa</v>
          </cell>
        </row>
        <row r="89">
          <cell r="C89" t="str">
            <v>Punjab</v>
          </cell>
        </row>
        <row r="90">
          <cell r="C90" t="str">
            <v>Punjab</v>
          </cell>
        </row>
        <row r="91">
          <cell r="C91" t="str">
            <v>Punjab</v>
          </cell>
        </row>
        <row r="92">
          <cell r="C92" t="str">
            <v>Punjab</v>
          </cell>
        </row>
        <row r="93">
          <cell r="C93" t="str">
            <v>Punjab</v>
          </cell>
        </row>
        <row r="94">
          <cell r="C94" t="str">
            <v>Punjab</v>
          </cell>
        </row>
        <row r="95">
          <cell r="C95" t="str">
            <v>Punjab</v>
          </cell>
        </row>
        <row r="96">
          <cell r="C96" t="str">
            <v>Punjab</v>
          </cell>
        </row>
        <row r="97">
          <cell r="C97" t="str">
            <v>Punjab</v>
          </cell>
        </row>
        <row r="98">
          <cell r="C98" t="str">
            <v>Punjab</v>
          </cell>
        </row>
        <row r="99">
          <cell r="C99" t="str">
            <v>Punjab</v>
          </cell>
        </row>
        <row r="100">
          <cell r="C100" t="str">
            <v>Punjab</v>
          </cell>
        </row>
        <row r="101">
          <cell r="C101" t="str">
            <v>Punjab</v>
          </cell>
        </row>
        <row r="102">
          <cell r="C102" t="str">
            <v>Punjab</v>
          </cell>
        </row>
        <row r="103">
          <cell r="C103" t="str">
            <v>Punjab</v>
          </cell>
        </row>
        <row r="104">
          <cell r="C104" t="str">
            <v>Punjab</v>
          </cell>
        </row>
        <row r="105">
          <cell r="C105" t="str">
            <v>Punjab</v>
          </cell>
        </row>
        <row r="106">
          <cell r="C106" t="str">
            <v>Punjab</v>
          </cell>
        </row>
        <row r="107">
          <cell r="C107" t="str">
            <v>Punjab</v>
          </cell>
        </row>
        <row r="108">
          <cell r="C108" t="str">
            <v>Punjab</v>
          </cell>
        </row>
        <row r="109">
          <cell r="C109" t="str">
            <v>Punjab</v>
          </cell>
        </row>
        <row r="110">
          <cell r="C110" t="str">
            <v>Punjab</v>
          </cell>
        </row>
        <row r="111">
          <cell r="C111" t="str">
            <v>Punjab</v>
          </cell>
        </row>
        <row r="112">
          <cell r="C112" t="str">
            <v>Punjab</v>
          </cell>
        </row>
        <row r="113">
          <cell r="C113" t="str">
            <v>Punjab</v>
          </cell>
        </row>
        <row r="114">
          <cell r="C114" t="str">
            <v>Punjab</v>
          </cell>
        </row>
        <row r="115">
          <cell r="C115" t="str">
            <v>Punjab</v>
          </cell>
        </row>
        <row r="116">
          <cell r="C116" t="str">
            <v>Punjab</v>
          </cell>
        </row>
        <row r="117">
          <cell r="C117" t="str">
            <v>Punjab</v>
          </cell>
        </row>
        <row r="118">
          <cell r="C118" t="str">
            <v>Punjab</v>
          </cell>
        </row>
        <row r="119">
          <cell r="C119" t="str">
            <v>Punjab</v>
          </cell>
        </row>
        <row r="120">
          <cell r="C120" t="str">
            <v>Punjab</v>
          </cell>
        </row>
        <row r="121">
          <cell r="C121" t="str">
            <v>Punjab</v>
          </cell>
        </row>
        <row r="122">
          <cell r="C122" t="str">
            <v>Punjab</v>
          </cell>
        </row>
        <row r="123">
          <cell r="C123" t="str">
            <v>Punjab</v>
          </cell>
        </row>
        <row r="124">
          <cell r="C124" t="str">
            <v>Punjab</v>
          </cell>
        </row>
        <row r="125">
          <cell r="C125" t="str">
            <v>Sindh</v>
          </cell>
        </row>
        <row r="126">
          <cell r="C126" t="str">
            <v>Sindh</v>
          </cell>
        </row>
        <row r="127">
          <cell r="C127" t="str">
            <v>Sindh</v>
          </cell>
        </row>
        <row r="128">
          <cell r="C128" t="str">
            <v>Sindh</v>
          </cell>
        </row>
        <row r="129">
          <cell r="C129" t="str">
            <v>Sindh</v>
          </cell>
        </row>
        <row r="130">
          <cell r="C130" t="str">
            <v>Sindh</v>
          </cell>
        </row>
        <row r="131">
          <cell r="C131" t="str">
            <v>Sindh</v>
          </cell>
        </row>
        <row r="132">
          <cell r="C132" t="str">
            <v>Sindh</v>
          </cell>
        </row>
        <row r="133">
          <cell r="C133" t="str">
            <v>Sindh</v>
          </cell>
        </row>
        <row r="134">
          <cell r="C134" t="str">
            <v>Sindh</v>
          </cell>
        </row>
        <row r="135">
          <cell r="C135" t="str">
            <v>Sindh</v>
          </cell>
        </row>
        <row r="136">
          <cell r="C136" t="str">
            <v>Sindh</v>
          </cell>
        </row>
        <row r="137">
          <cell r="C137" t="str">
            <v>Sindh</v>
          </cell>
        </row>
        <row r="138">
          <cell r="C138" t="str">
            <v>Sindh</v>
          </cell>
        </row>
        <row r="139">
          <cell r="C139" t="str">
            <v>Sindh</v>
          </cell>
        </row>
        <row r="140">
          <cell r="C140" t="str">
            <v>Sindh</v>
          </cell>
        </row>
        <row r="141">
          <cell r="C141" t="str">
            <v>Sindh</v>
          </cell>
        </row>
        <row r="142">
          <cell r="C142" t="str">
            <v>Sindh</v>
          </cell>
        </row>
        <row r="143">
          <cell r="C143" t="str">
            <v>Sindh</v>
          </cell>
        </row>
        <row r="144">
          <cell r="C144" t="str">
            <v>Sindh</v>
          </cell>
        </row>
        <row r="145">
          <cell r="C145" t="str">
            <v>Sindh</v>
          </cell>
        </row>
        <row r="146">
          <cell r="C146" t="str">
            <v>Sindh</v>
          </cell>
        </row>
        <row r="147">
          <cell r="C147" t="str">
            <v>Sindh</v>
          </cell>
        </row>
      </sheetData>
      <sheetData sheetId="2"/>
      <sheetData sheetId="3"/>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de base"/>
      <sheetName val="# Dans le Besoin 2016"/>
      <sheetName val="Facteurs d'accroissement pop"/>
      <sheetName val="# Dans le Besoin 2017"/>
      <sheetName val="# Dans le Besoin 2018"/>
      <sheetName val="# Dans le Besoin 2019"/>
      <sheetName val="1.Surmort+Surmobidite 2016"/>
      <sheetName val="1.Surmort+Surmobidite 2017"/>
      <sheetName val="1.Surmort+Surmobidite 2018"/>
      <sheetName val="1.Surmort+Surmobidite 2019"/>
      <sheetName val="2.1 Conflits par Cat.2016"/>
      <sheetName val="2.1 Conflits par Cat.2017"/>
      <sheetName val="2.1 Conflits par Cat.2018"/>
      <sheetName val="2.1 Conflits par Cat.2019"/>
      <sheetName val="Param Tx"/>
      <sheetName val="Param Tx2"/>
      <sheetName val="Sheet2"/>
      <sheetName val="2.2 Menance Protection 2016"/>
      <sheetName val="2.2 Menance Protection 2017 "/>
      <sheetName val="2.2 Menance Protection 2018"/>
      <sheetName val="2.2 Menance Protection 2019"/>
      <sheetName val="3.Refugies+Rapatries 2016"/>
      <sheetName val="3.Refugies+Rapatries 2017"/>
      <sheetName val="3.Refugies+Rapatries 2018"/>
      <sheetName val="3.Refugies+Rapatries 2019"/>
      <sheetName val="Expulses 2016"/>
      <sheetName val="#Pers. Aff. 2016 (1+2+3)"/>
      <sheetName val="#Pers. Aff. 2017 (1+2+3)"/>
      <sheetName val="#Pers. Aff. 2018 (1+2+3)"/>
      <sheetName val="#Pers. Aff. 2019 (1+2+3)"/>
      <sheetName val="Pers.Aff. Ss_Probs 2016"/>
      <sheetName val="Pers.Aff. Ss_Probs 2017"/>
      <sheetName val="Pers.Aff. Ss_Probs 2018"/>
      <sheetName val="Pers.Aff. Ss_Probs 2019"/>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sheetData sheetId="15" refreshError="1"/>
      <sheetData sheetId="16" refreshError="1"/>
      <sheetData sheetId="17" refreshError="1"/>
      <sheetData sheetId="18"/>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ight Volume Summary"/>
      <sheetName val="Somalia consolidate (0508)"/>
      <sheetName val="Receipt from Supplier 0508"/>
      <sheetName val="Affected"/>
      <sheetName val="Caseload Malnutrition"/>
      <sheetName val="Pivot PGM"/>
      <sheetName val="Pivot food"/>
      <sheetName val="PGM Somalia AR 050811"/>
      <sheetName val="Stock Working Copy0508"/>
      <sheetName val="Delivered to Partner CSZ 0508"/>
      <sheetName val="mat master Spt 10"/>
      <sheetName val="Sheet1"/>
      <sheetName val="Stock after 10711"/>
      <sheetName val="20110805_USSC Supply plan ARV3"/>
      <sheetName val="20110805_USSC%20Supply%20plan%2"/>
      <sheetName val="20110805_USSC Supply plan ARV3."/>
    </sheetNames>
    <sheetDataSet>
      <sheetData sheetId="0" refreshError="1"/>
      <sheetData sheetId="1"/>
      <sheetData sheetId="2"/>
      <sheetData sheetId="3" refreshError="1"/>
      <sheetData sheetId="4" refreshError="1"/>
      <sheetData sheetId="5">
        <row r="4">
          <cell r="D4" t="str">
            <v>S0000240</v>
          </cell>
          <cell r="F4">
            <v>17470</v>
          </cell>
        </row>
        <row r="5">
          <cell r="D5" t="str">
            <v>X0001</v>
          </cell>
          <cell r="F5">
            <v>1</v>
          </cell>
        </row>
        <row r="6">
          <cell r="D6" t="str">
            <v>~0010001</v>
          </cell>
          <cell r="F6">
            <v>20</v>
          </cell>
        </row>
        <row r="7">
          <cell r="D7" t="str">
            <v>~0010001</v>
          </cell>
          <cell r="F7">
            <v>20</v>
          </cell>
        </row>
        <row r="8">
          <cell r="D8" t="str">
            <v>~0010006</v>
          </cell>
          <cell r="F8">
            <v>25</v>
          </cell>
        </row>
        <row r="9">
          <cell r="D9" t="str">
            <v>~0010006</v>
          </cell>
          <cell r="F9">
            <v>20</v>
          </cell>
        </row>
        <row r="10">
          <cell r="D10" t="str">
            <v>~0010006</v>
          </cell>
          <cell r="F10">
            <v>20</v>
          </cell>
        </row>
        <row r="11">
          <cell r="D11" t="str">
            <v>~0010006</v>
          </cell>
          <cell r="F11">
            <v>20</v>
          </cell>
        </row>
        <row r="12">
          <cell r="D12" t="str">
            <v>~0010006</v>
          </cell>
          <cell r="F12">
            <v>20</v>
          </cell>
        </row>
        <row r="13">
          <cell r="D13" t="str">
            <v>~0010003</v>
          </cell>
          <cell r="F13">
            <v>8</v>
          </cell>
        </row>
        <row r="14">
          <cell r="D14" t="str">
            <v>~0010005</v>
          </cell>
          <cell r="F14">
            <v>8</v>
          </cell>
        </row>
        <row r="15">
          <cell r="D15" t="str">
            <v>~0010003</v>
          </cell>
          <cell r="F15">
            <v>24</v>
          </cell>
        </row>
        <row r="16">
          <cell r="D16" t="str">
            <v>~0010003</v>
          </cell>
          <cell r="F16">
            <v>24</v>
          </cell>
        </row>
        <row r="17">
          <cell r="D17" t="str">
            <v>~0010003</v>
          </cell>
          <cell r="F17">
            <v>24</v>
          </cell>
        </row>
        <row r="18">
          <cell r="D18" t="str">
            <v>~0010003</v>
          </cell>
          <cell r="F18">
            <v>24</v>
          </cell>
        </row>
        <row r="19">
          <cell r="D19" t="str">
            <v>X0001</v>
          </cell>
          <cell r="F19">
            <v>1</v>
          </cell>
        </row>
        <row r="20">
          <cell r="D20" t="str">
            <v>~0010007</v>
          </cell>
          <cell r="F20">
            <v>10</v>
          </cell>
        </row>
        <row r="21">
          <cell r="D21" t="str">
            <v>~0010270</v>
          </cell>
          <cell r="F21">
            <v>4</v>
          </cell>
        </row>
        <row r="22">
          <cell r="D22" t="str">
            <v>~0010270</v>
          </cell>
          <cell r="F22">
            <v>4</v>
          </cell>
        </row>
        <row r="23">
          <cell r="D23" t="str">
            <v>~0010270</v>
          </cell>
          <cell r="F23">
            <v>4</v>
          </cell>
        </row>
        <row r="24">
          <cell r="D24" t="str">
            <v>~0010270</v>
          </cell>
          <cell r="F24">
            <v>4</v>
          </cell>
        </row>
        <row r="25">
          <cell r="D25" t="str">
            <v>~0010270</v>
          </cell>
          <cell r="F25">
            <v>4</v>
          </cell>
        </row>
        <row r="26">
          <cell r="D26" t="str">
            <v>X0001</v>
          </cell>
          <cell r="F26">
            <v>1</v>
          </cell>
        </row>
        <row r="27">
          <cell r="D27" t="str">
            <v>~0010190</v>
          </cell>
          <cell r="F27">
            <v>30</v>
          </cell>
        </row>
        <row r="28">
          <cell r="D28" t="str">
            <v>~0010190</v>
          </cell>
          <cell r="F28">
            <v>2</v>
          </cell>
        </row>
        <row r="29">
          <cell r="D29" t="str">
            <v>~0010190</v>
          </cell>
          <cell r="F29">
            <v>8</v>
          </cell>
        </row>
        <row r="30">
          <cell r="D30" t="str">
            <v>~0010190</v>
          </cell>
          <cell r="F30">
            <v>2</v>
          </cell>
        </row>
        <row r="31">
          <cell r="D31" t="str">
            <v>~0010190</v>
          </cell>
          <cell r="F31">
            <v>2</v>
          </cell>
        </row>
        <row r="32">
          <cell r="D32" t="str">
            <v>~0010190</v>
          </cell>
          <cell r="F32">
            <v>3</v>
          </cell>
        </row>
        <row r="33">
          <cell r="D33" t="str">
            <v>X0001</v>
          </cell>
          <cell r="F33">
            <v>1</v>
          </cell>
        </row>
        <row r="34">
          <cell r="D34" t="str">
            <v>~0010001</v>
          </cell>
          <cell r="F34">
            <v>6</v>
          </cell>
        </row>
        <row r="35">
          <cell r="D35" t="str">
            <v>~0010001</v>
          </cell>
          <cell r="F35">
            <v>20</v>
          </cell>
        </row>
        <row r="36">
          <cell r="D36" t="str">
            <v>~0010003</v>
          </cell>
          <cell r="F36">
            <v>5</v>
          </cell>
        </row>
        <row r="37">
          <cell r="D37" t="str">
            <v>~0010003</v>
          </cell>
          <cell r="F37">
            <v>15</v>
          </cell>
        </row>
        <row r="38">
          <cell r="D38" t="str">
            <v>~0010003</v>
          </cell>
          <cell r="F38">
            <v>15</v>
          </cell>
        </row>
        <row r="39">
          <cell r="D39" t="str">
            <v>~0010003</v>
          </cell>
          <cell r="F39">
            <v>15</v>
          </cell>
        </row>
        <row r="40">
          <cell r="D40" t="str">
            <v>~0010003</v>
          </cell>
          <cell r="F40">
            <v>15</v>
          </cell>
        </row>
        <row r="41">
          <cell r="D41" t="str">
            <v>~0010004</v>
          </cell>
          <cell r="F41">
            <v>2</v>
          </cell>
        </row>
        <row r="42">
          <cell r="D42" t="str">
            <v>~0010004</v>
          </cell>
          <cell r="F42">
            <v>2</v>
          </cell>
        </row>
        <row r="43">
          <cell r="D43" t="str">
            <v>X0001</v>
          </cell>
          <cell r="F43">
            <v>1</v>
          </cell>
        </row>
        <row r="44">
          <cell r="D44" t="str">
            <v>~0010001</v>
          </cell>
          <cell r="F44">
            <v>1</v>
          </cell>
        </row>
        <row r="45">
          <cell r="D45" t="str">
            <v>~0010003</v>
          </cell>
          <cell r="F45">
            <v>5</v>
          </cell>
        </row>
        <row r="46">
          <cell r="D46" t="str">
            <v>~0010003</v>
          </cell>
          <cell r="F46">
            <v>20</v>
          </cell>
        </row>
        <row r="47">
          <cell r="D47" t="str">
            <v>~0010003</v>
          </cell>
          <cell r="F47">
            <v>5</v>
          </cell>
        </row>
        <row r="48">
          <cell r="D48" t="str">
            <v>~0010003</v>
          </cell>
          <cell r="F48">
            <v>5</v>
          </cell>
        </row>
        <row r="49">
          <cell r="D49" t="str">
            <v>~0010003</v>
          </cell>
          <cell r="F49">
            <v>1</v>
          </cell>
        </row>
        <row r="50">
          <cell r="D50" t="str">
            <v>~0010003</v>
          </cell>
          <cell r="F50">
            <v>5</v>
          </cell>
        </row>
        <row r="51">
          <cell r="D51" t="str">
            <v>~0010003</v>
          </cell>
          <cell r="F51">
            <v>5</v>
          </cell>
        </row>
        <row r="52">
          <cell r="D52" t="str">
            <v>~0010003</v>
          </cell>
          <cell r="F52">
            <v>5</v>
          </cell>
        </row>
        <row r="53">
          <cell r="D53" t="str">
            <v>~0010003</v>
          </cell>
          <cell r="F53">
            <v>8</v>
          </cell>
        </row>
        <row r="54">
          <cell r="D54" t="str">
            <v>~0010003</v>
          </cell>
          <cell r="F54">
            <v>3</v>
          </cell>
        </row>
        <row r="55">
          <cell r="D55" t="str">
            <v>~0010003</v>
          </cell>
          <cell r="F55">
            <v>3</v>
          </cell>
        </row>
        <row r="56">
          <cell r="D56" t="str">
            <v>~0010003</v>
          </cell>
          <cell r="F56">
            <v>3</v>
          </cell>
        </row>
        <row r="57">
          <cell r="D57" t="str">
            <v>~0010003</v>
          </cell>
          <cell r="F57">
            <v>3</v>
          </cell>
        </row>
        <row r="58">
          <cell r="D58" t="str">
            <v>~0010003</v>
          </cell>
          <cell r="F58">
            <v>36</v>
          </cell>
        </row>
        <row r="59">
          <cell r="D59" t="str">
            <v>~0010003</v>
          </cell>
          <cell r="F59">
            <v>1</v>
          </cell>
        </row>
        <row r="60">
          <cell r="D60" t="str">
            <v>~0010003</v>
          </cell>
          <cell r="F60">
            <v>2</v>
          </cell>
        </row>
        <row r="61">
          <cell r="D61" t="str">
            <v>~0010003</v>
          </cell>
          <cell r="F61">
            <v>2</v>
          </cell>
        </row>
        <row r="62">
          <cell r="D62" t="str">
            <v>~0010003</v>
          </cell>
          <cell r="F62">
            <v>1</v>
          </cell>
        </row>
        <row r="63">
          <cell r="D63" t="str">
            <v>~0010003</v>
          </cell>
          <cell r="F63">
            <v>10</v>
          </cell>
        </row>
        <row r="64">
          <cell r="D64" t="str">
            <v>~0010003</v>
          </cell>
          <cell r="F64">
            <v>10</v>
          </cell>
        </row>
        <row r="65">
          <cell r="D65" t="str">
            <v>~0010003</v>
          </cell>
          <cell r="F65">
            <v>10</v>
          </cell>
        </row>
        <row r="66">
          <cell r="D66" t="str">
            <v>~0010003</v>
          </cell>
          <cell r="F66">
            <v>10</v>
          </cell>
        </row>
        <row r="67">
          <cell r="D67" t="str">
            <v>~0010003</v>
          </cell>
          <cell r="F67">
            <v>1</v>
          </cell>
        </row>
        <row r="68">
          <cell r="D68" t="str">
            <v>~0010003</v>
          </cell>
          <cell r="F68">
            <v>1</v>
          </cell>
        </row>
        <row r="69">
          <cell r="D69" t="str">
            <v>X0001</v>
          </cell>
          <cell r="F69">
            <v>1</v>
          </cell>
        </row>
        <row r="70">
          <cell r="D70" t="str">
            <v>~0010003</v>
          </cell>
          <cell r="F70">
            <v>20</v>
          </cell>
        </row>
        <row r="71">
          <cell r="D71" t="str">
            <v>~0010003</v>
          </cell>
          <cell r="F71">
            <v>20</v>
          </cell>
        </row>
        <row r="72">
          <cell r="D72" t="str">
            <v>~0010003</v>
          </cell>
          <cell r="F72">
            <v>20</v>
          </cell>
        </row>
        <row r="73">
          <cell r="D73" t="str">
            <v>~0010003</v>
          </cell>
          <cell r="F73">
            <v>20</v>
          </cell>
        </row>
        <row r="74">
          <cell r="D74" t="str">
            <v>~0010003</v>
          </cell>
          <cell r="F74">
            <v>20</v>
          </cell>
        </row>
        <row r="75">
          <cell r="D75" t="str">
            <v>U467100</v>
          </cell>
          <cell r="F75">
            <v>0</v>
          </cell>
        </row>
        <row r="76">
          <cell r="F76">
            <v>0</v>
          </cell>
        </row>
        <row r="77">
          <cell r="F77">
            <v>0</v>
          </cell>
        </row>
        <row r="78">
          <cell r="F78">
            <v>0</v>
          </cell>
        </row>
        <row r="79">
          <cell r="F79">
            <v>0</v>
          </cell>
        </row>
        <row r="80">
          <cell r="D80" t="str">
            <v>X0001</v>
          </cell>
          <cell r="F80">
            <v>1</v>
          </cell>
        </row>
        <row r="81">
          <cell r="D81" t="str">
            <v>S8799000</v>
          </cell>
          <cell r="F81">
            <v>500</v>
          </cell>
        </row>
        <row r="82">
          <cell r="D82" t="str">
            <v>S5001006</v>
          </cell>
          <cell r="F82">
            <v>200</v>
          </cell>
        </row>
        <row r="83">
          <cell r="D83" t="str">
            <v>S8799100</v>
          </cell>
          <cell r="F83">
            <v>10</v>
          </cell>
        </row>
        <row r="84">
          <cell r="D84" t="str">
            <v>X0001</v>
          </cell>
          <cell r="F84">
            <v>1</v>
          </cell>
        </row>
        <row r="85">
          <cell r="D85" t="str">
            <v>U451000</v>
          </cell>
          <cell r="F85">
            <v>1</v>
          </cell>
        </row>
        <row r="86">
          <cell r="D86" t="str">
            <v>U451000</v>
          </cell>
          <cell r="F86">
            <v>1</v>
          </cell>
        </row>
        <row r="87">
          <cell r="D87" t="str">
            <v>U451000</v>
          </cell>
          <cell r="F87">
            <v>1</v>
          </cell>
        </row>
        <row r="88">
          <cell r="D88" t="str">
            <v>U451000</v>
          </cell>
          <cell r="F88">
            <v>6</v>
          </cell>
        </row>
        <row r="89">
          <cell r="D89" t="str">
            <v>U451000</v>
          </cell>
          <cell r="F89">
            <v>4</v>
          </cell>
        </row>
        <row r="90">
          <cell r="D90" t="str">
            <v>U451000</v>
          </cell>
          <cell r="F90">
            <v>4</v>
          </cell>
        </row>
        <row r="91">
          <cell r="D91" t="str">
            <v>U451000</v>
          </cell>
          <cell r="F91">
            <v>4</v>
          </cell>
        </row>
        <row r="92">
          <cell r="D92" t="str">
            <v>U451000</v>
          </cell>
          <cell r="F92">
            <v>4</v>
          </cell>
        </row>
        <row r="93">
          <cell r="D93" t="str">
            <v>U451000</v>
          </cell>
          <cell r="F93">
            <v>24</v>
          </cell>
        </row>
        <row r="94">
          <cell r="D94" t="str">
            <v>U451000</v>
          </cell>
          <cell r="F94">
            <v>1</v>
          </cell>
        </row>
        <row r="95">
          <cell r="D95" t="str">
            <v>U451000</v>
          </cell>
          <cell r="F95">
            <v>1</v>
          </cell>
        </row>
        <row r="96">
          <cell r="D96" t="str">
            <v>U451000</v>
          </cell>
          <cell r="F96">
            <v>1</v>
          </cell>
        </row>
        <row r="97">
          <cell r="D97" t="str">
            <v>U451000</v>
          </cell>
          <cell r="F97">
            <v>6</v>
          </cell>
        </row>
        <row r="98">
          <cell r="D98" t="str">
            <v>~0010007</v>
          </cell>
          <cell r="F98">
            <v>40</v>
          </cell>
        </row>
        <row r="99">
          <cell r="D99" t="str">
            <v>X0001</v>
          </cell>
          <cell r="F99">
            <v>1</v>
          </cell>
        </row>
        <row r="100">
          <cell r="D100" t="str">
            <v>~0010024</v>
          </cell>
          <cell r="F100">
            <v>10</v>
          </cell>
        </row>
        <row r="101">
          <cell r="D101" t="str">
            <v>X0001</v>
          </cell>
          <cell r="F101">
            <v>1</v>
          </cell>
        </row>
        <row r="102">
          <cell r="D102" t="str">
            <v>~0010270</v>
          </cell>
          <cell r="F102">
            <v>5</v>
          </cell>
        </row>
        <row r="103">
          <cell r="D103" t="str">
            <v>~0010270</v>
          </cell>
          <cell r="F103">
            <v>5</v>
          </cell>
        </row>
        <row r="104">
          <cell r="D104" t="str">
            <v>X0001</v>
          </cell>
          <cell r="F104">
            <v>1</v>
          </cell>
        </row>
        <row r="105">
          <cell r="D105" t="str">
            <v>~0010245</v>
          </cell>
          <cell r="F105">
            <v>2</v>
          </cell>
        </row>
        <row r="106">
          <cell r="D106" t="str">
            <v>~0010245</v>
          </cell>
          <cell r="F106">
            <v>5</v>
          </cell>
        </row>
        <row r="107">
          <cell r="D107" t="str">
            <v>X0001</v>
          </cell>
          <cell r="F107">
            <v>1</v>
          </cell>
        </row>
        <row r="108">
          <cell r="D108" t="str">
            <v>~0010007</v>
          </cell>
          <cell r="F108">
            <v>6</v>
          </cell>
        </row>
        <row r="109">
          <cell r="D109" t="str">
            <v>~0010007</v>
          </cell>
          <cell r="F109">
            <v>6</v>
          </cell>
        </row>
        <row r="110">
          <cell r="D110" t="str">
            <v>X0001</v>
          </cell>
          <cell r="F110">
            <v>1</v>
          </cell>
        </row>
        <row r="111">
          <cell r="D111" t="str">
            <v>~0010001</v>
          </cell>
          <cell r="F111">
            <v>14</v>
          </cell>
        </row>
        <row r="112">
          <cell r="D112" t="str">
            <v>~0010001</v>
          </cell>
          <cell r="F112">
            <v>14</v>
          </cell>
        </row>
        <row r="113">
          <cell r="D113" t="str">
            <v>~0010006</v>
          </cell>
          <cell r="F113">
            <v>1</v>
          </cell>
        </row>
        <row r="114">
          <cell r="D114" t="str">
            <v>~0010006</v>
          </cell>
          <cell r="F114">
            <v>1</v>
          </cell>
        </row>
        <row r="115">
          <cell r="D115" t="str">
            <v>~0010006</v>
          </cell>
          <cell r="F115">
            <v>1</v>
          </cell>
        </row>
        <row r="116">
          <cell r="D116" t="str">
            <v>~0010006</v>
          </cell>
          <cell r="F116">
            <v>1</v>
          </cell>
        </row>
        <row r="117">
          <cell r="D117" t="str">
            <v>~0010006</v>
          </cell>
          <cell r="F117">
            <v>1</v>
          </cell>
        </row>
        <row r="118">
          <cell r="D118" t="str">
            <v>~0010006</v>
          </cell>
          <cell r="F118">
            <v>1</v>
          </cell>
        </row>
        <row r="119">
          <cell r="D119" t="str">
            <v>~0010003</v>
          </cell>
          <cell r="F119">
            <v>12</v>
          </cell>
        </row>
        <row r="120">
          <cell r="D120" t="str">
            <v>~0010003</v>
          </cell>
          <cell r="F120">
            <v>24</v>
          </cell>
        </row>
        <row r="121">
          <cell r="D121" t="str">
            <v>~0010003</v>
          </cell>
          <cell r="F121">
            <v>24</v>
          </cell>
        </row>
        <row r="122">
          <cell r="D122" t="str">
            <v>~0010003</v>
          </cell>
          <cell r="F122">
            <v>24</v>
          </cell>
        </row>
        <row r="123">
          <cell r="D123" t="str">
            <v>~0010003</v>
          </cell>
          <cell r="F123">
            <v>24</v>
          </cell>
        </row>
        <row r="124">
          <cell r="D124" t="str">
            <v>~0010004</v>
          </cell>
          <cell r="F124">
            <v>11</v>
          </cell>
        </row>
        <row r="125">
          <cell r="D125" t="str">
            <v>~0010007</v>
          </cell>
          <cell r="F125">
            <v>14</v>
          </cell>
        </row>
        <row r="126">
          <cell r="D126" t="str">
            <v>~0010007</v>
          </cell>
          <cell r="F126">
            <v>28</v>
          </cell>
        </row>
        <row r="127">
          <cell r="D127" t="str">
            <v>X0001</v>
          </cell>
          <cell r="F127">
            <v>1</v>
          </cell>
        </row>
        <row r="128">
          <cell r="D128" t="str">
            <v>~0010026</v>
          </cell>
          <cell r="F128">
            <v>10</v>
          </cell>
        </row>
        <row r="129">
          <cell r="D129" t="str">
            <v>~0010026</v>
          </cell>
          <cell r="F129">
            <v>10</v>
          </cell>
        </row>
        <row r="130">
          <cell r="D130" t="str">
            <v>~0010026</v>
          </cell>
          <cell r="F130">
            <v>10</v>
          </cell>
        </row>
        <row r="131">
          <cell r="D131" t="str">
            <v>~0010026</v>
          </cell>
          <cell r="F131">
            <v>10</v>
          </cell>
        </row>
        <row r="132">
          <cell r="D132" t="str">
            <v>X0001</v>
          </cell>
          <cell r="F132">
            <v>1</v>
          </cell>
        </row>
        <row r="133">
          <cell r="D133" t="str">
            <v>S0000293</v>
          </cell>
          <cell r="F133">
            <v>32000</v>
          </cell>
        </row>
        <row r="134">
          <cell r="D134" t="str">
            <v>X0001</v>
          </cell>
          <cell r="F134">
            <v>1</v>
          </cell>
        </row>
        <row r="135">
          <cell r="D135" t="str">
            <v>~0010006</v>
          </cell>
          <cell r="F135">
            <v>20</v>
          </cell>
        </row>
        <row r="136">
          <cell r="D136" t="str">
            <v>X0001</v>
          </cell>
          <cell r="F136">
            <v>1</v>
          </cell>
        </row>
        <row r="137">
          <cell r="D137" t="str">
            <v>S0000293</v>
          </cell>
          <cell r="F137">
            <v>59000</v>
          </cell>
        </row>
        <row r="138">
          <cell r="D138" t="str">
            <v>X0001</v>
          </cell>
          <cell r="F138">
            <v>1</v>
          </cell>
        </row>
        <row r="139">
          <cell r="D139" t="str">
            <v>S0000240</v>
          </cell>
          <cell r="F139">
            <v>14700</v>
          </cell>
        </row>
        <row r="140">
          <cell r="D140" t="str">
            <v>X0001</v>
          </cell>
          <cell r="F140">
            <v>1</v>
          </cell>
        </row>
        <row r="141">
          <cell r="D141" t="str">
            <v>U369511</v>
          </cell>
          <cell r="F141">
            <v>3000</v>
          </cell>
        </row>
        <row r="142">
          <cell r="F142">
            <v>35000</v>
          </cell>
        </row>
        <row r="143">
          <cell r="D143" t="str">
            <v>U369511</v>
          </cell>
          <cell r="F143">
            <v>38000</v>
          </cell>
        </row>
        <row r="144">
          <cell r="D144" t="str">
            <v>S0000293</v>
          </cell>
          <cell r="F144">
            <v>97000</v>
          </cell>
        </row>
        <row r="145">
          <cell r="D145" t="str">
            <v>X0001</v>
          </cell>
          <cell r="F145">
            <v>1</v>
          </cell>
        </row>
        <row r="146">
          <cell r="D146" t="str">
            <v>S0000240</v>
          </cell>
          <cell r="F146">
            <v>18000</v>
          </cell>
        </row>
        <row r="147">
          <cell r="D147" t="str">
            <v>X0001</v>
          </cell>
          <cell r="F147">
            <v>1</v>
          </cell>
        </row>
        <row r="148">
          <cell r="D148" t="str">
            <v>S0000293</v>
          </cell>
          <cell r="F148">
            <v>102000</v>
          </cell>
        </row>
        <row r="149">
          <cell r="D149" t="str">
            <v>X0001</v>
          </cell>
          <cell r="F149">
            <v>1</v>
          </cell>
        </row>
        <row r="150">
          <cell r="D150" t="str">
            <v>S0000240</v>
          </cell>
          <cell r="F150">
            <v>12000</v>
          </cell>
        </row>
        <row r="151">
          <cell r="D151" t="str">
            <v>X0001</v>
          </cell>
          <cell r="F151">
            <v>1</v>
          </cell>
        </row>
        <row r="152">
          <cell r="D152" t="str">
            <v>U369511</v>
          </cell>
          <cell r="F152">
            <v>60000</v>
          </cell>
        </row>
        <row r="153">
          <cell r="D153" t="str">
            <v>S0005832</v>
          </cell>
          <cell r="F153">
            <v>100</v>
          </cell>
        </row>
        <row r="154">
          <cell r="D154" t="str">
            <v>X0001</v>
          </cell>
          <cell r="F154">
            <v>1</v>
          </cell>
        </row>
        <row r="155">
          <cell r="D155" t="str">
            <v>U439410</v>
          </cell>
          <cell r="F155">
            <v>770</v>
          </cell>
        </row>
        <row r="156">
          <cell r="D156" t="str">
            <v>X0001</v>
          </cell>
          <cell r="F156">
            <v>1</v>
          </cell>
        </row>
        <row r="157">
          <cell r="D157" t="str">
            <v>S4416403</v>
          </cell>
          <cell r="F157">
            <v>0</v>
          </cell>
        </row>
        <row r="158">
          <cell r="D158" t="str">
            <v>S4460006</v>
          </cell>
          <cell r="F158">
            <v>150</v>
          </cell>
        </row>
        <row r="159">
          <cell r="D159" t="str">
            <v>S4460005</v>
          </cell>
          <cell r="F159">
            <v>150</v>
          </cell>
        </row>
        <row r="160">
          <cell r="D160" t="str">
            <v>S2684006</v>
          </cell>
          <cell r="F160">
            <v>150</v>
          </cell>
        </row>
        <row r="161">
          <cell r="D161" t="str">
            <v>S4416506</v>
          </cell>
          <cell r="F161">
            <v>300</v>
          </cell>
        </row>
        <row r="162">
          <cell r="D162" t="str">
            <v>S4419000</v>
          </cell>
          <cell r="F162">
            <v>600</v>
          </cell>
        </row>
        <row r="163">
          <cell r="D163" t="str">
            <v>S4432000</v>
          </cell>
          <cell r="F163">
            <v>750</v>
          </cell>
        </row>
        <row r="164">
          <cell r="D164" t="str">
            <v>S2555010</v>
          </cell>
          <cell r="F164">
            <v>750</v>
          </cell>
        </row>
        <row r="165">
          <cell r="D165" t="str">
            <v>S4465700</v>
          </cell>
          <cell r="F165">
            <v>150</v>
          </cell>
        </row>
        <row r="166">
          <cell r="D166" t="str">
            <v>S4416397</v>
          </cell>
          <cell r="F166">
            <v>450</v>
          </cell>
        </row>
        <row r="167">
          <cell r="D167" t="str">
            <v>S4467000</v>
          </cell>
          <cell r="F167">
            <v>150</v>
          </cell>
        </row>
        <row r="168">
          <cell r="D168" t="str">
            <v>S4416503</v>
          </cell>
          <cell r="F168">
            <v>150</v>
          </cell>
        </row>
        <row r="169">
          <cell r="D169" t="str">
            <v>S5001010</v>
          </cell>
          <cell r="F169">
            <v>150</v>
          </cell>
        </row>
        <row r="170">
          <cell r="D170" t="str">
            <v>S4325608</v>
          </cell>
          <cell r="F170">
            <v>150</v>
          </cell>
        </row>
        <row r="171">
          <cell r="D171" t="str">
            <v>S2741600</v>
          </cell>
          <cell r="F171">
            <v>600</v>
          </cell>
        </row>
        <row r="172">
          <cell r="D172" t="str">
            <v>S2795700</v>
          </cell>
          <cell r="F172">
            <v>1500</v>
          </cell>
        </row>
        <row r="173">
          <cell r="D173" t="str">
            <v>S2731200</v>
          </cell>
          <cell r="F173">
            <v>1500</v>
          </cell>
        </row>
        <row r="174">
          <cell r="D174" t="str">
            <v>S2760001</v>
          </cell>
          <cell r="F174">
            <v>1500</v>
          </cell>
        </row>
        <row r="175">
          <cell r="D175" t="str">
            <v>S2702801</v>
          </cell>
          <cell r="F175">
            <v>1500</v>
          </cell>
        </row>
        <row r="176">
          <cell r="D176" t="str">
            <v>S4416504</v>
          </cell>
          <cell r="F176">
            <v>150</v>
          </cell>
        </row>
        <row r="177">
          <cell r="D177" t="str">
            <v>X0001</v>
          </cell>
          <cell r="F177">
            <v>1</v>
          </cell>
        </row>
        <row r="178">
          <cell r="D178" t="str">
            <v>S2795800</v>
          </cell>
          <cell r="F178">
            <v>300</v>
          </cell>
        </row>
        <row r="179">
          <cell r="D179" t="str">
            <v>S4416405</v>
          </cell>
          <cell r="F179">
            <v>9000</v>
          </cell>
        </row>
        <row r="180">
          <cell r="D180" t="str">
            <v>S9999999</v>
          </cell>
          <cell r="F180">
            <v>150</v>
          </cell>
        </row>
        <row r="181">
          <cell r="D181" t="str">
            <v>S4410009</v>
          </cell>
          <cell r="F181">
            <v>0</v>
          </cell>
        </row>
        <row r="182">
          <cell r="D182" t="str">
            <v>S4410019</v>
          </cell>
          <cell r="F182">
            <v>0</v>
          </cell>
        </row>
        <row r="183">
          <cell r="D183" t="str">
            <v>S4461001</v>
          </cell>
          <cell r="F183">
            <v>0</v>
          </cell>
        </row>
        <row r="184">
          <cell r="D184" t="str">
            <v>S9999999</v>
          </cell>
          <cell r="F184">
            <v>0</v>
          </cell>
        </row>
        <row r="185">
          <cell r="D185" t="str">
            <v>S4416510</v>
          </cell>
          <cell r="F185">
            <v>500</v>
          </cell>
        </row>
        <row r="186">
          <cell r="D186" t="str">
            <v>S4460701</v>
          </cell>
          <cell r="F186">
            <v>1250</v>
          </cell>
        </row>
        <row r="187">
          <cell r="D187" t="str">
            <v>S4520110</v>
          </cell>
          <cell r="F187">
            <v>500</v>
          </cell>
        </row>
        <row r="188">
          <cell r="D188" t="str">
            <v>S2584000</v>
          </cell>
          <cell r="F188">
            <v>1250</v>
          </cell>
        </row>
        <row r="189">
          <cell r="D189" t="str">
            <v>S4552010</v>
          </cell>
          <cell r="F189">
            <v>500</v>
          </cell>
        </row>
        <row r="190">
          <cell r="D190" t="str">
            <v>X0001</v>
          </cell>
          <cell r="F190">
            <v>1</v>
          </cell>
        </row>
        <row r="191">
          <cell r="D191" t="str">
            <v>S4410019</v>
          </cell>
          <cell r="F191">
            <v>250</v>
          </cell>
        </row>
        <row r="192">
          <cell r="D192" t="str">
            <v>S4461002</v>
          </cell>
          <cell r="F192">
            <v>500</v>
          </cell>
        </row>
        <row r="193">
          <cell r="D193" t="str">
            <v>S9999999</v>
          </cell>
          <cell r="F193">
            <v>250</v>
          </cell>
        </row>
        <row r="194">
          <cell r="D194" t="str">
            <v>S4410009</v>
          </cell>
          <cell r="F194">
            <v>0</v>
          </cell>
        </row>
        <row r="195">
          <cell r="D195" t="str">
            <v>S4460005</v>
          </cell>
          <cell r="F195">
            <v>600</v>
          </cell>
        </row>
        <row r="196">
          <cell r="D196" t="str">
            <v>S4460701</v>
          </cell>
          <cell r="F196">
            <v>600</v>
          </cell>
        </row>
        <row r="197">
          <cell r="D197" t="str">
            <v>S4520110</v>
          </cell>
          <cell r="F197">
            <v>150</v>
          </cell>
        </row>
        <row r="198">
          <cell r="D198" t="str">
            <v>S2584000</v>
          </cell>
          <cell r="F198">
            <v>600</v>
          </cell>
        </row>
        <row r="199">
          <cell r="D199" t="str">
            <v>S4552010</v>
          </cell>
          <cell r="F199">
            <v>300</v>
          </cell>
        </row>
        <row r="200">
          <cell r="D200" t="str">
            <v>X0001</v>
          </cell>
          <cell r="F200">
            <v>1</v>
          </cell>
        </row>
        <row r="201">
          <cell r="D201" t="str">
            <v>S9999999</v>
          </cell>
          <cell r="F201">
            <v>150</v>
          </cell>
        </row>
        <row r="202">
          <cell r="D202" t="str">
            <v>S4410010</v>
          </cell>
          <cell r="F202">
            <v>2250</v>
          </cell>
        </row>
        <row r="203">
          <cell r="D203" t="str">
            <v>S9999999</v>
          </cell>
          <cell r="F203">
            <v>150</v>
          </cell>
        </row>
        <row r="204">
          <cell r="D204" t="str">
            <v>S4410009</v>
          </cell>
          <cell r="F204">
            <v>0</v>
          </cell>
        </row>
        <row r="205">
          <cell r="D205" t="str">
            <v>S4460005</v>
          </cell>
          <cell r="F205">
            <v>300</v>
          </cell>
        </row>
        <row r="206">
          <cell r="D206" t="str">
            <v>S4460701</v>
          </cell>
          <cell r="F206">
            <v>300</v>
          </cell>
        </row>
        <row r="207">
          <cell r="D207" t="str">
            <v>S4520110</v>
          </cell>
          <cell r="F207">
            <v>150</v>
          </cell>
        </row>
        <row r="208">
          <cell r="D208" t="str">
            <v>S4570005</v>
          </cell>
          <cell r="F208">
            <v>150</v>
          </cell>
        </row>
        <row r="209">
          <cell r="D209" t="str">
            <v>S4516510</v>
          </cell>
          <cell r="F209">
            <v>150</v>
          </cell>
        </row>
        <row r="210">
          <cell r="D210" t="str">
            <v>X0001</v>
          </cell>
          <cell r="F210">
            <v>1</v>
          </cell>
        </row>
        <row r="211">
          <cell r="D211" t="str">
            <v>S9999999</v>
          </cell>
          <cell r="F211">
            <v>150</v>
          </cell>
        </row>
        <row r="212">
          <cell r="D212" t="str">
            <v>S4410020</v>
          </cell>
          <cell r="F212">
            <v>2250</v>
          </cell>
        </row>
        <row r="213">
          <cell r="D213" t="str">
            <v>S9999999</v>
          </cell>
          <cell r="F213">
            <v>150</v>
          </cell>
        </row>
        <row r="214">
          <cell r="D214" t="str">
            <v>U320000</v>
          </cell>
          <cell r="F214">
            <v>28500</v>
          </cell>
        </row>
        <row r="215">
          <cell r="D215" t="str">
            <v>U320000</v>
          </cell>
          <cell r="F215">
            <v>22500</v>
          </cell>
        </row>
        <row r="216">
          <cell r="D216" t="str">
            <v>U320000</v>
          </cell>
          <cell r="F216">
            <v>17400</v>
          </cell>
        </row>
        <row r="217">
          <cell r="D217" t="str">
            <v>U320000</v>
          </cell>
          <cell r="F217">
            <v>13800</v>
          </cell>
        </row>
        <row r="218">
          <cell r="D218" t="str">
            <v>U320000</v>
          </cell>
          <cell r="F218">
            <v>10800</v>
          </cell>
        </row>
        <row r="219">
          <cell r="D219" t="str">
            <v>U320000</v>
          </cell>
          <cell r="F219">
            <v>8100</v>
          </cell>
        </row>
        <row r="220">
          <cell r="D220" t="str">
            <v>U320000</v>
          </cell>
          <cell r="F220">
            <v>6450</v>
          </cell>
        </row>
        <row r="221">
          <cell r="D221" t="str">
            <v>U320000</v>
          </cell>
          <cell r="F221">
            <v>5100</v>
          </cell>
        </row>
        <row r="222">
          <cell r="D222" t="str">
            <v>U320000</v>
          </cell>
          <cell r="F222">
            <v>28500</v>
          </cell>
        </row>
        <row r="223">
          <cell r="D223" t="str">
            <v>U320000</v>
          </cell>
          <cell r="F223">
            <v>22500</v>
          </cell>
        </row>
        <row r="224">
          <cell r="D224" t="str">
            <v>U320000</v>
          </cell>
          <cell r="F224">
            <v>17400</v>
          </cell>
        </row>
        <row r="225">
          <cell r="D225" t="str">
            <v>U320000</v>
          </cell>
          <cell r="F225">
            <v>13800</v>
          </cell>
        </row>
        <row r="226">
          <cell r="D226" t="str">
            <v>U320000</v>
          </cell>
          <cell r="F226">
            <v>10800</v>
          </cell>
        </row>
        <row r="227">
          <cell r="D227" t="str">
            <v>U320000</v>
          </cell>
          <cell r="F227">
            <v>8100</v>
          </cell>
        </row>
        <row r="228">
          <cell r="D228" t="str">
            <v>U320000</v>
          </cell>
          <cell r="F228">
            <v>6450</v>
          </cell>
        </row>
        <row r="229">
          <cell r="D229" t="str">
            <v>U320000</v>
          </cell>
          <cell r="F229">
            <v>5100</v>
          </cell>
        </row>
        <row r="230">
          <cell r="D230" t="str">
            <v>U320000</v>
          </cell>
          <cell r="F230">
            <v>28500</v>
          </cell>
        </row>
        <row r="231">
          <cell r="D231" t="str">
            <v>U320000</v>
          </cell>
          <cell r="F231">
            <v>22500</v>
          </cell>
        </row>
        <row r="232">
          <cell r="D232" t="str">
            <v>U320000</v>
          </cell>
          <cell r="F232">
            <v>17400</v>
          </cell>
        </row>
        <row r="233">
          <cell r="D233" t="str">
            <v>U320000</v>
          </cell>
          <cell r="F233">
            <v>13800</v>
          </cell>
        </row>
        <row r="234">
          <cell r="D234" t="str">
            <v>U320000</v>
          </cell>
          <cell r="F234">
            <v>10800</v>
          </cell>
        </row>
        <row r="235">
          <cell r="D235" t="str">
            <v>U320000</v>
          </cell>
          <cell r="F235">
            <v>8100</v>
          </cell>
        </row>
        <row r="236">
          <cell r="D236" t="str">
            <v>U320000</v>
          </cell>
          <cell r="F236">
            <v>6450</v>
          </cell>
        </row>
        <row r="237">
          <cell r="D237" t="str">
            <v>U320000</v>
          </cell>
          <cell r="F237">
            <v>5100</v>
          </cell>
        </row>
        <row r="238">
          <cell r="D238" t="str">
            <v>U320000</v>
          </cell>
          <cell r="F238">
            <v>28500</v>
          </cell>
        </row>
        <row r="239">
          <cell r="D239" t="str">
            <v>U320000</v>
          </cell>
          <cell r="F239">
            <v>22500</v>
          </cell>
        </row>
        <row r="240">
          <cell r="D240" t="str">
            <v>U320000</v>
          </cell>
          <cell r="F240">
            <v>17400</v>
          </cell>
        </row>
        <row r="241">
          <cell r="D241" t="str">
            <v>U320000</v>
          </cell>
          <cell r="F241">
            <v>13800</v>
          </cell>
        </row>
        <row r="242">
          <cell r="D242" t="str">
            <v>U320000</v>
          </cell>
          <cell r="F242">
            <v>10800</v>
          </cell>
        </row>
        <row r="243">
          <cell r="D243" t="str">
            <v>U320000</v>
          </cell>
          <cell r="F243">
            <v>8100</v>
          </cell>
        </row>
        <row r="244">
          <cell r="D244" t="str">
            <v>U320000</v>
          </cell>
          <cell r="F244">
            <v>6450</v>
          </cell>
        </row>
        <row r="245">
          <cell r="D245" t="str">
            <v>U320000</v>
          </cell>
          <cell r="F245">
            <v>5100</v>
          </cell>
        </row>
        <row r="246">
          <cell r="D246" t="str">
            <v>U320000</v>
          </cell>
          <cell r="F246">
            <v>28500</v>
          </cell>
        </row>
        <row r="247">
          <cell r="D247" t="str">
            <v>U320000</v>
          </cell>
          <cell r="F247">
            <v>22500</v>
          </cell>
        </row>
        <row r="248">
          <cell r="D248" t="str">
            <v>U320000</v>
          </cell>
          <cell r="F248">
            <v>17400</v>
          </cell>
        </row>
        <row r="249">
          <cell r="D249" t="str">
            <v>U320000</v>
          </cell>
          <cell r="F249">
            <v>13800</v>
          </cell>
        </row>
        <row r="250">
          <cell r="D250" t="str">
            <v>U320000</v>
          </cell>
          <cell r="F250">
            <v>10800</v>
          </cell>
        </row>
        <row r="251">
          <cell r="D251" t="str">
            <v>U320000</v>
          </cell>
          <cell r="F251">
            <v>8100</v>
          </cell>
        </row>
        <row r="252">
          <cell r="D252" t="str">
            <v>U320000</v>
          </cell>
          <cell r="F252">
            <v>6450</v>
          </cell>
        </row>
        <row r="253">
          <cell r="D253" t="str">
            <v>U320000</v>
          </cell>
          <cell r="F253">
            <v>5100</v>
          </cell>
        </row>
        <row r="254">
          <cell r="D254" t="str">
            <v>U320000</v>
          </cell>
          <cell r="F254">
            <v>28500</v>
          </cell>
        </row>
        <row r="255">
          <cell r="D255" t="str">
            <v>U320000</v>
          </cell>
          <cell r="F255">
            <v>22500</v>
          </cell>
        </row>
        <row r="256">
          <cell r="D256" t="str">
            <v>U320000</v>
          </cell>
          <cell r="F256">
            <v>17400</v>
          </cell>
        </row>
        <row r="257">
          <cell r="D257" t="str">
            <v>U320000</v>
          </cell>
          <cell r="F257">
            <v>13800</v>
          </cell>
        </row>
        <row r="258">
          <cell r="D258" t="str">
            <v>U320000</v>
          </cell>
          <cell r="F258">
            <v>10800</v>
          </cell>
        </row>
        <row r="259">
          <cell r="D259" t="str">
            <v>U320000</v>
          </cell>
          <cell r="F259">
            <v>8100</v>
          </cell>
        </row>
        <row r="260">
          <cell r="D260" t="str">
            <v>U320000</v>
          </cell>
          <cell r="F260">
            <v>6450</v>
          </cell>
        </row>
        <row r="261">
          <cell r="D261" t="str">
            <v>U320000</v>
          </cell>
          <cell r="F261">
            <v>5100</v>
          </cell>
        </row>
        <row r="262">
          <cell r="D262" t="str">
            <v>U477600</v>
          </cell>
          <cell r="F262">
            <v>675900</v>
          </cell>
        </row>
        <row r="263">
          <cell r="D263" t="str">
            <v>S1400570</v>
          </cell>
          <cell r="F263">
            <v>0</v>
          </cell>
        </row>
        <row r="264">
          <cell r="D264" t="str">
            <v>U359010</v>
          </cell>
          <cell r="F264">
            <v>0</v>
          </cell>
        </row>
        <row r="265">
          <cell r="F265">
            <v>0</v>
          </cell>
        </row>
        <row r="266">
          <cell r="F266">
            <v>0</v>
          </cell>
        </row>
        <row r="267">
          <cell r="F267">
            <v>0</v>
          </cell>
        </row>
        <row r="268">
          <cell r="F268">
            <v>0</v>
          </cell>
        </row>
        <row r="269">
          <cell r="F269">
            <v>0</v>
          </cell>
        </row>
        <row r="270">
          <cell r="D270" t="str">
            <v>S1400527</v>
          </cell>
          <cell r="F270">
            <v>895</v>
          </cell>
        </row>
        <row r="271">
          <cell r="D271" t="str">
            <v>S1400523</v>
          </cell>
          <cell r="F271">
            <v>45</v>
          </cell>
        </row>
        <row r="272">
          <cell r="D272" t="str">
            <v>S1400570</v>
          </cell>
          <cell r="F272">
            <v>256</v>
          </cell>
        </row>
        <row r="273">
          <cell r="D273" t="str">
            <v>S1400122</v>
          </cell>
          <cell r="F273">
            <v>30</v>
          </cell>
        </row>
        <row r="274">
          <cell r="D274" t="str">
            <v>X0001</v>
          </cell>
          <cell r="F274">
            <v>1</v>
          </cell>
        </row>
        <row r="275">
          <cell r="D275" t="str">
            <v>S0003434</v>
          </cell>
          <cell r="F275">
            <v>0</v>
          </cell>
        </row>
        <row r="276">
          <cell r="D276" t="str">
            <v>S0003403</v>
          </cell>
          <cell r="F276">
            <v>88</v>
          </cell>
        </row>
        <row r="277">
          <cell r="D277" t="str">
            <v>S0003407</v>
          </cell>
          <cell r="F277">
            <v>33</v>
          </cell>
        </row>
        <row r="278">
          <cell r="D278" t="str">
            <v>S0003417</v>
          </cell>
          <cell r="F278">
            <v>44</v>
          </cell>
        </row>
        <row r="279">
          <cell r="D279" t="str">
            <v>X0001</v>
          </cell>
          <cell r="F279">
            <v>1</v>
          </cell>
        </row>
        <row r="280">
          <cell r="D280" t="str">
            <v>S1537120</v>
          </cell>
          <cell r="F280">
            <v>910</v>
          </cell>
        </row>
        <row r="281">
          <cell r="D281" t="str">
            <v>X0001</v>
          </cell>
          <cell r="F281">
            <v>1</v>
          </cell>
        </row>
        <row r="282">
          <cell r="D282" t="str">
            <v>S1400570</v>
          </cell>
          <cell r="F282">
            <v>0</v>
          </cell>
        </row>
        <row r="283">
          <cell r="D283" t="str">
            <v>U359010</v>
          </cell>
          <cell r="F283">
            <v>0</v>
          </cell>
        </row>
        <row r="284">
          <cell r="F284">
            <v>0</v>
          </cell>
        </row>
        <row r="285">
          <cell r="F285">
            <v>0</v>
          </cell>
        </row>
        <row r="286">
          <cell r="F286">
            <v>0</v>
          </cell>
        </row>
        <row r="287">
          <cell r="F287">
            <v>0</v>
          </cell>
        </row>
        <row r="288">
          <cell r="F288">
            <v>0</v>
          </cell>
        </row>
        <row r="289">
          <cell r="F289">
            <v>0</v>
          </cell>
        </row>
        <row r="290">
          <cell r="F290">
            <v>0</v>
          </cell>
        </row>
        <row r="291">
          <cell r="F291">
            <v>0</v>
          </cell>
        </row>
        <row r="292">
          <cell r="F292">
            <v>0</v>
          </cell>
        </row>
        <row r="293">
          <cell r="F293">
            <v>0</v>
          </cell>
        </row>
        <row r="294">
          <cell r="F294">
            <v>0</v>
          </cell>
        </row>
        <row r="295">
          <cell r="D295" t="str">
            <v>S1400527</v>
          </cell>
          <cell r="F295">
            <v>1040</v>
          </cell>
        </row>
        <row r="296">
          <cell r="D296" t="str">
            <v>S1400523</v>
          </cell>
          <cell r="F296">
            <v>69</v>
          </cell>
        </row>
        <row r="297">
          <cell r="D297" t="str">
            <v>S1400566</v>
          </cell>
          <cell r="F297">
            <v>189</v>
          </cell>
        </row>
        <row r="298">
          <cell r="D298" t="str">
            <v>S1400547</v>
          </cell>
          <cell r="F298">
            <v>617</v>
          </cell>
        </row>
        <row r="299">
          <cell r="D299" t="str">
            <v>X0001</v>
          </cell>
          <cell r="F299">
            <v>1</v>
          </cell>
        </row>
        <row r="300">
          <cell r="D300" t="str">
            <v>S1400574</v>
          </cell>
          <cell r="F300">
            <v>114</v>
          </cell>
        </row>
        <row r="301">
          <cell r="D301" t="str">
            <v>S1400122</v>
          </cell>
          <cell r="F301">
            <v>194</v>
          </cell>
        </row>
        <row r="302">
          <cell r="D302" t="str">
            <v>S1400541</v>
          </cell>
          <cell r="F302">
            <v>481</v>
          </cell>
        </row>
        <row r="303">
          <cell r="D303" t="str">
            <v>S1400201</v>
          </cell>
          <cell r="F303">
            <v>3990</v>
          </cell>
        </row>
        <row r="304">
          <cell r="D304" t="str">
            <v>S1400101</v>
          </cell>
          <cell r="F304">
            <v>2520</v>
          </cell>
        </row>
        <row r="305">
          <cell r="D305" t="str">
            <v>S1400127</v>
          </cell>
          <cell r="F305">
            <v>2160</v>
          </cell>
        </row>
        <row r="306">
          <cell r="D306" t="str">
            <v>S1400004</v>
          </cell>
          <cell r="F306">
            <v>720</v>
          </cell>
        </row>
        <row r="307">
          <cell r="D307" t="str">
            <v>S1400532</v>
          </cell>
          <cell r="F307">
            <v>180</v>
          </cell>
        </row>
        <row r="308">
          <cell r="D308" t="str">
            <v>U481000</v>
          </cell>
          <cell r="F308">
            <v>0</v>
          </cell>
        </row>
        <row r="309">
          <cell r="D309" t="str">
            <v>S0001280</v>
          </cell>
          <cell r="F309">
            <v>1</v>
          </cell>
        </row>
        <row r="310">
          <cell r="D310" t="str">
            <v>X0001</v>
          </cell>
          <cell r="F310">
            <v>1</v>
          </cell>
        </row>
        <row r="311">
          <cell r="D311" t="str">
            <v>S0003403</v>
          </cell>
          <cell r="F311">
            <v>55</v>
          </cell>
        </row>
        <row r="312">
          <cell r="D312" t="str">
            <v>X0001</v>
          </cell>
          <cell r="F312">
            <v>1</v>
          </cell>
        </row>
        <row r="313">
          <cell r="D313" t="str">
            <v>S0003489</v>
          </cell>
          <cell r="F313">
            <v>55</v>
          </cell>
        </row>
        <row r="314">
          <cell r="D314" t="str">
            <v>S0003482</v>
          </cell>
          <cell r="F314">
            <v>110</v>
          </cell>
        </row>
        <row r="315">
          <cell r="D315" t="str">
            <v>S0003554</v>
          </cell>
          <cell r="F315">
            <v>55</v>
          </cell>
        </row>
        <row r="316">
          <cell r="D316" t="str">
            <v>S1505046</v>
          </cell>
          <cell r="F316">
            <v>45000</v>
          </cell>
        </row>
        <row r="317">
          <cell r="D317" t="str">
            <v>S1555370</v>
          </cell>
          <cell r="F317">
            <v>200</v>
          </cell>
        </row>
        <row r="318">
          <cell r="D318" t="str">
            <v>S1505098</v>
          </cell>
          <cell r="F318">
            <v>550</v>
          </cell>
        </row>
        <row r="319">
          <cell r="D319" t="str">
            <v>S1531006</v>
          </cell>
          <cell r="F319">
            <v>150</v>
          </cell>
        </row>
        <row r="320">
          <cell r="D320" t="str">
            <v>S1531020</v>
          </cell>
          <cell r="F320">
            <v>500</v>
          </cell>
        </row>
        <row r="321">
          <cell r="D321" t="str">
            <v>S1550025</v>
          </cell>
          <cell r="F321">
            <v>200</v>
          </cell>
        </row>
        <row r="322">
          <cell r="D322" t="str">
            <v>S0747452</v>
          </cell>
          <cell r="F322">
            <v>520</v>
          </cell>
        </row>
        <row r="323">
          <cell r="D323" t="str">
            <v>S0782110</v>
          </cell>
          <cell r="F323">
            <v>660</v>
          </cell>
        </row>
        <row r="324">
          <cell r="D324" t="str">
            <v>S0782405</v>
          </cell>
          <cell r="F324">
            <v>500</v>
          </cell>
        </row>
        <row r="325">
          <cell r="D325" t="str">
            <v>S0366010</v>
          </cell>
          <cell r="F325">
            <v>5200</v>
          </cell>
        </row>
        <row r="326">
          <cell r="D326" t="str">
            <v>S0373000</v>
          </cell>
          <cell r="F326">
            <v>2500</v>
          </cell>
        </row>
        <row r="327">
          <cell r="D327" t="str">
            <v>S1580020</v>
          </cell>
          <cell r="F327">
            <v>500</v>
          </cell>
        </row>
        <row r="328">
          <cell r="D328" t="str">
            <v>S1552510</v>
          </cell>
          <cell r="F328">
            <v>2000</v>
          </cell>
        </row>
        <row r="329">
          <cell r="D329" t="str">
            <v>X0001</v>
          </cell>
          <cell r="F329">
            <v>1</v>
          </cell>
        </row>
        <row r="330">
          <cell r="D330" t="str">
            <v>S1505046</v>
          </cell>
          <cell r="F330">
            <v>398</v>
          </cell>
        </row>
        <row r="331">
          <cell r="D331" t="str">
            <v>S1551005</v>
          </cell>
          <cell r="F331">
            <v>57</v>
          </cell>
        </row>
        <row r="332">
          <cell r="D332" t="str">
            <v>X0001</v>
          </cell>
          <cell r="F332">
            <v>1</v>
          </cell>
        </row>
        <row r="333">
          <cell r="D333" t="str">
            <v>S0000209</v>
          </cell>
          <cell r="F333">
            <v>78</v>
          </cell>
        </row>
        <row r="334">
          <cell r="D334" t="str">
            <v>X0001</v>
          </cell>
          <cell r="F334">
            <v>1</v>
          </cell>
        </row>
        <row r="335">
          <cell r="D335" t="str">
            <v>S0000208</v>
          </cell>
          <cell r="F335">
            <v>260</v>
          </cell>
        </row>
        <row r="336">
          <cell r="D336" t="str">
            <v>S0000221</v>
          </cell>
          <cell r="F336">
            <v>17</v>
          </cell>
        </row>
        <row r="337">
          <cell r="D337" t="str">
            <v>S0000209</v>
          </cell>
          <cell r="F337">
            <v>422</v>
          </cell>
        </row>
        <row r="338">
          <cell r="D338" t="str">
            <v>S0000208</v>
          </cell>
          <cell r="F338">
            <v>540</v>
          </cell>
        </row>
        <row r="339">
          <cell r="D339" t="str">
            <v>S0000221</v>
          </cell>
          <cell r="F339">
            <v>43</v>
          </cell>
        </row>
        <row r="340">
          <cell r="D340" t="str">
            <v>X0001</v>
          </cell>
          <cell r="F340">
            <v>1</v>
          </cell>
        </row>
        <row r="341">
          <cell r="D341" t="str">
            <v>S0114520</v>
          </cell>
          <cell r="F341">
            <v>28</v>
          </cell>
        </row>
        <row r="342">
          <cell r="D342" t="str">
            <v>X0001</v>
          </cell>
          <cell r="F342">
            <v>1</v>
          </cell>
        </row>
        <row r="343">
          <cell r="D343" t="str">
            <v>S0145620</v>
          </cell>
          <cell r="F343">
            <v>462</v>
          </cell>
        </row>
        <row r="344">
          <cell r="D344" t="str">
            <v>S0141020</v>
          </cell>
          <cell r="F344">
            <v>261</v>
          </cell>
        </row>
        <row r="345">
          <cell r="D345" t="str">
            <v>S0145555</v>
          </cell>
          <cell r="F345">
            <v>113</v>
          </cell>
        </row>
        <row r="346">
          <cell r="D346" t="str">
            <v>S0189000</v>
          </cell>
          <cell r="F346">
            <v>135</v>
          </cell>
        </row>
        <row r="347">
          <cell r="D347" t="str">
            <v>S0000240</v>
          </cell>
          <cell r="F347">
            <v>3903</v>
          </cell>
        </row>
        <row r="348">
          <cell r="D348" t="str">
            <v>X0001</v>
          </cell>
          <cell r="F348">
            <v>1</v>
          </cell>
        </row>
        <row r="349">
          <cell r="D349" t="str">
            <v>S0145720</v>
          </cell>
          <cell r="F349">
            <v>100</v>
          </cell>
        </row>
        <row r="350">
          <cell r="D350" t="str">
            <v>S0145700</v>
          </cell>
          <cell r="F350">
            <v>200</v>
          </cell>
        </row>
        <row r="351">
          <cell r="D351" t="str">
            <v>S0145710</v>
          </cell>
          <cell r="F351">
            <v>200</v>
          </cell>
        </row>
        <row r="352">
          <cell r="D352" t="str">
            <v>X0001</v>
          </cell>
          <cell r="F352">
            <v>1</v>
          </cell>
        </row>
        <row r="353">
          <cell r="D353" t="str">
            <v>S0003403</v>
          </cell>
          <cell r="F353">
            <v>88</v>
          </cell>
        </row>
        <row r="354">
          <cell r="D354" t="str">
            <v>S0003407</v>
          </cell>
          <cell r="F354">
            <v>33</v>
          </cell>
        </row>
        <row r="355">
          <cell r="D355" t="str">
            <v>S0003417</v>
          </cell>
          <cell r="F355">
            <v>44</v>
          </cell>
        </row>
        <row r="356">
          <cell r="D356" t="str">
            <v>X0001</v>
          </cell>
          <cell r="F356">
            <v>1</v>
          </cell>
        </row>
        <row r="357">
          <cell r="D357" t="str">
            <v>S1521015</v>
          </cell>
          <cell r="F357">
            <v>160</v>
          </cell>
        </row>
        <row r="358">
          <cell r="D358" t="str">
            <v>S1555370</v>
          </cell>
          <cell r="F358">
            <v>80</v>
          </cell>
        </row>
        <row r="359">
          <cell r="D359" t="str">
            <v>S1505055</v>
          </cell>
          <cell r="F359">
            <v>90</v>
          </cell>
        </row>
        <row r="360">
          <cell r="D360" t="str">
            <v>S1559005</v>
          </cell>
          <cell r="F360">
            <v>90</v>
          </cell>
        </row>
        <row r="361">
          <cell r="D361" t="str">
            <v>S1519500</v>
          </cell>
          <cell r="F361">
            <v>400</v>
          </cell>
        </row>
        <row r="362">
          <cell r="D362" t="str">
            <v>S1552225</v>
          </cell>
          <cell r="F362">
            <v>800</v>
          </cell>
        </row>
        <row r="363">
          <cell r="D363" t="str">
            <v>S1523000</v>
          </cell>
          <cell r="F363">
            <v>400</v>
          </cell>
        </row>
        <row r="364">
          <cell r="D364" t="str">
            <v>S1531002</v>
          </cell>
          <cell r="F364">
            <v>130</v>
          </cell>
        </row>
        <row r="365">
          <cell r="D365" t="str">
            <v>S1531005</v>
          </cell>
          <cell r="F365">
            <v>450</v>
          </cell>
        </row>
        <row r="366">
          <cell r="D366" t="str">
            <v>S1531030</v>
          </cell>
          <cell r="F366">
            <v>400</v>
          </cell>
        </row>
        <row r="367">
          <cell r="D367" t="str">
            <v>S1531000</v>
          </cell>
          <cell r="F367">
            <v>40</v>
          </cell>
        </row>
        <row r="368">
          <cell r="D368" t="str">
            <v>S1555710</v>
          </cell>
          <cell r="F368">
            <v>900</v>
          </cell>
        </row>
        <row r="369">
          <cell r="D369" t="str">
            <v>S1537300</v>
          </cell>
          <cell r="F369">
            <v>40</v>
          </cell>
        </row>
        <row r="370">
          <cell r="D370" t="str">
            <v>S1505050</v>
          </cell>
          <cell r="F370">
            <v>200</v>
          </cell>
        </row>
        <row r="371">
          <cell r="D371" t="str">
            <v>S1555945</v>
          </cell>
          <cell r="F371">
            <v>250</v>
          </cell>
        </row>
        <row r="372">
          <cell r="D372" t="str">
            <v>S1543625</v>
          </cell>
          <cell r="F372">
            <v>80</v>
          </cell>
        </row>
        <row r="373">
          <cell r="D373" t="str">
            <v>S1544400</v>
          </cell>
          <cell r="F373">
            <v>90</v>
          </cell>
        </row>
        <row r="374">
          <cell r="D374" t="str">
            <v>S0521425</v>
          </cell>
          <cell r="F374">
            <v>270</v>
          </cell>
        </row>
        <row r="375">
          <cell r="D375" t="str">
            <v>S1546315</v>
          </cell>
          <cell r="F375">
            <v>300</v>
          </cell>
        </row>
        <row r="376">
          <cell r="D376" t="str">
            <v>S1550000</v>
          </cell>
          <cell r="F376">
            <v>40</v>
          </cell>
        </row>
        <row r="377">
          <cell r="D377" t="str">
            <v>S1555410</v>
          </cell>
          <cell r="F377">
            <v>80</v>
          </cell>
        </row>
        <row r="378">
          <cell r="D378" t="str">
            <v>S1550500</v>
          </cell>
          <cell r="F378">
            <v>40</v>
          </cell>
        </row>
        <row r="379">
          <cell r="D379" t="str">
            <v>S1551960</v>
          </cell>
          <cell r="F379">
            <v>40</v>
          </cell>
        </row>
        <row r="380">
          <cell r="D380" t="str">
            <v>S1552500</v>
          </cell>
          <cell r="F380">
            <v>800</v>
          </cell>
        </row>
        <row r="381">
          <cell r="D381" t="str">
            <v>S1553010</v>
          </cell>
          <cell r="F381">
            <v>250</v>
          </cell>
        </row>
        <row r="382">
          <cell r="D382" t="str">
            <v>S1504015</v>
          </cell>
          <cell r="F382">
            <v>40</v>
          </cell>
        </row>
        <row r="383">
          <cell r="D383" t="str">
            <v>S1504200</v>
          </cell>
          <cell r="F383">
            <v>40</v>
          </cell>
        </row>
        <row r="384">
          <cell r="D384" t="str">
            <v>S1504010</v>
          </cell>
          <cell r="F384">
            <v>40</v>
          </cell>
        </row>
        <row r="385">
          <cell r="D385" t="str">
            <v>S1555650</v>
          </cell>
          <cell r="F385">
            <v>90</v>
          </cell>
        </row>
        <row r="386">
          <cell r="D386" t="str">
            <v>S1555940</v>
          </cell>
          <cell r="F386">
            <v>40</v>
          </cell>
        </row>
        <row r="387">
          <cell r="D387" t="str">
            <v>S1515060</v>
          </cell>
          <cell r="F387">
            <v>800</v>
          </cell>
        </row>
        <row r="388">
          <cell r="D388" t="str">
            <v>S1580100</v>
          </cell>
          <cell r="F388">
            <v>40</v>
          </cell>
        </row>
        <row r="389">
          <cell r="D389" t="str">
            <v>S1555930</v>
          </cell>
          <cell r="F389">
            <v>1200</v>
          </cell>
        </row>
        <row r="390">
          <cell r="D390" t="str">
            <v>S1561121</v>
          </cell>
          <cell r="F390">
            <v>40</v>
          </cell>
        </row>
        <row r="391">
          <cell r="D391" t="str">
            <v>S1555965</v>
          </cell>
          <cell r="F391">
            <v>90</v>
          </cell>
        </row>
        <row r="392">
          <cell r="D392" t="str">
            <v>S1559305</v>
          </cell>
          <cell r="F392">
            <v>40</v>
          </cell>
        </row>
        <row r="393">
          <cell r="D393" t="str">
            <v>S1560678</v>
          </cell>
          <cell r="F393">
            <v>50</v>
          </cell>
        </row>
        <row r="394">
          <cell r="D394" t="str">
            <v>S1553105</v>
          </cell>
          <cell r="F394">
            <v>400</v>
          </cell>
        </row>
        <row r="395">
          <cell r="D395" t="str">
            <v>S1560310</v>
          </cell>
          <cell r="F395">
            <v>40</v>
          </cell>
        </row>
        <row r="396">
          <cell r="D396" t="str">
            <v>S1559200</v>
          </cell>
          <cell r="F396">
            <v>40</v>
          </cell>
        </row>
        <row r="397">
          <cell r="D397" t="str">
            <v>S1562020</v>
          </cell>
          <cell r="F397">
            <v>400</v>
          </cell>
        </row>
        <row r="398">
          <cell r="D398" t="str">
            <v>S1537120</v>
          </cell>
          <cell r="F398">
            <v>1310</v>
          </cell>
        </row>
        <row r="399">
          <cell r="D399" t="str">
            <v>S1537150</v>
          </cell>
          <cell r="F399">
            <v>1040</v>
          </cell>
        </row>
        <row r="400">
          <cell r="D400" t="str">
            <v>S1537130</v>
          </cell>
          <cell r="F400">
            <v>780</v>
          </cell>
        </row>
        <row r="401">
          <cell r="D401" t="str">
            <v>S1510000</v>
          </cell>
          <cell r="F401">
            <v>900</v>
          </cell>
        </row>
        <row r="402">
          <cell r="D402" t="str">
            <v>S1555990</v>
          </cell>
          <cell r="F402">
            <v>180</v>
          </cell>
        </row>
        <row r="403">
          <cell r="D403" t="str">
            <v>S1505051</v>
          </cell>
          <cell r="F403">
            <v>180</v>
          </cell>
        </row>
        <row r="404">
          <cell r="D404" t="str">
            <v>S1515020</v>
          </cell>
          <cell r="F404">
            <v>800</v>
          </cell>
        </row>
        <row r="405">
          <cell r="D405" t="str">
            <v>S1506002</v>
          </cell>
          <cell r="F405">
            <v>40</v>
          </cell>
        </row>
        <row r="406">
          <cell r="D406" t="str">
            <v>X0001</v>
          </cell>
          <cell r="F406">
            <v>1</v>
          </cell>
        </row>
        <row r="407">
          <cell r="D407" t="str">
            <v>S1543803</v>
          </cell>
          <cell r="F407">
            <v>310</v>
          </cell>
        </row>
        <row r="408">
          <cell r="D408" t="str">
            <v>~0010049</v>
          </cell>
          <cell r="F408">
            <v>0</v>
          </cell>
        </row>
        <row r="409">
          <cell r="D409" t="str">
            <v>~0010051</v>
          </cell>
          <cell r="F409">
            <v>0</v>
          </cell>
        </row>
        <row r="410">
          <cell r="F410">
            <v>0</v>
          </cell>
        </row>
        <row r="411">
          <cell r="F411">
            <v>0</v>
          </cell>
        </row>
        <row r="412">
          <cell r="F412">
            <v>0</v>
          </cell>
        </row>
        <row r="413">
          <cell r="F413">
            <v>0</v>
          </cell>
        </row>
        <row r="414">
          <cell r="F414">
            <v>0</v>
          </cell>
        </row>
        <row r="415">
          <cell r="D415" t="str">
            <v>~0010049</v>
          </cell>
          <cell r="F415">
            <v>4</v>
          </cell>
        </row>
        <row r="416">
          <cell r="D416" t="str">
            <v>~0010048</v>
          </cell>
          <cell r="F416">
            <v>60</v>
          </cell>
        </row>
        <row r="417">
          <cell r="D417" t="str">
            <v>~0010048</v>
          </cell>
          <cell r="F417">
            <v>60</v>
          </cell>
        </row>
        <row r="418">
          <cell r="D418" t="str">
            <v>~0010287</v>
          </cell>
          <cell r="F418">
            <v>110</v>
          </cell>
        </row>
        <row r="419">
          <cell r="D419" t="str">
            <v>~0010287</v>
          </cell>
          <cell r="F419">
            <v>8</v>
          </cell>
        </row>
        <row r="420">
          <cell r="D420" t="str">
            <v>~0010287</v>
          </cell>
          <cell r="F420">
            <v>8</v>
          </cell>
        </row>
        <row r="421">
          <cell r="D421" t="str">
            <v>~0010287</v>
          </cell>
          <cell r="F421">
            <v>8</v>
          </cell>
        </row>
        <row r="422">
          <cell r="D422" t="str">
            <v>~0010287</v>
          </cell>
          <cell r="F422">
            <v>8</v>
          </cell>
        </row>
        <row r="423">
          <cell r="D423" t="str">
            <v>~0010287</v>
          </cell>
          <cell r="F423">
            <v>55</v>
          </cell>
        </row>
        <row r="424">
          <cell r="D424" t="str">
            <v>~0010047</v>
          </cell>
          <cell r="F424">
            <v>4</v>
          </cell>
        </row>
        <row r="425">
          <cell r="D425" t="str">
            <v>~0010047</v>
          </cell>
          <cell r="F425">
            <v>4</v>
          </cell>
        </row>
        <row r="426">
          <cell r="D426" t="str">
            <v>~0010047</v>
          </cell>
          <cell r="F426">
            <v>4</v>
          </cell>
        </row>
        <row r="427">
          <cell r="D427" t="str">
            <v>~0010047</v>
          </cell>
          <cell r="F427">
            <v>4</v>
          </cell>
        </row>
        <row r="428">
          <cell r="D428" t="str">
            <v>~0010047</v>
          </cell>
          <cell r="F428">
            <v>4</v>
          </cell>
        </row>
        <row r="429">
          <cell r="D429" t="str">
            <v>~0010047</v>
          </cell>
          <cell r="F429">
            <v>2</v>
          </cell>
        </row>
        <row r="430">
          <cell r="D430" t="str">
            <v>~0010047</v>
          </cell>
          <cell r="F430">
            <v>2</v>
          </cell>
        </row>
        <row r="431">
          <cell r="D431" t="str">
            <v>~0010047</v>
          </cell>
          <cell r="F431">
            <v>8</v>
          </cell>
        </row>
        <row r="432">
          <cell r="D432" t="str">
            <v>~0010047</v>
          </cell>
          <cell r="F432">
            <v>4</v>
          </cell>
        </row>
        <row r="433">
          <cell r="D433" t="str">
            <v>~0010047</v>
          </cell>
          <cell r="F433">
            <v>8</v>
          </cell>
        </row>
        <row r="434">
          <cell r="D434" t="str">
            <v>~0010048</v>
          </cell>
          <cell r="F434">
            <v>8</v>
          </cell>
        </row>
        <row r="435">
          <cell r="D435" t="str">
            <v>~0010048</v>
          </cell>
          <cell r="F435">
            <v>8</v>
          </cell>
        </row>
        <row r="436">
          <cell r="D436" t="str">
            <v>X0001</v>
          </cell>
          <cell r="F436">
            <v>0</v>
          </cell>
        </row>
        <row r="437">
          <cell r="F437">
            <v>1</v>
          </cell>
        </row>
        <row r="438">
          <cell r="D438" t="str">
            <v>~0010051</v>
          </cell>
          <cell r="F438">
            <v>3</v>
          </cell>
        </row>
        <row r="439">
          <cell r="D439" t="str">
            <v>~0010051</v>
          </cell>
          <cell r="F439">
            <v>3</v>
          </cell>
        </row>
        <row r="440">
          <cell r="D440" t="str">
            <v>~0010051</v>
          </cell>
          <cell r="F440">
            <v>1</v>
          </cell>
        </row>
        <row r="441">
          <cell r="D441" t="str">
            <v>~0010051</v>
          </cell>
          <cell r="F441">
            <v>1</v>
          </cell>
        </row>
        <row r="442">
          <cell r="D442" t="str">
            <v>~0010051</v>
          </cell>
          <cell r="F442">
            <v>1</v>
          </cell>
        </row>
        <row r="443">
          <cell r="D443" t="str">
            <v>~0010051</v>
          </cell>
          <cell r="F443">
            <v>4</v>
          </cell>
        </row>
        <row r="444">
          <cell r="D444" t="str">
            <v>~0010051</v>
          </cell>
          <cell r="F444">
            <v>4</v>
          </cell>
        </row>
        <row r="445">
          <cell r="D445" t="str">
            <v>~0010051</v>
          </cell>
          <cell r="F445">
            <v>4</v>
          </cell>
        </row>
        <row r="446">
          <cell r="D446" t="str">
            <v>S0008817</v>
          </cell>
          <cell r="F446">
            <v>1</v>
          </cell>
        </row>
        <row r="447">
          <cell r="D447" t="str">
            <v>U491000</v>
          </cell>
          <cell r="F447">
            <v>1</v>
          </cell>
        </row>
        <row r="448">
          <cell r="D448" t="str">
            <v>U491000</v>
          </cell>
          <cell r="F448">
            <v>1</v>
          </cell>
        </row>
        <row r="449">
          <cell r="D449" t="str">
            <v>U491000</v>
          </cell>
          <cell r="F449">
            <v>1</v>
          </cell>
        </row>
        <row r="450">
          <cell r="D450" t="str">
            <v>X0001</v>
          </cell>
          <cell r="F450">
            <v>1</v>
          </cell>
        </row>
        <row r="451">
          <cell r="D451" t="str">
            <v>U421231</v>
          </cell>
          <cell r="F451">
            <v>0</v>
          </cell>
        </row>
        <row r="452">
          <cell r="D452" t="str">
            <v>S0000453</v>
          </cell>
          <cell r="F452">
            <v>250</v>
          </cell>
        </row>
        <row r="453">
          <cell r="D453" t="str">
            <v>X0001</v>
          </cell>
          <cell r="F453">
            <v>1</v>
          </cell>
        </row>
        <row r="454">
          <cell r="D454" t="str">
            <v>S0330011</v>
          </cell>
          <cell r="F454">
            <v>255</v>
          </cell>
        </row>
        <row r="455">
          <cell r="D455" t="str">
            <v>S0782208</v>
          </cell>
          <cell r="F455">
            <v>39</v>
          </cell>
        </row>
        <row r="456">
          <cell r="D456" t="str">
            <v>S0503010</v>
          </cell>
          <cell r="F456">
            <v>780</v>
          </cell>
        </row>
        <row r="457">
          <cell r="D457" t="str">
            <v>S0519600</v>
          </cell>
          <cell r="F457">
            <v>780</v>
          </cell>
        </row>
        <row r="458">
          <cell r="D458" t="str">
            <v>S0747432</v>
          </cell>
          <cell r="F458">
            <v>90</v>
          </cell>
        </row>
        <row r="459">
          <cell r="D459" t="str">
            <v>S0782405</v>
          </cell>
          <cell r="F459">
            <v>90</v>
          </cell>
        </row>
        <row r="460">
          <cell r="D460" t="str">
            <v>S0531996</v>
          </cell>
          <cell r="F460">
            <v>51</v>
          </cell>
        </row>
        <row r="461">
          <cell r="D461" t="str">
            <v>S1531505</v>
          </cell>
          <cell r="F461">
            <v>324</v>
          </cell>
        </row>
        <row r="462">
          <cell r="D462" t="str">
            <v>X0001</v>
          </cell>
          <cell r="F462">
            <v>1</v>
          </cell>
        </row>
        <row r="463">
          <cell r="D463" t="str">
            <v>~0010270</v>
          </cell>
          <cell r="F463">
            <v>1</v>
          </cell>
        </row>
        <row r="464">
          <cell r="D464" t="str">
            <v>~0010270</v>
          </cell>
          <cell r="F464">
            <v>1</v>
          </cell>
        </row>
        <row r="465">
          <cell r="D465" t="str">
            <v>~0010270</v>
          </cell>
          <cell r="F465">
            <v>1</v>
          </cell>
        </row>
        <row r="466">
          <cell r="D466" t="str">
            <v>~0010270</v>
          </cell>
          <cell r="F466">
            <v>1</v>
          </cell>
        </row>
        <row r="467">
          <cell r="D467" t="str">
            <v>~0010270</v>
          </cell>
          <cell r="F467">
            <v>1</v>
          </cell>
        </row>
        <row r="468">
          <cell r="D468" t="str">
            <v>~0010270</v>
          </cell>
          <cell r="F468">
            <v>1</v>
          </cell>
        </row>
        <row r="469">
          <cell r="D469" t="str">
            <v>~0010270</v>
          </cell>
          <cell r="F469">
            <v>1</v>
          </cell>
        </row>
        <row r="470">
          <cell r="D470" t="str">
            <v>~0010270</v>
          </cell>
          <cell r="F470">
            <v>1</v>
          </cell>
        </row>
        <row r="471">
          <cell r="D471" t="str">
            <v>~0010270</v>
          </cell>
          <cell r="F471">
            <v>1</v>
          </cell>
        </row>
        <row r="472">
          <cell r="D472" t="str">
            <v>X0001</v>
          </cell>
          <cell r="F472">
            <v>1</v>
          </cell>
        </row>
        <row r="473">
          <cell r="D473" t="str">
            <v>S1505046</v>
          </cell>
          <cell r="F473">
            <v>44602</v>
          </cell>
        </row>
        <row r="474">
          <cell r="D474" t="str">
            <v>S1531006</v>
          </cell>
          <cell r="F474">
            <v>150</v>
          </cell>
        </row>
        <row r="475">
          <cell r="D475" t="str">
            <v>S1551960</v>
          </cell>
          <cell r="F475">
            <v>100</v>
          </cell>
        </row>
        <row r="476">
          <cell r="D476" t="str">
            <v>X0001</v>
          </cell>
          <cell r="F476">
            <v>1</v>
          </cell>
        </row>
        <row r="477">
          <cell r="D477" t="str">
            <v>U365100</v>
          </cell>
          <cell r="F477">
            <v>10</v>
          </cell>
        </row>
        <row r="478">
          <cell r="D478" t="str">
            <v>X0001</v>
          </cell>
          <cell r="F478">
            <v>1</v>
          </cell>
        </row>
        <row r="479">
          <cell r="D479" t="str">
            <v>S0003511</v>
          </cell>
          <cell r="F479">
            <v>0</v>
          </cell>
        </row>
        <row r="480">
          <cell r="D480" t="str">
            <v>X0001</v>
          </cell>
          <cell r="F480">
            <v>1</v>
          </cell>
        </row>
        <row r="481">
          <cell r="D481" t="str">
            <v>S0003526</v>
          </cell>
          <cell r="F481">
            <v>17000</v>
          </cell>
        </row>
        <row r="482">
          <cell r="D482" t="str">
            <v>X0001</v>
          </cell>
          <cell r="F482">
            <v>1</v>
          </cell>
        </row>
        <row r="483">
          <cell r="D483" t="str">
            <v>S0005833</v>
          </cell>
          <cell r="F483">
            <v>20</v>
          </cell>
        </row>
        <row r="484">
          <cell r="D484" t="str">
            <v>S5006020</v>
          </cell>
          <cell r="F484">
            <v>10</v>
          </cell>
        </row>
        <row r="485">
          <cell r="D485" t="str">
            <v>S9901100</v>
          </cell>
          <cell r="F485">
            <v>400</v>
          </cell>
        </row>
        <row r="486">
          <cell r="D486" t="str">
            <v>X0001</v>
          </cell>
          <cell r="F486">
            <v>1</v>
          </cell>
        </row>
        <row r="487">
          <cell r="D487" t="str">
            <v>S1588345</v>
          </cell>
          <cell r="F487">
            <v>190</v>
          </cell>
        </row>
        <row r="488">
          <cell r="D488" t="str">
            <v>X0001</v>
          </cell>
          <cell r="F488">
            <v>1</v>
          </cell>
        </row>
        <row r="489">
          <cell r="D489" t="str">
            <v>U432200</v>
          </cell>
          <cell r="F489">
            <v>5</v>
          </cell>
        </row>
        <row r="490">
          <cell r="D490" t="str">
            <v>X0001</v>
          </cell>
          <cell r="F490">
            <v>1</v>
          </cell>
        </row>
        <row r="491">
          <cell r="D491" t="str">
            <v>X0001</v>
          </cell>
          <cell r="F491">
            <v>1</v>
          </cell>
        </row>
        <row r="492">
          <cell r="D492" t="str">
            <v>~0010360</v>
          </cell>
          <cell r="F492">
            <v>100</v>
          </cell>
        </row>
        <row r="493">
          <cell r="D493" t="str">
            <v>X0001</v>
          </cell>
          <cell r="F493">
            <v>0</v>
          </cell>
        </row>
        <row r="494">
          <cell r="D494" t="str">
            <v>S9906772</v>
          </cell>
          <cell r="F494">
            <v>3</v>
          </cell>
        </row>
        <row r="495">
          <cell r="D495" t="str">
            <v>S9906773</v>
          </cell>
          <cell r="F495">
            <v>3</v>
          </cell>
        </row>
        <row r="496">
          <cell r="D496" t="str">
            <v>S9902218</v>
          </cell>
          <cell r="F496">
            <v>3</v>
          </cell>
        </row>
        <row r="497">
          <cell r="D497" t="str">
            <v>X0001</v>
          </cell>
          <cell r="F497">
            <v>1</v>
          </cell>
        </row>
        <row r="498">
          <cell r="D498" t="str">
            <v>S4416403</v>
          </cell>
          <cell r="F498">
            <v>0</v>
          </cell>
        </row>
        <row r="499">
          <cell r="D499" t="str">
            <v>S4460006</v>
          </cell>
          <cell r="F499">
            <v>350</v>
          </cell>
        </row>
        <row r="500">
          <cell r="D500" t="str">
            <v>S4460005</v>
          </cell>
          <cell r="F500">
            <v>350</v>
          </cell>
        </row>
        <row r="501">
          <cell r="D501" t="str">
            <v>S2684006</v>
          </cell>
          <cell r="F501">
            <v>350</v>
          </cell>
        </row>
        <row r="502">
          <cell r="D502" t="str">
            <v>S4416506</v>
          </cell>
          <cell r="F502">
            <v>700</v>
          </cell>
        </row>
        <row r="503">
          <cell r="D503" t="str">
            <v>S4419000</v>
          </cell>
          <cell r="F503">
            <v>1050</v>
          </cell>
        </row>
        <row r="504">
          <cell r="D504" t="str">
            <v>S4432000</v>
          </cell>
          <cell r="F504">
            <v>1400</v>
          </cell>
        </row>
        <row r="505">
          <cell r="D505" t="str">
            <v>S2555010</v>
          </cell>
          <cell r="F505">
            <v>1400</v>
          </cell>
        </row>
        <row r="506">
          <cell r="D506" t="str">
            <v>S4465700</v>
          </cell>
          <cell r="F506">
            <v>350</v>
          </cell>
        </row>
        <row r="507">
          <cell r="D507" t="str">
            <v>S4416403</v>
          </cell>
          <cell r="F507">
            <v>0</v>
          </cell>
        </row>
        <row r="508">
          <cell r="D508" t="str">
            <v>S4416397</v>
          </cell>
          <cell r="F508">
            <v>1050</v>
          </cell>
        </row>
        <row r="509">
          <cell r="D509" t="str">
            <v>S4467000</v>
          </cell>
          <cell r="F509">
            <v>350</v>
          </cell>
        </row>
        <row r="510">
          <cell r="D510" t="str">
            <v>S4416503</v>
          </cell>
          <cell r="F510">
            <v>350</v>
          </cell>
        </row>
        <row r="511">
          <cell r="D511" t="str">
            <v>S5001010</v>
          </cell>
          <cell r="F511">
            <v>350</v>
          </cell>
        </row>
        <row r="512">
          <cell r="D512" t="str">
            <v>S4325608</v>
          </cell>
          <cell r="F512">
            <v>350</v>
          </cell>
        </row>
        <row r="513">
          <cell r="D513" t="str">
            <v>S2741600</v>
          </cell>
          <cell r="F513">
            <v>1050</v>
          </cell>
        </row>
        <row r="514">
          <cell r="D514" t="str">
            <v>S2795700</v>
          </cell>
          <cell r="F514">
            <v>2450</v>
          </cell>
        </row>
        <row r="515">
          <cell r="D515" t="str">
            <v>S2731200</v>
          </cell>
          <cell r="F515">
            <v>2450</v>
          </cell>
        </row>
        <row r="516">
          <cell r="D516" t="str">
            <v>S2760001</v>
          </cell>
          <cell r="F516">
            <v>2450</v>
          </cell>
        </row>
        <row r="517">
          <cell r="D517" t="str">
            <v>S2702801</v>
          </cell>
          <cell r="F517">
            <v>2450</v>
          </cell>
        </row>
        <row r="518">
          <cell r="D518" t="str">
            <v>S4416504</v>
          </cell>
          <cell r="F518">
            <v>350</v>
          </cell>
        </row>
        <row r="519">
          <cell r="D519" t="str">
            <v>S2795800</v>
          </cell>
          <cell r="F519">
            <v>700</v>
          </cell>
        </row>
        <row r="520">
          <cell r="D520" t="str">
            <v>X0001</v>
          </cell>
          <cell r="F520">
            <v>1</v>
          </cell>
        </row>
        <row r="521">
          <cell r="D521" t="str">
            <v>S4416405</v>
          </cell>
          <cell r="F521">
            <v>14000</v>
          </cell>
        </row>
        <row r="522">
          <cell r="D522" t="str">
            <v>S9999999</v>
          </cell>
          <cell r="F522">
            <v>350</v>
          </cell>
        </row>
        <row r="523">
          <cell r="D523" t="str">
            <v>S4410009</v>
          </cell>
          <cell r="F523">
            <v>0</v>
          </cell>
        </row>
        <row r="524">
          <cell r="D524" t="str">
            <v>S4461001</v>
          </cell>
          <cell r="F524">
            <v>0</v>
          </cell>
        </row>
        <row r="525">
          <cell r="D525" t="str">
            <v>S4416510</v>
          </cell>
          <cell r="F525">
            <v>550</v>
          </cell>
        </row>
        <row r="526">
          <cell r="D526" t="str">
            <v>S4460701</v>
          </cell>
          <cell r="F526">
            <v>1650</v>
          </cell>
        </row>
        <row r="527">
          <cell r="D527" t="str">
            <v>S4520110</v>
          </cell>
          <cell r="F527">
            <v>550</v>
          </cell>
        </row>
        <row r="528">
          <cell r="D528" t="str">
            <v>S2584000</v>
          </cell>
          <cell r="F528">
            <v>1650</v>
          </cell>
        </row>
        <row r="529">
          <cell r="D529" t="str">
            <v>S4552010</v>
          </cell>
          <cell r="F529">
            <v>550</v>
          </cell>
        </row>
        <row r="530">
          <cell r="D530" t="str">
            <v>X0001</v>
          </cell>
          <cell r="F530">
            <v>1</v>
          </cell>
        </row>
        <row r="531">
          <cell r="D531" t="str">
            <v>S4461002</v>
          </cell>
          <cell r="F531">
            <v>550</v>
          </cell>
        </row>
        <row r="532">
          <cell r="D532" t="str">
            <v>S9999999</v>
          </cell>
          <cell r="F532">
            <v>550</v>
          </cell>
        </row>
        <row r="533">
          <cell r="D533" t="str">
            <v>S4410020</v>
          </cell>
          <cell r="F533">
            <v>8250</v>
          </cell>
        </row>
        <row r="534">
          <cell r="D534" t="str">
            <v>S9999999</v>
          </cell>
          <cell r="F534">
            <v>550</v>
          </cell>
        </row>
        <row r="535">
          <cell r="D535" t="str">
            <v>S4410009</v>
          </cell>
          <cell r="F535">
            <v>0</v>
          </cell>
        </row>
        <row r="536">
          <cell r="D536" t="str">
            <v>S4460005</v>
          </cell>
          <cell r="F536">
            <v>1050</v>
          </cell>
        </row>
        <row r="537">
          <cell r="D537" t="str">
            <v>S4460701</v>
          </cell>
          <cell r="F537">
            <v>1050</v>
          </cell>
        </row>
        <row r="538">
          <cell r="D538" t="str">
            <v>S4520110</v>
          </cell>
          <cell r="F538">
            <v>350</v>
          </cell>
        </row>
        <row r="539">
          <cell r="D539" t="str">
            <v>S2584000</v>
          </cell>
          <cell r="F539">
            <v>1050</v>
          </cell>
        </row>
        <row r="540">
          <cell r="D540" t="str">
            <v>S4552010</v>
          </cell>
          <cell r="F540">
            <v>700</v>
          </cell>
        </row>
        <row r="541">
          <cell r="D541" t="str">
            <v>X0001</v>
          </cell>
          <cell r="F541">
            <v>1</v>
          </cell>
        </row>
        <row r="542">
          <cell r="D542" t="str">
            <v>S9999999</v>
          </cell>
          <cell r="F542">
            <v>350</v>
          </cell>
        </row>
        <row r="543">
          <cell r="D543" t="str">
            <v>S4410010</v>
          </cell>
          <cell r="F543">
            <v>5250</v>
          </cell>
        </row>
        <row r="544">
          <cell r="D544" t="str">
            <v>S9999999</v>
          </cell>
          <cell r="F544">
            <v>350</v>
          </cell>
        </row>
        <row r="545">
          <cell r="D545" t="str">
            <v>S0000293</v>
          </cell>
          <cell r="F545">
            <v>80000</v>
          </cell>
        </row>
        <row r="546">
          <cell r="D546" t="str">
            <v>X0001</v>
          </cell>
          <cell r="F546">
            <v>1</v>
          </cell>
        </row>
        <row r="547">
          <cell r="D547" t="str">
            <v>S0000240</v>
          </cell>
          <cell r="F547">
            <v>3795</v>
          </cell>
        </row>
        <row r="548">
          <cell r="D548" t="str">
            <v>X0001</v>
          </cell>
          <cell r="F548">
            <v>1</v>
          </cell>
        </row>
        <row r="549">
          <cell r="D549" t="str">
            <v>S0000240</v>
          </cell>
          <cell r="F549">
            <v>6205</v>
          </cell>
        </row>
        <row r="550">
          <cell r="D550" t="str">
            <v>S0005832</v>
          </cell>
          <cell r="F550">
            <v>0</v>
          </cell>
        </row>
        <row r="551">
          <cell r="D551" t="str">
            <v>S0005834</v>
          </cell>
          <cell r="F551">
            <v>0</v>
          </cell>
        </row>
        <row r="552">
          <cell r="D552" t="str">
            <v>S5006018</v>
          </cell>
          <cell r="F552">
            <v>96</v>
          </cell>
        </row>
        <row r="553">
          <cell r="D553" t="str">
            <v>X0001</v>
          </cell>
          <cell r="F553">
            <v>1</v>
          </cell>
        </row>
        <row r="554">
          <cell r="D554" t="str">
            <v>S0005833</v>
          </cell>
          <cell r="F554">
            <v>20</v>
          </cell>
        </row>
        <row r="555">
          <cell r="D555" t="str">
            <v>S5006020</v>
          </cell>
          <cell r="F555">
            <v>20</v>
          </cell>
        </row>
        <row r="556">
          <cell r="D556" t="str">
            <v>S1588355</v>
          </cell>
          <cell r="F556">
            <v>8000</v>
          </cell>
        </row>
        <row r="557">
          <cell r="D557" t="str">
            <v>X0001</v>
          </cell>
          <cell r="F557">
            <v>1</v>
          </cell>
        </row>
        <row r="558">
          <cell r="D558" t="str">
            <v>S0000568</v>
          </cell>
          <cell r="F558">
            <v>5000</v>
          </cell>
        </row>
        <row r="559">
          <cell r="D559" t="str">
            <v>U432200</v>
          </cell>
          <cell r="F559">
            <v>5</v>
          </cell>
        </row>
        <row r="560">
          <cell r="D560" t="str">
            <v>X0001</v>
          </cell>
          <cell r="F560">
            <v>1</v>
          </cell>
        </row>
        <row r="561">
          <cell r="D561" t="str">
            <v>U432200</v>
          </cell>
          <cell r="F561">
            <v>5</v>
          </cell>
        </row>
        <row r="562">
          <cell r="D562" t="str">
            <v>S9901100</v>
          </cell>
          <cell r="F562">
            <v>300</v>
          </cell>
        </row>
        <row r="563">
          <cell r="D563" t="str">
            <v>X0001</v>
          </cell>
          <cell r="F563">
            <v>1</v>
          </cell>
        </row>
        <row r="564">
          <cell r="D564" t="str">
            <v>S359184</v>
          </cell>
          <cell r="F564">
            <v>152300</v>
          </cell>
        </row>
        <row r="565">
          <cell r="D565" t="str">
            <v>X0001</v>
          </cell>
          <cell r="F565">
            <v>1</v>
          </cell>
        </row>
        <row r="566">
          <cell r="D566" t="str">
            <v>S1568040</v>
          </cell>
          <cell r="F566">
            <v>2000</v>
          </cell>
        </row>
        <row r="567">
          <cell r="D567" t="str">
            <v>X0001</v>
          </cell>
          <cell r="F567">
            <v>1</v>
          </cell>
        </row>
        <row r="568">
          <cell r="D568" t="str">
            <v>S0330012</v>
          </cell>
          <cell r="F568">
            <v>5750</v>
          </cell>
        </row>
        <row r="569">
          <cell r="D569" t="str">
            <v>X0001</v>
          </cell>
          <cell r="F569">
            <v>1</v>
          </cell>
        </row>
        <row r="570">
          <cell r="D570" t="str">
            <v>S1300005</v>
          </cell>
          <cell r="F570">
            <v>25000</v>
          </cell>
        </row>
        <row r="571">
          <cell r="D571" t="str">
            <v>X0001</v>
          </cell>
          <cell r="F571">
            <v>1</v>
          </cell>
        </row>
        <row r="572">
          <cell r="D572" t="str">
            <v>U271100</v>
          </cell>
          <cell r="F572">
            <v>0</v>
          </cell>
        </row>
        <row r="573">
          <cell r="D573" t="str">
            <v>X0001</v>
          </cell>
          <cell r="F573">
            <v>0</v>
          </cell>
        </row>
        <row r="574">
          <cell r="D574" t="str">
            <v>S0359163</v>
          </cell>
          <cell r="F574">
            <v>20000</v>
          </cell>
        </row>
        <row r="575">
          <cell r="D575" t="str">
            <v>X0001</v>
          </cell>
          <cell r="F575">
            <v>1</v>
          </cell>
        </row>
        <row r="576">
          <cell r="D576" t="str">
            <v>S359153</v>
          </cell>
          <cell r="F576">
            <v>10000</v>
          </cell>
        </row>
        <row r="577">
          <cell r="D577" t="str">
            <v>X0001</v>
          </cell>
          <cell r="F577">
            <v>1</v>
          </cell>
        </row>
        <row r="578">
          <cell r="D578" t="str">
            <v>S0000240</v>
          </cell>
          <cell r="F578">
            <v>10000</v>
          </cell>
        </row>
        <row r="579">
          <cell r="D579" t="str">
            <v>X0001</v>
          </cell>
          <cell r="F579">
            <v>1</v>
          </cell>
        </row>
        <row r="580">
          <cell r="D580" t="str">
            <v>S5086011</v>
          </cell>
          <cell r="F580">
            <v>1000</v>
          </cell>
        </row>
        <row r="581">
          <cell r="D581" t="str">
            <v>X0001</v>
          </cell>
          <cell r="F581">
            <v>1</v>
          </cell>
        </row>
        <row r="582">
          <cell r="D582" t="str">
            <v>S5003515</v>
          </cell>
          <cell r="F582">
            <v>1500</v>
          </cell>
        </row>
        <row r="583">
          <cell r="D583" t="str">
            <v>X0001</v>
          </cell>
          <cell r="F583">
            <v>1</v>
          </cell>
        </row>
        <row r="584">
          <cell r="D584" t="str">
            <v>S5003515</v>
          </cell>
          <cell r="F584">
            <v>1500</v>
          </cell>
        </row>
        <row r="585">
          <cell r="D585" t="str">
            <v>X0001</v>
          </cell>
          <cell r="F585">
            <v>1</v>
          </cell>
        </row>
        <row r="586">
          <cell r="D586" t="str">
            <v>S1580100</v>
          </cell>
          <cell r="F586">
            <v>6000</v>
          </cell>
        </row>
        <row r="587">
          <cell r="D587" t="str">
            <v>S1580020</v>
          </cell>
          <cell r="F587">
            <v>1000</v>
          </cell>
        </row>
        <row r="588">
          <cell r="D588" t="str">
            <v>X0001</v>
          </cell>
          <cell r="F588">
            <v>1</v>
          </cell>
        </row>
        <row r="589">
          <cell r="D589" t="str">
            <v>S359153</v>
          </cell>
          <cell r="F589">
            <v>8000</v>
          </cell>
        </row>
        <row r="590">
          <cell r="D590" t="str">
            <v>X0001</v>
          </cell>
          <cell r="F590">
            <v>1</v>
          </cell>
        </row>
        <row r="591">
          <cell r="D591" t="str">
            <v>S359123</v>
          </cell>
          <cell r="F591">
            <v>20000</v>
          </cell>
        </row>
        <row r="592">
          <cell r="D592" t="str">
            <v>S9906770</v>
          </cell>
          <cell r="F592">
            <v>292</v>
          </cell>
        </row>
        <row r="593">
          <cell r="D593" t="str">
            <v>X0001</v>
          </cell>
          <cell r="F593">
            <v>1</v>
          </cell>
        </row>
        <row r="594">
          <cell r="D594" t="str">
            <v>S1561121</v>
          </cell>
          <cell r="F594">
            <v>400</v>
          </cell>
        </row>
        <row r="595">
          <cell r="D595" t="str">
            <v>X0001</v>
          </cell>
          <cell r="F595">
            <v>1</v>
          </cell>
        </row>
        <row r="596">
          <cell r="D596" t="str">
            <v>S1580020</v>
          </cell>
          <cell r="F596">
            <v>400</v>
          </cell>
        </row>
        <row r="597">
          <cell r="D597" t="str">
            <v>X0001</v>
          </cell>
          <cell r="F597">
            <v>1</v>
          </cell>
        </row>
        <row r="598">
          <cell r="D598" t="str">
            <v>S9906770</v>
          </cell>
          <cell r="F598">
            <v>600</v>
          </cell>
        </row>
        <row r="599">
          <cell r="D599" t="str">
            <v>X0001</v>
          </cell>
          <cell r="F599">
            <v>1</v>
          </cell>
        </row>
        <row r="600">
          <cell r="D600" t="str">
            <v>S9906771</v>
          </cell>
          <cell r="F600">
            <v>120</v>
          </cell>
        </row>
        <row r="601">
          <cell r="D601" t="str">
            <v>X0001</v>
          </cell>
          <cell r="F601">
            <v>1</v>
          </cell>
        </row>
        <row r="602">
          <cell r="D602" t="str">
            <v>S9906772</v>
          </cell>
          <cell r="F602">
            <v>155</v>
          </cell>
        </row>
        <row r="603">
          <cell r="D603" t="str">
            <v>X0001</v>
          </cell>
          <cell r="F603">
            <v>1</v>
          </cell>
        </row>
        <row r="604">
          <cell r="D604" t="str">
            <v>S9906773</v>
          </cell>
          <cell r="F604">
            <v>60</v>
          </cell>
        </row>
        <row r="605">
          <cell r="D605" t="str">
            <v>X0001</v>
          </cell>
          <cell r="F605">
            <v>1</v>
          </cell>
        </row>
        <row r="606">
          <cell r="D606" t="str">
            <v>S9906774</v>
          </cell>
          <cell r="F606">
            <v>75</v>
          </cell>
        </row>
        <row r="607">
          <cell r="D607" t="str">
            <v>X0001</v>
          </cell>
          <cell r="F607">
            <v>1</v>
          </cell>
        </row>
        <row r="608">
          <cell r="D608" t="str">
            <v>S5003515</v>
          </cell>
          <cell r="F608">
            <v>3194</v>
          </cell>
        </row>
        <row r="609">
          <cell r="D609" t="str">
            <v>X0001</v>
          </cell>
          <cell r="F609">
            <v>1</v>
          </cell>
        </row>
        <row r="610">
          <cell r="D610" t="str">
            <v>S5086011</v>
          </cell>
          <cell r="F610">
            <v>1000</v>
          </cell>
        </row>
        <row r="611">
          <cell r="D611" t="str">
            <v>X0001</v>
          </cell>
          <cell r="F611">
            <v>1</v>
          </cell>
        </row>
        <row r="612">
          <cell r="D612" t="str">
            <v>S0782300</v>
          </cell>
          <cell r="F612">
            <v>5600</v>
          </cell>
        </row>
        <row r="613">
          <cell r="D613" t="str">
            <v>X0001</v>
          </cell>
          <cell r="F613">
            <v>1</v>
          </cell>
        </row>
        <row r="614">
          <cell r="D614" t="str">
            <v>S9908303</v>
          </cell>
          <cell r="F614">
            <v>0</v>
          </cell>
        </row>
        <row r="615">
          <cell r="D615" t="str">
            <v>S9908300</v>
          </cell>
          <cell r="F615">
            <v>6</v>
          </cell>
        </row>
        <row r="616">
          <cell r="D616" t="str">
            <v>X0001</v>
          </cell>
          <cell r="F616">
            <v>1</v>
          </cell>
        </row>
        <row r="617">
          <cell r="D617" t="str">
            <v>S9908301</v>
          </cell>
          <cell r="F617">
            <v>3</v>
          </cell>
        </row>
        <row r="618">
          <cell r="D618" t="str">
            <v>S9908302</v>
          </cell>
          <cell r="F618">
            <v>3</v>
          </cell>
        </row>
        <row r="619">
          <cell r="D619" t="str">
            <v>X0001</v>
          </cell>
          <cell r="F619">
            <v>1</v>
          </cell>
        </row>
        <row r="620">
          <cell r="D620" t="str">
            <v>S9902220</v>
          </cell>
          <cell r="F620">
            <v>0</v>
          </cell>
        </row>
        <row r="621">
          <cell r="D621" t="str">
            <v>S9902217</v>
          </cell>
          <cell r="F621">
            <v>5</v>
          </cell>
        </row>
        <row r="622">
          <cell r="D622" t="str">
            <v>S9902218</v>
          </cell>
          <cell r="F622">
            <v>5</v>
          </cell>
        </row>
        <row r="623">
          <cell r="D623" t="str">
            <v>S9902219</v>
          </cell>
          <cell r="F623">
            <v>5</v>
          </cell>
        </row>
        <row r="624">
          <cell r="D624" t="str">
            <v>X0001</v>
          </cell>
          <cell r="F624">
            <v>1</v>
          </cell>
        </row>
        <row r="625">
          <cell r="D625" t="str">
            <v>S9908200</v>
          </cell>
          <cell r="F625">
            <v>5</v>
          </cell>
        </row>
        <row r="626">
          <cell r="D626" t="str">
            <v>X0001</v>
          </cell>
          <cell r="F626">
            <v>1</v>
          </cell>
        </row>
        <row r="627">
          <cell r="D627" t="str">
            <v>~0010292</v>
          </cell>
          <cell r="F627">
            <v>3</v>
          </cell>
        </row>
        <row r="628">
          <cell r="D628" t="str">
            <v>~0010310</v>
          </cell>
          <cell r="F628">
            <v>3</v>
          </cell>
        </row>
        <row r="629">
          <cell r="D629" t="str">
            <v>~0010345</v>
          </cell>
          <cell r="F629">
            <v>3</v>
          </cell>
        </row>
        <row r="630">
          <cell r="D630" t="str">
            <v>~0010327</v>
          </cell>
          <cell r="F630">
            <v>3</v>
          </cell>
        </row>
        <row r="631">
          <cell r="D631" t="str">
            <v>~0010307</v>
          </cell>
          <cell r="F631">
            <v>8</v>
          </cell>
        </row>
        <row r="632">
          <cell r="D632" t="str">
            <v>~0010301</v>
          </cell>
          <cell r="F632">
            <v>5</v>
          </cell>
        </row>
        <row r="633">
          <cell r="D633" t="str">
            <v>~0010296</v>
          </cell>
          <cell r="F633">
            <v>6</v>
          </cell>
        </row>
        <row r="634">
          <cell r="D634" t="str">
            <v>X0001</v>
          </cell>
          <cell r="F634">
            <v>1</v>
          </cell>
        </row>
        <row r="635">
          <cell r="D635" t="str">
            <v>S0150000</v>
          </cell>
          <cell r="F635">
            <v>0</v>
          </cell>
        </row>
        <row r="636">
          <cell r="D636" t="str">
            <v>S0186502</v>
          </cell>
          <cell r="F636">
            <v>10</v>
          </cell>
        </row>
        <row r="637">
          <cell r="D637" t="str">
            <v>S0169005</v>
          </cell>
          <cell r="F637">
            <v>32</v>
          </cell>
        </row>
        <row r="638">
          <cell r="D638" t="str">
            <v>S0270000</v>
          </cell>
          <cell r="F638">
            <v>10</v>
          </cell>
        </row>
        <row r="639">
          <cell r="D639" t="str">
            <v>S0279000</v>
          </cell>
          <cell r="F639">
            <v>10</v>
          </cell>
        </row>
        <row r="640">
          <cell r="D640" t="str">
            <v>S0760640</v>
          </cell>
          <cell r="F640">
            <v>5</v>
          </cell>
        </row>
        <row r="641">
          <cell r="D641" t="str">
            <v>S0760605</v>
          </cell>
          <cell r="F641">
            <v>6</v>
          </cell>
        </row>
        <row r="642">
          <cell r="D642" t="str">
            <v>S0760800</v>
          </cell>
          <cell r="F642">
            <v>5</v>
          </cell>
        </row>
        <row r="643">
          <cell r="D643" t="str">
            <v>S0845000</v>
          </cell>
          <cell r="F643">
            <v>11</v>
          </cell>
        </row>
        <row r="644">
          <cell r="D644" t="str">
            <v>S0845002</v>
          </cell>
          <cell r="F644">
            <v>11</v>
          </cell>
        </row>
        <row r="645">
          <cell r="D645" t="str">
            <v>S0305000</v>
          </cell>
          <cell r="F645">
            <v>15</v>
          </cell>
        </row>
        <row r="646">
          <cell r="D646" t="str">
            <v>S0140500</v>
          </cell>
          <cell r="F646">
            <v>10</v>
          </cell>
        </row>
        <row r="647">
          <cell r="D647" t="str">
            <v>S0145555</v>
          </cell>
          <cell r="F647">
            <v>10</v>
          </cell>
        </row>
        <row r="648">
          <cell r="D648" t="str">
            <v>X0001</v>
          </cell>
          <cell r="F648">
            <v>1</v>
          </cell>
        </row>
        <row r="649">
          <cell r="D649" t="str">
            <v>S9908303</v>
          </cell>
          <cell r="F649">
            <v>0</v>
          </cell>
        </row>
        <row r="650">
          <cell r="D650" t="str">
            <v>S9908300</v>
          </cell>
          <cell r="F650">
            <v>6</v>
          </cell>
        </row>
        <row r="651">
          <cell r="D651" t="str">
            <v>S9908301</v>
          </cell>
          <cell r="F651">
            <v>3</v>
          </cell>
        </row>
        <row r="652">
          <cell r="D652" t="str">
            <v>S9908302</v>
          </cell>
          <cell r="F652">
            <v>3</v>
          </cell>
        </row>
        <row r="653">
          <cell r="D653" t="str">
            <v>X0001</v>
          </cell>
          <cell r="F653">
            <v>1</v>
          </cell>
        </row>
        <row r="654">
          <cell r="D654" t="str">
            <v>S9902220</v>
          </cell>
          <cell r="F654">
            <v>0</v>
          </cell>
        </row>
        <row r="655">
          <cell r="D655" t="str">
            <v>S9902217</v>
          </cell>
          <cell r="F655">
            <v>5</v>
          </cell>
        </row>
        <row r="656">
          <cell r="D656" t="str">
            <v>S9902218</v>
          </cell>
          <cell r="F656">
            <v>5</v>
          </cell>
        </row>
        <row r="657">
          <cell r="D657" t="str">
            <v>S9902219</v>
          </cell>
          <cell r="F657">
            <v>5</v>
          </cell>
        </row>
        <row r="658">
          <cell r="D658" t="str">
            <v>X0001</v>
          </cell>
          <cell r="F658">
            <v>1</v>
          </cell>
        </row>
        <row r="659">
          <cell r="D659" t="str">
            <v>S9908200</v>
          </cell>
          <cell r="F659">
            <v>5</v>
          </cell>
        </row>
        <row r="660">
          <cell r="D660" t="str">
            <v>X0001</v>
          </cell>
          <cell r="F660">
            <v>1</v>
          </cell>
        </row>
        <row r="661">
          <cell r="D661" t="str">
            <v>~0010292</v>
          </cell>
          <cell r="F661">
            <v>3</v>
          </cell>
        </row>
        <row r="662">
          <cell r="D662" t="str">
            <v>~0010310</v>
          </cell>
          <cell r="F662">
            <v>3</v>
          </cell>
        </row>
        <row r="663">
          <cell r="D663" t="str">
            <v>~0010345</v>
          </cell>
          <cell r="F663">
            <v>3</v>
          </cell>
        </row>
        <row r="664">
          <cell r="D664" t="str">
            <v>~0010327</v>
          </cell>
          <cell r="F664">
            <v>3</v>
          </cell>
        </row>
        <row r="665">
          <cell r="D665" t="str">
            <v>~0010307</v>
          </cell>
          <cell r="F665">
            <v>8</v>
          </cell>
        </row>
        <row r="666">
          <cell r="D666" t="str">
            <v>~0010301</v>
          </cell>
          <cell r="F666">
            <v>5</v>
          </cell>
        </row>
        <row r="667">
          <cell r="D667" t="str">
            <v>~0010296</v>
          </cell>
          <cell r="F667">
            <v>6</v>
          </cell>
        </row>
        <row r="668">
          <cell r="D668" t="str">
            <v>X0001</v>
          </cell>
          <cell r="F668">
            <v>1</v>
          </cell>
        </row>
        <row r="669">
          <cell r="D669" t="str">
            <v>S0150000</v>
          </cell>
          <cell r="F669">
            <v>0</v>
          </cell>
        </row>
        <row r="670">
          <cell r="D670" t="str">
            <v>S0186502</v>
          </cell>
          <cell r="F670">
            <v>0</v>
          </cell>
        </row>
        <row r="671">
          <cell r="D671" t="str">
            <v>S0169005</v>
          </cell>
          <cell r="F671">
            <v>29</v>
          </cell>
        </row>
        <row r="672">
          <cell r="D672" t="str">
            <v>S0270000</v>
          </cell>
          <cell r="F672">
            <v>10</v>
          </cell>
        </row>
        <row r="673">
          <cell r="D673" t="str">
            <v>S0279000</v>
          </cell>
          <cell r="F673">
            <v>10</v>
          </cell>
        </row>
        <row r="674">
          <cell r="D674" t="str">
            <v>S0760640</v>
          </cell>
          <cell r="F674">
            <v>5</v>
          </cell>
        </row>
        <row r="675">
          <cell r="D675" t="str">
            <v>S0760605</v>
          </cell>
          <cell r="F675">
            <v>6</v>
          </cell>
        </row>
        <row r="676">
          <cell r="D676" t="str">
            <v>S0760800</v>
          </cell>
          <cell r="F676">
            <v>5</v>
          </cell>
        </row>
        <row r="677">
          <cell r="D677" t="str">
            <v>S0845000</v>
          </cell>
          <cell r="F677">
            <v>11</v>
          </cell>
        </row>
        <row r="678">
          <cell r="D678" t="str">
            <v>S0845002</v>
          </cell>
          <cell r="F678">
            <v>11</v>
          </cell>
        </row>
        <row r="679">
          <cell r="D679" t="str">
            <v>S0305000</v>
          </cell>
          <cell r="F679">
            <v>15</v>
          </cell>
        </row>
        <row r="680">
          <cell r="D680" t="str">
            <v>S0140500</v>
          </cell>
          <cell r="F680">
            <v>10</v>
          </cell>
        </row>
        <row r="681">
          <cell r="D681" t="str">
            <v>S0145555</v>
          </cell>
          <cell r="F681">
            <v>10</v>
          </cell>
        </row>
        <row r="682">
          <cell r="D682" t="str">
            <v>X0001</v>
          </cell>
          <cell r="F682">
            <v>1</v>
          </cell>
        </row>
        <row r="683">
          <cell r="D683" t="str">
            <v>S0002016</v>
          </cell>
          <cell r="F683">
            <v>0</v>
          </cell>
        </row>
        <row r="684">
          <cell r="D684" t="str">
            <v>S0782300</v>
          </cell>
          <cell r="F684">
            <v>1992</v>
          </cell>
        </row>
        <row r="685">
          <cell r="D685" t="str">
            <v>S0782208</v>
          </cell>
          <cell r="F685">
            <v>2500</v>
          </cell>
        </row>
        <row r="686">
          <cell r="D686" t="str">
            <v>X0001</v>
          </cell>
          <cell r="F686">
            <v>1</v>
          </cell>
        </row>
        <row r="687">
          <cell r="D687" t="str">
            <v>S0782160</v>
          </cell>
          <cell r="F687">
            <v>20000</v>
          </cell>
        </row>
        <row r="688">
          <cell r="D688" t="str">
            <v>S0000240</v>
          </cell>
          <cell r="F688">
            <v>10500</v>
          </cell>
        </row>
        <row r="689">
          <cell r="D689" t="str">
            <v>X0001</v>
          </cell>
          <cell r="F689">
            <v>1</v>
          </cell>
        </row>
        <row r="690">
          <cell r="D690" t="str">
            <v>S9906730</v>
          </cell>
          <cell r="F690">
            <v>5</v>
          </cell>
        </row>
        <row r="691">
          <cell r="D691" t="str">
            <v>X0001</v>
          </cell>
          <cell r="F691">
            <v>1</v>
          </cell>
        </row>
        <row r="692">
          <cell r="D692" t="str">
            <v>S9906730</v>
          </cell>
          <cell r="F692">
            <v>5</v>
          </cell>
        </row>
        <row r="693">
          <cell r="D693" t="str">
            <v>X0001</v>
          </cell>
          <cell r="F693">
            <v>1</v>
          </cell>
        </row>
        <row r="694">
          <cell r="D694" t="str">
            <v>S0359163</v>
          </cell>
          <cell r="F694">
            <v>43000</v>
          </cell>
        </row>
        <row r="695">
          <cell r="D695" t="str">
            <v>X0001</v>
          </cell>
          <cell r="F695">
            <v>1</v>
          </cell>
        </row>
        <row r="696">
          <cell r="D696" t="str">
            <v>S0359163</v>
          </cell>
          <cell r="F696">
            <v>75000</v>
          </cell>
        </row>
        <row r="697">
          <cell r="D697" t="str">
            <v>X0001</v>
          </cell>
          <cell r="F697">
            <v>1</v>
          </cell>
        </row>
        <row r="698">
          <cell r="D698" t="str">
            <v>S9908303</v>
          </cell>
          <cell r="F698">
            <v>6</v>
          </cell>
        </row>
        <row r="699">
          <cell r="D699" t="str">
            <v>X0001</v>
          </cell>
          <cell r="F699">
            <v>1</v>
          </cell>
        </row>
        <row r="700">
          <cell r="D700" t="str">
            <v>S9902220</v>
          </cell>
          <cell r="F700">
            <v>10</v>
          </cell>
        </row>
        <row r="701">
          <cell r="D701" t="str">
            <v>X0001</v>
          </cell>
          <cell r="F701">
            <v>1</v>
          </cell>
        </row>
        <row r="702">
          <cell r="D702" t="str">
            <v>S0000293</v>
          </cell>
          <cell r="F702">
            <v>0</v>
          </cell>
        </row>
        <row r="703">
          <cell r="D703" t="str">
            <v>X0001</v>
          </cell>
          <cell r="F703">
            <v>1</v>
          </cell>
        </row>
        <row r="704">
          <cell r="D704" t="str">
            <v>S0000244</v>
          </cell>
          <cell r="F704">
            <v>6000</v>
          </cell>
        </row>
        <row r="705">
          <cell r="D705" t="str">
            <v>S0000230</v>
          </cell>
          <cell r="F705">
            <v>13300</v>
          </cell>
        </row>
        <row r="706">
          <cell r="D706" t="str">
            <v>S0000294</v>
          </cell>
          <cell r="F706">
            <v>4000</v>
          </cell>
        </row>
        <row r="707">
          <cell r="D707" t="str">
            <v>S0000294</v>
          </cell>
          <cell r="F707">
            <v>4000</v>
          </cell>
        </row>
        <row r="708">
          <cell r="D708" t="str">
            <v>S0000294</v>
          </cell>
          <cell r="F708">
            <v>64000</v>
          </cell>
        </row>
        <row r="709">
          <cell r="D709" t="str">
            <v>S0145620</v>
          </cell>
          <cell r="F709">
            <v>1000</v>
          </cell>
        </row>
        <row r="710">
          <cell r="D710" t="str">
            <v>S0145740</v>
          </cell>
          <cell r="F710">
            <v>150</v>
          </cell>
        </row>
        <row r="711">
          <cell r="D711" t="str">
            <v>S0145730</v>
          </cell>
          <cell r="F711">
            <v>150</v>
          </cell>
        </row>
        <row r="712">
          <cell r="D712" t="str">
            <v>S0145760</v>
          </cell>
          <cell r="F712">
            <v>150</v>
          </cell>
        </row>
        <row r="713">
          <cell r="D713" t="str">
            <v>X0001</v>
          </cell>
          <cell r="F713">
            <v>1</v>
          </cell>
        </row>
        <row r="714">
          <cell r="D714" t="str">
            <v>S0145620</v>
          </cell>
          <cell r="F714">
            <v>0</v>
          </cell>
        </row>
        <row r="715">
          <cell r="D715" t="str">
            <v>S0145740</v>
          </cell>
          <cell r="F715">
            <v>0</v>
          </cell>
        </row>
        <row r="716">
          <cell r="D716" t="str">
            <v>S0145750</v>
          </cell>
          <cell r="F716">
            <v>0</v>
          </cell>
        </row>
        <row r="717">
          <cell r="D717" t="str">
            <v>S0145760</v>
          </cell>
          <cell r="F717">
            <v>0</v>
          </cell>
        </row>
        <row r="718">
          <cell r="D718" t="str">
            <v>X0001</v>
          </cell>
          <cell r="F718">
            <v>0</v>
          </cell>
        </row>
        <row r="719">
          <cell r="D719" t="str">
            <v>S0145620</v>
          </cell>
          <cell r="F719">
            <v>0</v>
          </cell>
        </row>
        <row r="720">
          <cell r="D720" t="str">
            <v>X0001</v>
          </cell>
          <cell r="F720">
            <v>0</v>
          </cell>
        </row>
        <row r="721">
          <cell r="D721" t="str">
            <v>S0145740</v>
          </cell>
          <cell r="F721">
            <v>0</v>
          </cell>
        </row>
        <row r="722">
          <cell r="D722" t="str">
            <v>S0145750</v>
          </cell>
          <cell r="F722">
            <v>0</v>
          </cell>
        </row>
        <row r="723">
          <cell r="D723" t="str">
            <v>S0145760</v>
          </cell>
          <cell r="F723">
            <v>0</v>
          </cell>
        </row>
        <row r="724">
          <cell r="D724" t="str">
            <v>S0114530</v>
          </cell>
          <cell r="F724">
            <v>100</v>
          </cell>
        </row>
        <row r="725">
          <cell r="D725" t="str">
            <v>S0141020</v>
          </cell>
          <cell r="F725">
            <v>50</v>
          </cell>
        </row>
        <row r="726">
          <cell r="D726" t="str">
            <v>S0145555</v>
          </cell>
          <cell r="F726">
            <v>200</v>
          </cell>
        </row>
        <row r="727">
          <cell r="D727" t="str">
            <v>S0114050</v>
          </cell>
          <cell r="F727">
            <v>110</v>
          </cell>
        </row>
        <row r="728">
          <cell r="D728" t="str">
            <v>X0001</v>
          </cell>
          <cell r="F728">
            <v>1</v>
          </cell>
        </row>
        <row r="729">
          <cell r="D729" t="str">
            <v>S0114520</v>
          </cell>
          <cell r="F729">
            <v>0</v>
          </cell>
        </row>
        <row r="730">
          <cell r="D730" t="str">
            <v>S0141020</v>
          </cell>
          <cell r="F730">
            <v>0</v>
          </cell>
        </row>
        <row r="731">
          <cell r="D731" t="str">
            <v>S0145555</v>
          </cell>
          <cell r="F731">
            <v>0</v>
          </cell>
        </row>
        <row r="732">
          <cell r="D732" t="str">
            <v>S0189000</v>
          </cell>
          <cell r="F732">
            <v>0</v>
          </cell>
        </row>
        <row r="733">
          <cell r="D733" t="str">
            <v>X0001</v>
          </cell>
          <cell r="F733">
            <v>0</v>
          </cell>
        </row>
        <row r="734">
          <cell r="D734" t="str">
            <v>S1580020</v>
          </cell>
          <cell r="F734">
            <v>10000</v>
          </cell>
        </row>
        <row r="735">
          <cell r="D735" t="str">
            <v>S1550025</v>
          </cell>
          <cell r="F735">
            <v>7000</v>
          </cell>
        </row>
        <row r="736">
          <cell r="D736" t="str">
            <v>S1583015</v>
          </cell>
          <cell r="F736">
            <v>500</v>
          </cell>
        </row>
        <row r="737">
          <cell r="D737" t="str">
            <v>X0001</v>
          </cell>
          <cell r="F737">
            <v>1</v>
          </cell>
        </row>
        <row r="738">
          <cell r="D738" t="str">
            <v>S1550025</v>
          </cell>
          <cell r="F738">
            <v>0</v>
          </cell>
        </row>
        <row r="739">
          <cell r="D739" t="str">
            <v>S1580020</v>
          </cell>
          <cell r="F739">
            <v>0</v>
          </cell>
        </row>
        <row r="740">
          <cell r="D740" t="str">
            <v>S1583015</v>
          </cell>
          <cell r="F740">
            <v>0</v>
          </cell>
        </row>
        <row r="741">
          <cell r="D741" t="str">
            <v>X0001</v>
          </cell>
          <cell r="F741">
            <v>0</v>
          </cell>
        </row>
        <row r="742">
          <cell r="D742" t="str">
            <v>S1580020</v>
          </cell>
          <cell r="F742">
            <v>0</v>
          </cell>
        </row>
        <row r="743">
          <cell r="D743" t="str">
            <v>S1550025</v>
          </cell>
          <cell r="F743">
            <v>0</v>
          </cell>
        </row>
        <row r="744">
          <cell r="D744" t="str">
            <v>S1583015</v>
          </cell>
          <cell r="F744">
            <v>0</v>
          </cell>
        </row>
        <row r="745">
          <cell r="D745" t="str">
            <v>X0001</v>
          </cell>
          <cell r="F745">
            <v>0</v>
          </cell>
        </row>
        <row r="746">
          <cell r="D746" t="str">
            <v>S1505046</v>
          </cell>
          <cell r="F746">
            <v>120000</v>
          </cell>
        </row>
        <row r="747">
          <cell r="D747" t="str">
            <v>S1531006</v>
          </cell>
          <cell r="F747">
            <v>200</v>
          </cell>
        </row>
        <row r="748">
          <cell r="D748" t="str">
            <v>S1531020</v>
          </cell>
          <cell r="F748">
            <v>3000</v>
          </cell>
        </row>
        <row r="749">
          <cell r="D749" t="str">
            <v>S1551005</v>
          </cell>
          <cell r="F749">
            <v>50</v>
          </cell>
        </row>
        <row r="750">
          <cell r="D750" t="str">
            <v>S0782110</v>
          </cell>
          <cell r="F750">
            <v>100</v>
          </cell>
        </row>
        <row r="751">
          <cell r="D751" t="str">
            <v>S1552510</v>
          </cell>
          <cell r="F751">
            <v>8000</v>
          </cell>
        </row>
        <row r="752">
          <cell r="D752" t="str">
            <v>X0001</v>
          </cell>
          <cell r="F752">
            <v>1</v>
          </cell>
        </row>
        <row r="753">
          <cell r="D753" t="str">
            <v>S0782110</v>
          </cell>
          <cell r="F753">
            <v>0</v>
          </cell>
        </row>
        <row r="754">
          <cell r="D754" t="str">
            <v>S1505046</v>
          </cell>
          <cell r="F754">
            <v>0</v>
          </cell>
        </row>
        <row r="755">
          <cell r="D755" t="str">
            <v>S1531006</v>
          </cell>
          <cell r="F755">
            <v>0</v>
          </cell>
        </row>
        <row r="756">
          <cell r="D756" t="str">
            <v>S1531020</v>
          </cell>
          <cell r="F756">
            <v>0</v>
          </cell>
        </row>
        <row r="757">
          <cell r="D757" t="str">
            <v>S1551005</v>
          </cell>
          <cell r="F757">
            <v>0</v>
          </cell>
        </row>
        <row r="758">
          <cell r="D758" t="str">
            <v>S1552510</v>
          </cell>
          <cell r="F758">
            <v>0</v>
          </cell>
        </row>
        <row r="759">
          <cell r="D759" t="str">
            <v>X0001</v>
          </cell>
          <cell r="F759">
            <v>0</v>
          </cell>
        </row>
        <row r="760">
          <cell r="D760" t="str">
            <v>S1505046</v>
          </cell>
          <cell r="F760">
            <v>0</v>
          </cell>
        </row>
        <row r="761">
          <cell r="D761" t="str">
            <v>S1531006</v>
          </cell>
          <cell r="F761">
            <v>0</v>
          </cell>
        </row>
        <row r="762">
          <cell r="D762" t="str">
            <v>S1531020</v>
          </cell>
          <cell r="F762">
            <v>0</v>
          </cell>
        </row>
        <row r="763">
          <cell r="D763" t="str">
            <v>X0001</v>
          </cell>
          <cell r="F763">
            <v>0</v>
          </cell>
        </row>
        <row r="764">
          <cell r="D764" t="str">
            <v>S1551005</v>
          </cell>
          <cell r="F764">
            <v>0</v>
          </cell>
        </row>
        <row r="765">
          <cell r="D765" t="str">
            <v>S0782110</v>
          </cell>
          <cell r="F765">
            <v>0</v>
          </cell>
        </row>
        <row r="766">
          <cell r="D766" t="str">
            <v>S1552510</v>
          </cell>
          <cell r="F766">
            <v>0</v>
          </cell>
        </row>
        <row r="767">
          <cell r="D767" t="str">
            <v>S1544400</v>
          </cell>
          <cell r="F767">
            <v>2000</v>
          </cell>
        </row>
        <row r="768">
          <cell r="D768" t="str">
            <v>S1546315</v>
          </cell>
          <cell r="F768">
            <v>20000</v>
          </cell>
        </row>
        <row r="769">
          <cell r="D769" t="str">
            <v>S1546300</v>
          </cell>
          <cell r="F769">
            <v>10000</v>
          </cell>
        </row>
        <row r="770">
          <cell r="D770" t="str">
            <v>S1555700</v>
          </cell>
          <cell r="F770">
            <v>20000</v>
          </cell>
        </row>
        <row r="771">
          <cell r="D771" t="str">
            <v>S1555650</v>
          </cell>
          <cell r="F771">
            <v>2000</v>
          </cell>
        </row>
        <row r="772">
          <cell r="D772" t="str">
            <v>S1561121</v>
          </cell>
          <cell r="F772">
            <v>920</v>
          </cell>
        </row>
        <row r="773">
          <cell r="D773" t="str">
            <v>X0001</v>
          </cell>
          <cell r="F773">
            <v>1</v>
          </cell>
        </row>
        <row r="774">
          <cell r="D774" t="str">
            <v>S1544400</v>
          </cell>
          <cell r="F774">
            <v>0</v>
          </cell>
        </row>
        <row r="775">
          <cell r="D775" t="str">
            <v>S1546300</v>
          </cell>
          <cell r="F775">
            <v>0</v>
          </cell>
        </row>
        <row r="776">
          <cell r="D776" t="str">
            <v>S1546315</v>
          </cell>
          <cell r="F776">
            <v>0</v>
          </cell>
        </row>
        <row r="777">
          <cell r="D777" t="str">
            <v>S1555650</v>
          </cell>
          <cell r="F777">
            <v>0</v>
          </cell>
        </row>
        <row r="778">
          <cell r="D778" t="str">
            <v>S1555700</v>
          </cell>
          <cell r="F778">
            <v>0</v>
          </cell>
        </row>
        <row r="779">
          <cell r="D779" t="str">
            <v>S1561121</v>
          </cell>
          <cell r="F779">
            <v>0</v>
          </cell>
        </row>
        <row r="780">
          <cell r="D780" t="str">
            <v>X0001</v>
          </cell>
          <cell r="F780">
            <v>0</v>
          </cell>
        </row>
        <row r="781">
          <cell r="D781" t="str">
            <v>S1544400</v>
          </cell>
          <cell r="F781">
            <v>0</v>
          </cell>
        </row>
        <row r="782">
          <cell r="D782" t="str">
            <v>S1546315</v>
          </cell>
          <cell r="F782">
            <v>20000</v>
          </cell>
        </row>
        <row r="783">
          <cell r="D783" t="str">
            <v>S1546300</v>
          </cell>
          <cell r="F783">
            <v>0</v>
          </cell>
        </row>
        <row r="784">
          <cell r="D784" t="str">
            <v>S1555700</v>
          </cell>
          <cell r="F784">
            <v>0</v>
          </cell>
        </row>
        <row r="785">
          <cell r="D785" t="str">
            <v>S1555650</v>
          </cell>
          <cell r="F785">
            <v>0</v>
          </cell>
        </row>
        <row r="786">
          <cell r="D786" t="str">
            <v>S1561121</v>
          </cell>
          <cell r="F786">
            <v>920</v>
          </cell>
        </row>
        <row r="787">
          <cell r="D787" t="str">
            <v>X0001</v>
          </cell>
          <cell r="F787">
            <v>0</v>
          </cell>
        </row>
        <row r="788">
          <cell r="D788" t="str">
            <v>S9902218</v>
          </cell>
          <cell r="F788">
            <v>0</v>
          </cell>
        </row>
        <row r="789">
          <cell r="D789" t="str">
            <v>S9906623</v>
          </cell>
          <cell r="F789">
            <v>50</v>
          </cell>
        </row>
        <row r="790">
          <cell r="D790" t="str">
            <v>S9906626</v>
          </cell>
          <cell r="F790">
            <v>50</v>
          </cell>
        </row>
        <row r="791">
          <cell r="D791" t="str">
            <v>S9906627</v>
          </cell>
          <cell r="F791">
            <v>50</v>
          </cell>
        </row>
        <row r="792">
          <cell r="D792" t="str">
            <v>S9906621</v>
          </cell>
          <cell r="F792">
            <v>200</v>
          </cell>
        </row>
        <row r="793">
          <cell r="D793" t="str">
            <v>S9906730</v>
          </cell>
          <cell r="F793">
            <v>50</v>
          </cell>
        </row>
        <row r="794">
          <cell r="D794" t="str">
            <v>S9906774</v>
          </cell>
          <cell r="F794">
            <v>50</v>
          </cell>
        </row>
        <row r="795">
          <cell r="D795" t="str">
            <v>S9902217</v>
          </cell>
          <cell r="F795">
            <v>100</v>
          </cell>
        </row>
        <row r="796">
          <cell r="D796" t="str">
            <v>S9902218</v>
          </cell>
          <cell r="F796">
            <v>1</v>
          </cell>
        </row>
        <row r="797">
          <cell r="D797" t="str">
            <v>S9902218</v>
          </cell>
          <cell r="F797">
            <v>100</v>
          </cell>
        </row>
        <row r="798">
          <cell r="D798" t="str">
            <v>S9902219</v>
          </cell>
          <cell r="F798">
            <v>100</v>
          </cell>
        </row>
        <row r="799">
          <cell r="D799" t="str">
            <v>S9902220</v>
          </cell>
          <cell r="F799">
            <v>100</v>
          </cell>
        </row>
        <row r="800">
          <cell r="D800" t="str">
            <v>S9910003</v>
          </cell>
          <cell r="F800">
            <v>1</v>
          </cell>
        </row>
        <row r="801">
          <cell r="D801" t="str">
            <v>S9910003</v>
          </cell>
          <cell r="F801">
            <v>300</v>
          </cell>
        </row>
        <row r="802">
          <cell r="D802" t="str">
            <v>S9910004</v>
          </cell>
          <cell r="F802">
            <v>300</v>
          </cell>
        </row>
        <row r="803">
          <cell r="D803" t="str">
            <v>S9910005</v>
          </cell>
          <cell r="F803">
            <v>300</v>
          </cell>
        </row>
        <row r="804">
          <cell r="D804" t="str">
            <v>S9908400</v>
          </cell>
          <cell r="F804">
            <v>50</v>
          </cell>
        </row>
        <row r="805">
          <cell r="D805" t="str">
            <v>X0001</v>
          </cell>
          <cell r="F805">
            <v>1</v>
          </cell>
        </row>
        <row r="806">
          <cell r="D806" t="str">
            <v>S9902217</v>
          </cell>
          <cell r="F806">
            <v>0</v>
          </cell>
        </row>
        <row r="807">
          <cell r="D807" t="str">
            <v>S9902218</v>
          </cell>
          <cell r="F807">
            <v>0</v>
          </cell>
        </row>
        <row r="808">
          <cell r="D808" t="str">
            <v>S9902219</v>
          </cell>
          <cell r="F808">
            <v>0</v>
          </cell>
        </row>
        <row r="809">
          <cell r="D809" t="str">
            <v>S9902220</v>
          </cell>
          <cell r="F809">
            <v>0</v>
          </cell>
        </row>
        <row r="810">
          <cell r="D810" t="str">
            <v>S9906621</v>
          </cell>
          <cell r="F810">
            <v>0</v>
          </cell>
        </row>
        <row r="811">
          <cell r="D811" t="str">
            <v>S9906622</v>
          </cell>
          <cell r="F811">
            <v>0</v>
          </cell>
        </row>
        <row r="812">
          <cell r="D812" t="str">
            <v>S9906623</v>
          </cell>
          <cell r="F812">
            <v>0</v>
          </cell>
        </row>
        <row r="813">
          <cell r="D813" t="str">
            <v>S9906626</v>
          </cell>
          <cell r="F813">
            <v>0</v>
          </cell>
        </row>
        <row r="814">
          <cell r="D814" t="str">
            <v>S9906627</v>
          </cell>
          <cell r="F814">
            <v>0</v>
          </cell>
        </row>
        <row r="815">
          <cell r="D815" t="str">
            <v>S9906730</v>
          </cell>
          <cell r="F815">
            <v>0</v>
          </cell>
        </row>
        <row r="816">
          <cell r="D816" t="str">
            <v>S9906774</v>
          </cell>
          <cell r="F816">
            <v>0</v>
          </cell>
        </row>
        <row r="817">
          <cell r="D817" t="str">
            <v>S9908400</v>
          </cell>
          <cell r="F817">
            <v>0</v>
          </cell>
        </row>
        <row r="818">
          <cell r="D818" t="str">
            <v>S9910003</v>
          </cell>
          <cell r="F818">
            <v>0</v>
          </cell>
        </row>
        <row r="819">
          <cell r="D819" t="str">
            <v>S9910004</v>
          </cell>
          <cell r="F819">
            <v>0</v>
          </cell>
        </row>
        <row r="820">
          <cell r="D820" t="str">
            <v>S9910005</v>
          </cell>
          <cell r="F820">
            <v>0</v>
          </cell>
        </row>
        <row r="821">
          <cell r="D821" t="str">
            <v>X0001</v>
          </cell>
          <cell r="F821">
            <v>0</v>
          </cell>
        </row>
        <row r="822">
          <cell r="D822" t="str">
            <v>S9906623</v>
          </cell>
          <cell r="F822">
            <v>50</v>
          </cell>
        </row>
        <row r="823">
          <cell r="D823" t="str">
            <v>S9906626</v>
          </cell>
          <cell r="F823">
            <v>0</v>
          </cell>
        </row>
        <row r="824">
          <cell r="D824" t="str">
            <v>S9906627</v>
          </cell>
          <cell r="F824">
            <v>50</v>
          </cell>
        </row>
        <row r="825">
          <cell r="D825" t="str">
            <v>S9906621</v>
          </cell>
          <cell r="F825">
            <v>0</v>
          </cell>
        </row>
        <row r="826">
          <cell r="D826" t="str">
            <v>S9906730</v>
          </cell>
          <cell r="F826">
            <v>0</v>
          </cell>
        </row>
        <row r="827">
          <cell r="D827" t="str">
            <v>S9906774</v>
          </cell>
          <cell r="F827">
            <v>0</v>
          </cell>
        </row>
        <row r="828">
          <cell r="D828" t="str">
            <v>S9902217</v>
          </cell>
          <cell r="F828">
            <v>0</v>
          </cell>
        </row>
        <row r="829">
          <cell r="D829" t="str">
            <v>S9902218</v>
          </cell>
          <cell r="F829">
            <v>0</v>
          </cell>
        </row>
        <row r="830">
          <cell r="D830" t="str">
            <v>S9902219</v>
          </cell>
          <cell r="F830">
            <v>0</v>
          </cell>
        </row>
        <row r="831">
          <cell r="D831" t="str">
            <v>S9902220</v>
          </cell>
          <cell r="F831">
            <v>0</v>
          </cell>
        </row>
        <row r="832">
          <cell r="D832" t="str">
            <v>S9910003</v>
          </cell>
          <cell r="F832">
            <v>0</v>
          </cell>
        </row>
        <row r="833">
          <cell r="D833" t="str">
            <v>S9910004</v>
          </cell>
          <cell r="F833">
            <v>0</v>
          </cell>
        </row>
        <row r="834">
          <cell r="D834" t="str">
            <v>S9910005</v>
          </cell>
          <cell r="F834">
            <v>0</v>
          </cell>
        </row>
        <row r="835">
          <cell r="D835" t="str">
            <v>S9908400</v>
          </cell>
          <cell r="F835">
            <v>0</v>
          </cell>
        </row>
        <row r="836">
          <cell r="D836" t="str">
            <v>S9906622</v>
          </cell>
          <cell r="F836">
            <v>0</v>
          </cell>
        </row>
        <row r="837">
          <cell r="D837" t="str">
            <v>X0001</v>
          </cell>
          <cell r="F837">
            <v>0</v>
          </cell>
        </row>
        <row r="838">
          <cell r="D838" t="str">
            <v>S0359163</v>
          </cell>
          <cell r="F838">
            <v>50000</v>
          </cell>
        </row>
        <row r="839">
          <cell r="D839" t="str">
            <v>S359123</v>
          </cell>
          <cell r="F839">
            <v>176100</v>
          </cell>
        </row>
        <row r="840">
          <cell r="D840" t="str">
            <v>S359153</v>
          </cell>
          <cell r="F840">
            <v>100000</v>
          </cell>
        </row>
        <row r="841">
          <cell r="D841" t="str">
            <v>X0001</v>
          </cell>
          <cell r="F841">
            <v>1</v>
          </cell>
        </row>
        <row r="842">
          <cell r="D842" t="str">
            <v>S1561125</v>
          </cell>
          <cell r="F842">
            <v>0</v>
          </cell>
        </row>
        <row r="843">
          <cell r="D843" t="str">
            <v>X0001</v>
          </cell>
          <cell r="F843">
            <v>1</v>
          </cell>
        </row>
        <row r="844">
          <cell r="D844" t="str">
            <v>S0000209</v>
          </cell>
          <cell r="F844">
            <v>200</v>
          </cell>
        </row>
        <row r="845">
          <cell r="D845" t="str">
            <v>S0000208</v>
          </cell>
          <cell r="F845">
            <v>1000</v>
          </cell>
        </row>
        <row r="846">
          <cell r="D846" t="str">
            <v>U358800</v>
          </cell>
          <cell r="F846">
            <v>46</v>
          </cell>
        </row>
        <row r="847">
          <cell r="D847" t="str">
            <v>U429182</v>
          </cell>
          <cell r="F847">
            <v>5842</v>
          </cell>
        </row>
        <row r="848">
          <cell r="D848" t="str">
            <v>U239970</v>
          </cell>
          <cell r="F848">
            <v>2437900</v>
          </cell>
        </row>
        <row r="849">
          <cell r="D849" t="str">
            <v>S0002016</v>
          </cell>
          <cell r="F849">
            <v>0</v>
          </cell>
        </row>
        <row r="850">
          <cell r="D850" t="str">
            <v>S0782160</v>
          </cell>
          <cell r="F850">
            <v>10000</v>
          </cell>
        </row>
        <row r="851">
          <cell r="D851" t="str">
            <v>S0782208</v>
          </cell>
          <cell r="F851">
            <v>130</v>
          </cell>
        </row>
        <row r="852">
          <cell r="D852" t="str">
            <v>X0001</v>
          </cell>
          <cell r="F852">
            <v>1</v>
          </cell>
        </row>
        <row r="853">
          <cell r="D853" t="str">
            <v>S0000293</v>
          </cell>
          <cell r="F853">
            <v>83000</v>
          </cell>
        </row>
        <row r="854">
          <cell r="D854" t="str">
            <v>X0001</v>
          </cell>
          <cell r="F854">
            <v>1</v>
          </cell>
        </row>
        <row r="855">
          <cell r="D855" t="str">
            <v>S359153</v>
          </cell>
          <cell r="F855">
            <v>40000</v>
          </cell>
        </row>
        <row r="856">
          <cell r="D856" t="str">
            <v>S359123</v>
          </cell>
          <cell r="F856">
            <v>30000</v>
          </cell>
        </row>
        <row r="857">
          <cell r="D857" t="str">
            <v>X0001</v>
          </cell>
          <cell r="F857">
            <v>1</v>
          </cell>
        </row>
        <row r="858">
          <cell r="D858" t="str">
            <v>S0359163</v>
          </cell>
          <cell r="F858">
            <v>27000</v>
          </cell>
        </row>
        <row r="859">
          <cell r="D859" t="str">
            <v>S0002016</v>
          </cell>
          <cell r="F859">
            <v>0</v>
          </cell>
        </row>
        <row r="860">
          <cell r="D860" t="str">
            <v>S0782160</v>
          </cell>
          <cell r="F860">
            <v>17200</v>
          </cell>
        </row>
        <row r="861">
          <cell r="D861" t="str">
            <v>X0001</v>
          </cell>
          <cell r="F861">
            <v>1</v>
          </cell>
        </row>
        <row r="862">
          <cell r="D862" t="str">
            <v>S359153</v>
          </cell>
          <cell r="F862">
            <v>100000</v>
          </cell>
        </row>
        <row r="863">
          <cell r="D863" t="str">
            <v>S359123</v>
          </cell>
          <cell r="F863">
            <v>50000</v>
          </cell>
        </row>
        <row r="864">
          <cell r="D864" t="str">
            <v>S0359163</v>
          </cell>
          <cell r="F864">
            <v>91000</v>
          </cell>
        </row>
        <row r="865">
          <cell r="D865" t="str">
            <v>X0001</v>
          </cell>
          <cell r="F865">
            <v>1</v>
          </cell>
        </row>
        <row r="866">
          <cell r="D866" t="str">
            <v>S1561121</v>
          </cell>
          <cell r="F866">
            <v>1950</v>
          </cell>
        </row>
        <row r="867">
          <cell r="D867" t="str">
            <v>X0001</v>
          </cell>
          <cell r="F867">
            <v>1</v>
          </cell>
        </row>
        <row r="868">
          <cell r="D868" t="str">
            <v>S0000240</v>
          </cell>
          <cell r="F868">
            <v>0</v>
          </cell>
        </row>
        <row r="869">
          <cell r="D869" t="str">
            <v>X0001</v>
          </cell>
          <cell r="F869">
            <v>0</v>
          </cell>
        </row>
        <row r="870">
          <cell r="D870" t="str">
            <v>S0000240</v>
          </cell>
          <cell r="F870">
            <v>12000</v>
          </cell>
        </row>
        <row r="871">
          <cell r="D871" t="str">
            <v>X0001</v>
          </cell>
          <cell r="F871">
            <v>0</v>
          </cell>
        </row>
        <row r="872">
          <cell r="D872" t="str">
            <v>S0000240</v>
          </cell>
          <cell r="F872">
            <v>5470</v>
          </cell>
        </row>
        <row r="873">
          <cell r="D873" t="str">
            <v>S5088020</v>
          </cell>
          <cell r="F873">
            <v>38</v>
          </cell>
        </row>
        <row r="874">
          <cell r="D874" t="str">
            <v>S5088015</v>
          </cell>
          <cell r="F874">
            <v>25</v>
          </cell>
        </row>
        <row r="875">
          <cell r="D875" t="str">
            <v>X0001</v>
          </cell>
          <cell r="F875">
            <v>0</v>
          </cell>
        </row>
        <row r="876">
          <cell r="D876" t="str">
            <v>X0001</v>
          </cell>
          <cell r="F876">
            <v>1</v>
          </cell>
        </row>
        <row r="877">
          <cell r="D877" t="str">
            <v>S5007310</v>
          </cell>
          <cell r="F877">
            <v>0</v>
          </cell>
        </row>
        <row r="878">
          <cell r="D878" t="str">
            <v>S5007311</v>
          </cell>
          <cell r="F878">
            <v>15000</v>
          </cell>
        </row>
        <row r="879">
          <cell r="D879" t="str">
            <v>X0001</v>
          </cell>
          <cell r="F879">
            <v>1</v>
          </cell>
        </row>
        <row r="880">
          <cell r="D880" t="str">
            <v>U448200</v>
          </cell>
          <cell r="F880">
            <v>170</v>
          </cell>
        </row>
        <row r="881">
          <cell r="D881" t="str">
            <v>U448200</v>
          </cell>
          <cell r="F881">
            <v>40</v>
          </cell>
        </row>
        <row r="882">
          <cell r="D882" t="str">
            <v>U448200</v>
          </cell>
          <cell r="F882">
            <v>40</v>
          </cell>
        </row>
        <row r="883">
          <cell r="D883" t="str">
            <v>U448200</v>
          </cell>
          <cell r="F883">
            <v>160</v>
          </cell>
        </row>
        <row r="884">
          <cell r="D884" t="str">
            <v>U448200</v>
          </cell>
          <cell r="F884">
            <v>160</v>
          </cell>
        </row>
        <row r="885">
          <cell r="D885" t="str">
            <v>U448200</v>
          </cell>
          <cell r="F885">
            <v>170</v>
          </cell>
        </row>
        <row r="886">
          <cell r="D886" t="str">
            <v>U448200</v>
          </cell>
          <cell r="F886">
            <v>80</v>
          </cell>
        </row>
        <row r="887">
          <cell r="D887" t="str">
            <v>U448200</v>
          </cell>
          <cell r="F887">
            <v>240</v>
          </cell>
        </row>
        <row r="888">
          <cell r="D888" t="str">
            <v>U448200</v>
          </cell>
          <cell r="F888">
            <v>240</v>
          </cell>
        </row>
        <row r="889">
          <cell r="D889" t="str">
            <v>U448200</v>
          </cell>
          <cell r="F889">
            <v>240</v>
          </cell>
        </row>
        <row r="890">
          <cell r="D890" t="str">
            <v>U448200</v>
          </cell>
          <cell r="F890">
            <v>16000</v>
          </cell>
        </row>
        <row r="891">
          <cell r="D891" t="str">
            <v>U448200</v>
          </cell>
          <cell r="F891">
            <v>20000</v>
          </cell>
        </row>
        <row r="892">
          <cell r="D892" t="str">
            <v>U448200</v>
          </cell>
          <cell r="F892">
            <v>16000</v>
          </cell>
        </row>
        <row r="893">
          <cell r="D893" t="str">
            <v>U448200</v>
          </cell>
          <cell r="F893">
            <v>2000</v>
          </cell>
        </row>
        <row r="894">
          <cell r="D894" t="str">
            <v>U271620</v>
          </cell>
          <cell r="F894">
            <v>12000</v>
          </cell>
        </row>
        <row r="895">
          <cell r="D895" t="str">
            <v>U239990</v>
          </cell>
          <cell r="F895">
            <v>24000</v>
          </cell>
        </row>
        <row r="896">
          <cell r="D896" t="str">
            <v>U356400</v>
          </cell>
          <cell r="F896">
            <v>20</v>
          </cell>
        </row>
        <row r="897">
          <cell r="D897" t="str">
            <v>S9935025</v>
          </cell>
          <cell r="F897">
            <v>304</v>
          </cell>
        </row>
        <row r="898">
          <cell r="D898" t="str">
            <v>X0001</v>
          </cell>
          <cell r="F898">
            <v>0</v>
          </cell>
        </row>
        <row r="899">
          <cell r="D899" t="str">
            <v>X0001</v>
          </cell>
          <cell r="F899">
            <v>1</v>
          </cell>
        </row>
        <row r="900">
          <cell r="D900" t="str">
            <v>S0000293</v>
          </cell>
          <cell r="F900">
            <v>0</v>
          </cell>
        </row>
        <row r="901">
          <cell r="D901" t="str">
            <v>X0001</v>
          </cell>
          <cell r="F901">
            <v>1</v>
          </cell>
        </row>
        <row r="902">
          <cell r="D902" t="str">
            <v>S0000294</v>
          </cell>
          <cell r="F902">
            <v>4080</v>
          </cell>
        </row>
        <row r="903">
          <cell r="D903" t="str">
            <v>S0000294</v>
          </cell>
          <cell r="F903">
            <v>83920</v>
          </cell>
        </row>
        <row r="904">
          <cell r="D904" t="str">
            <v>S0000240</v>
          </cell>
          <cell r="F904">
            <v>20030</v>
          </cell>
        </row>
        <row r="905">
          <cell r="D905" t="str">
            <v>X0001</v>
          </cell>
          <cell r="F905">
            <v>1</v>
          </cell>
        </row>
        <row r="906">
          <cell r="D906" t="str">
            <v>S5088020</v>
          </cell>
          <cell r="F906">
            <v>7</v>
          </cell>
        </row>
        <row r="907">
          <cell r="D907" t="str">
            <v>S0521425</v>
          </cell>
          <cell r="F907">
            <v>190</v>
          </cell>
        </row>
        <row r="908">
          <cell r="D908" t="str">
            <v>S5086012</v>
          </cell>
          <cell r="F908">
            <v>260</v>
          </cell>
        </row>
        <row r="909">
          <cell r="D909" t="str">
            <v>S0145760</v>
          </cell>
          <cell r="F909">
            <v>30</v>
          </cell>
        </row>
        <row r="910">
          <cell r="D910" t="str">
            <v>S0145740</v>
          </cell>
          <cell r="F910">
            <v>95</v>
          </cell>
        </row>
        <row r="911">
          <cell r="D911" t="str">
            <v>S0145730</v>
          </cell>
          <cell r="F911">
            <v>200</v>
          </cell>
        </row>
        <row r="912">
          <cell r="D912" t="str">
            <v>X0001</v>
          </cell>
          <cell r="F912">
            <v>1</v>
          </cell>
        </row>
        <row r="913">
          <cell r="D913" t="str">
            <v>S4460006</v>
          </cell>
          <cell r="F913">
            <v>1375</v>
          </cell>
        </row>
        <row r="914">
          <cell r="D914" t="str">
            <v>S4460005</v>
          </cell>
          <cell r="F914">
            <v>1375</v>
          </cell>
        </row>
        <row r="915">
          <cell r="D915" t="str">
            <v>S2684006</v>
          </cell>
          <cell r="F915">
            <v>1375</v>
          </cell>
        </row>
        <row r="916">
          <cell r="D916" t="str">
            <v>S4416506</v>
          </cell>
          <cell r="F916">
            <v>1375</v>
          </cell>
        </row>
        <row r="917">
          <cell r="D917" t="str">
            <v>S4419000</v>
          </cell>
          <cell r="F917">
            <v>1375</v>
          </cell>
        </row>
        <row r="918">
          <cell r="D918" t="str">
            <v>S4432000</v>
          </cell>
          <cell r="F918">
            <v>1375</v>
          </cell>
        </row>
        <row r="919">
          <cell r="D919" t="str">
            <v>S2555010</v>
          </cell>
          <cell r="F919">
            <v>1375</v>
          </cell>
        </row>
        <row r="920">
          <cell r="D920" t="str">
            <v>S4465700</v>
          </cell>
          <cell r="F920">
            <v>1375</v>
          </cell>
        </row>
        <row r="921">
          <cell r="D921" t="str">
            <v>S4416403</v>
          </cell>
          <cell r="F921">
            <v>1375</v>
          </cell>
        </row>
        <row r="922">
          <cell r="D922" t="str">
            <v>S4416397</v>
          </cell>
          <cell r="F922">
            <v>1375</v>
          </cell>
        </row>
        <row r="923">
          <cell r="D923" t="str">
            <v>S4467000</v>
          </cell>
          <cell r="F923">
            <v>1375</v>
          </cell>
        </row>
        <row r="924">
          <cell r="D924" t="str">
            <v>S4416503</v>
          </cell>
          <cell r="F924">
            <v>1375</v>
          </cell>
        </row>
        <row r="925">
          <cell r="D925" t="str">
            <v>S5001010</v>
          </cell>
          <cell r="F925">
            <v>1375</v>
          </cell>
        </row>
        <row r="926">
          <cell r="D926" t="str">
            <v>S4325608</v>
          </cell>
          <cell r="F926">
            <v>1375</v>
          </cell>
        </row>
        <row r="927">
          <cell r="D927" t="str">
            <v>S2741600</v>
          </cell>
          <cell r="F927">
            <v>1375</v>
          </cell>
        </row>
        <row r="928">
          <cell r="D928" t="str">
            <v>S2795700</v>
          </cell>
          <cell r="F928">
            <v>2750</v>
          </cell>
        </row>
        <row r="929">
          <cell r="D929" t="str">
            <v>S2731200</v>
          </cell>
          <cell r="F929">
            <v>2750</v>
          </cell>
        </row>
        <row r="930">
          <cell r="D930" t="str">
            <v>S2760001</v>
          </cell>
          <cell r="F930">
            <v>2750</v>
          </cell>
        </row>
        <row r="931">
          <cell r="D931" t="str">
            <v>S2702801</v>
          </cell>
          <cell r="F931">
            <v>2750</v>
          </cell>
        </row>
        <row r="932">
          <cell r="D932" t="str">
            <v>S4416504</v>
          </cell>
          <cell r="F932">
            <v>1375</v>
          </cell>
        </row>
        <row r="933">
          <cell r="D933" t="str">
            <v>S2795800</v>
          </cell>
          <cell r="F933">
            <v>1375</v>
          </cell>
        </row>
        <row r="934">
          <cell r="D934" t="str">
            <v>X0001</v>
          </cell>
          <cell r="F934">
            <v>1</v>
          </cell>
        </row>
        <row r="935">
          <cell r="D935" t="str">
            <v>S9999999</v>
          </cell>
          <cell r="F935">
            <v>1375</v>
          </cell>
        </row>
        <row r="936">
          <cell r="D936" t="str">
            <v>S4410009</v>
          </cell>
          <cell r="F936">
            <v>3300</v>
          </cell>
        </row>
        <row r="937">
          <cell r="D937" t="str">
            <v>S4460005</v>
          </cell>
          <cell r="F937">
            <v>8250</v>
          </cell>
        </row>
        <row r="938">
          <cell r="D938" t="str">
            <v>S4460701</v>
          </cell>
          <cell r="F938">
            <v>8250</v>
          </cell>
        </row>
        <row r="939">
          <cell r="D939" t="str">
            <v>S4520110</v>
          </cell>
          <cell r="F939">
            <v>3300</v>
          </cell>
        </row>
        <row r="940">
          <cell r="D940" t="str">
            <v>S2584000</v>
          </cell>
          <cell r="F940">
            <v>8250</v>
          </cell>
        </row>
        <row r="941">
          <cell r="D941" t="str">
            <v>S4552010</v>
          </cell>
          <cell r="F941">
            <v>4950</v>
          </cell>
        </row>
        <row r="942">
          <cell r="D942" t="str">
            <v>X0001</v>
          </cell>
          <cell r="F942">
            <v>1</v>
          </cell>
        </row>
        <row r="943">
          <cell r="D943" t="str">
            <v>S9999999</v>
          </cell>
          <cell r="F943">
            <v>1650</v>
          </cell>
        </row>
        <row r="944">
          <cell r="D944" t="str">
            <v>S359184</v>
          </cell>
          <cell r="F944">
            <v>30400</v>
          </cell>
        </row>
        <row r="945">
          <cell r="D945" t="str">
            <v>X0001</v>
          </cell>
          <cell r="F945">
            <v>1</v>
          </cell>
        </row>
        <row r="946">
          <cell r="D946" t="str">
            <v>U320000</v>
          </cell>
          <cell r="F946">
            <v>28500</v>
          </cell>
        </row>
        <row r="947">
          <cell r="D947" t="str">
            <v>U320000</v>
          </cell>
          <cell r="F947">
            <v>22500</v>
          </cell>
        </row>
        <row r="948">
          <cell r="D948" t="str">
            <v>U320000</v>
          </cell>
          <cell r="F948">
            <v>17400</v>
          </cell>
        </row>
        <row r="949">
          <cell r="D949" t="str">
            <v>U320000</v>
          </cell>
          <cell r="F949">
            <v>13800</v>
          </cell>
        </row>
        <row r="950">
          <cell r="D950" t="str">
            <v>U320000</v>
          </cell>
          <cell r="F950">
            <v>10800</v>
          </cell>
        </row>
        <row r="951">
          <cell r="D951" t="str">
            <v>U320000</v>
          </cell>
          <cell r="F951">
            <v>8100</v>
          </cell>
        </row>
        <row r="952">
          <cell r="D952" t="str">
            <v>U320000</v>
          </cell>
          <cell r="F952">
            <v>6450</v>
          </cell>
        </row>
        <row r="953">
          <cell r="D953" t="str">
            <v>U320000</v>
          </cell>
          <cell r="F953">
            <v>5100</v>
          </cell>
        </row>
        <row r="954">
          <cell r="D954" t="str">
            <v>U320000</v>
          </cell>
          <cell r="F954">
            <v>28500</v>
          </cell>
        </row>
        <row r="955">
          <cell r="D955" t="str">
            <v>U320000</v>
          </cell>
          <cell r="F955">
            <v>22500</v>
          </cell>
        </row>
        <row r="956">
          <cell r="D956" t="str">
            <v>U320000</v>
          </cell>
          <cell r="F956">
            <v>17400</v>
          </cell>
        </row>
        <row r="957">
          <cell r="D957" t="str">
            <v>U320000</v>
          </cell>
          <cell r="F957">
            <v>13800</v>
          </cell>
        </row>
        <row r="958">
          <cell r="D958" t="str">
            <v>U320000</v>
          </cell>
          <cell r="F958">
            <v>10800</v>
          </cell>
        </row>
        <row r="959">
          <cell r="D959" t="str">
            <v>U320000</v>
          </cell>
          <cell r="F959">
            <v>8100</v>
          </cell>
        </row>
        <row r="960">
          <cell r="D960" t="str">
            <v>U320000</v>
          </cell>
          <cell r="F960">
            <v>6450</v>
          </cell>
        </row>
        <row r="961">
          <cell r="D961" t="str">
            <v>U320000</v>
          </cell>
          <cell r="F961">
            <v>5100</v>
          </cell>
        </row>
        <row r="962">
          <cell r="D962" t="str">
            <v>U320000</v>
          </cell>
          <cell r="F962">
            <v>28500</v>
          </cell>
        </row>
        <row r="963">
          <cell r="D963" t="str">
            <v>U320000</v>
          </cell>
          <cell r="F963">
            <v>22500</v>
          </cell>
        </row>
        <row r="964">
          <cell r="D964" t="str">
            <v>U320000</v>
          </cell>
          <cell r="F964">
            <v>17400</v>
          </cell>
        </row>
        <row r="965">
          <cell r="D965" t="str">
            <v>U320000</v>
          </cell>
          <cell r="F965">
            <v>13800</v>
          </cell>
        </row>
        <row r="966">
          <cell r="D966" t="str">
            <v>U320000</v>
          </cell>
          <cell r="F966">
            <v>10800</v>
          </cell>
        </row>
        <row r="967">
          <cell r="D967" t="str">
            <v>U320000</v>
          </cell>
          <cell r="F967">
            <v>8100</v>
          </cell>
        </row>
        <row r="968">
          <cell r="D968" t="str">
            <v>U320000</v>
          </cell>
          <cell r="F968">
            <v>6450</v>
          </cell>
        </row>
        <row r="969">
          <cell r="D969" t="str">
            <v>U320000</v>
          </cell>
          <cell r="F969">
            <v>5100</v>
          </cell>
        </row>
        <row r="970">
          <cell r="D970" t="str">
            <v>U320000</v>
          </cell>
          <cell r="F970">
            <v>28500</v>
          </cell>
        </row>
        <row r="971">
          <cell r="D971" t="str">
            <v>U320000</v>
          </cell>
          <cell r="F971">
            <v>22500</v>
          </cell>
        </row>
        <row r="972">
          <cell r="D972" t="str">
            <v>U320000</v>
          </cell>
          <cell r="F972">
            <v>17400</v>
          </cell>
        </row>
        <row r="973">
          <cell r="D973" t="str">
            <v>U320000</v>
          </cell>
          <cell r="F973">
            <v>13800</v>
          </cell>
        </row>
        <row r="974">
          <cell r="D974" t="str">
            <v>U320000</v>
          </cell>
          <cell r="F974">
            <v>10800</v>
          </cell>
        </row>
        <row r="975">
          <cell r="D975" t="str">
            <v>U320000</v>
          </cell>
          <cell r="F975">
            <v>8100</v>
          </cell>
        </row>
        <row r="976">
          <cell r="D976" t="str">
            <v>U320000</v>
          </cell>
          <cell r="F976">
            <v>6450</v>
          </cell>
        </row>
        <row r="977">
          <cell r="D977" t="str">
            <v>U320000</v>
          </cell>
          <cell r="F977">
            <v>5100</v>
          </cell>
        </row>
        <row r="978">
          <cell r="D978" t="str">
            <v>U320000</v>
          </cell>
          <cell r="F978">
            <v>28500</v>
          </cell>
        </row>
        <row r="979">
          <cell r="D979" t="str">
            <v>U320000</v>
          </cell>
          <cell r="F979">
            <v>22500</v>
          </cell>
        </row>
        <row r="980">
          <cell r="D980" t="str">
            <v>U320000</v>
          </cell>
          <cell r="F980">
            <v>17400</v>
          </cell>
        </row>
        <row r="981">
          <cell r="D981" t="str">
            <v>U320000</v>
          </cell>
          <cell r="F981">
            <v>13800</v>
          </cell>
        </row>
        <row r="982">
          <cell r="D982" t="str">
            <v>U320000</v>
          </cell>
          <cell r="F982">
            <v>10800</v>
          </cell>
        </row>
        <row r="983">
          <cell r="D983" t="str">
            <v>U320000</v>
          </cell>
          <cell r="F983">
            <v>8100</v>
          </cell>
        </row>
        <row r="984">
          <cell r="D984" t="str">
            <v>U320000</v>
          </cell>
          <cell r="F984">
            <v>6450</v>
          </cell>
        </row>
        <row r="985">
          <cell r="D985" t="str">
            <v>U320000</v>
          </cell>
          <cell r="F985">
            <v>5100</v>
          </cell>
        </row>
        <row r="986">
          <cell r="D986" t="str">
            <v>U320000</v>
          </cell>
          <cell r="F986">
            <v>28500</v>
          </cell>
        </row>
        <row r="987">
          <cell r="D987" t="str">
            <v>U320000</v>
          </cell>
          <cell r="F987">
            <v>22500</v>
          </cell>
        </row>
        <row r="988">
          <cell r="D988" t="str">
            <v>U320000</v>
          </cell>
          <cell r="F988">
            <v>17400</v>
          </cell>
        </row>
        <row r="989">
          <cell r="D989" t="str">
            <v>U320000</v>
          </cell>
          <cell r="F989">
            <v>13800</v>
          </cell>
        </row>
        <row r="990">
          <cell r="D990" t="str">
            <v>U320000</v>
          </cell>
          <cell r="F990">
            <v>10800</v>
          </cell>
        </row>
        <row r="991">
          <cell r="D991" t="str">
            <v>U320000</v>
          </cell>
          <cell r="F991">
            <v>8100</v>
          </cell>
        </row>
        <row r="992">
          <cell r="D992" t="str">
            <v>U320000</v>
          </cell>
          <cell r="F992">
            <v>6450</v>
          </cell>
        </row>
        <row r="993">
          <cell r="D993" t="str">
            <v>U320000</v>
          </cell>
          <cell r="F993">
            <v>5100</v>
          </cell>
        </row>
        <row r="994">
          <cell r="D994" t="str">
            <v>U320000</v>
          </cell>
          <cell r="F994">
            <v>675900</v>
          </cell>
        </row>
        <row r="995">
          <cell r="D995" t="str">
            <v>S1400570</v>
          </cell>
          <cell r="F995">
            <v>0</v>
          </cell>
        </row>
        <row r="996">
          <cell r="D996" t="str">
            <v>U359010</v>
          </cell>
          <cell r="F996">
            <v>0</v>
          </cell>
        </row>
        <row r="997">
          <cell r="F997">
            <v>0</v>
          </cell>
        </row>
        <row r="998">
          <cell r="F998">
            <v>0</v>
          </cell>
        </row>
        <row r="999">
          <cell r="F999">
            <v>0</v>
          </cell>
        </row>
        <row r="1000">
          <cell r="F1000">
            <v>0</v>
          </cell>
        </row>
        <row r="1001">
          <cell r="F1001">
            <v>0</v>
          </cell>
        </row>
        <row r="1002">
          <cell r="D1002" t="str">
            <v>S1400527</v>
          </cell>
          <cell r="F1002">
            <v>820</v>
          </cell>
        </row>
        <row r="1003">
          <cell r="D1003" t="str">
            <v>S1400523</v>
          </cell>
          <cell r="F1003">
            <v>20</v>
          </cell>
        </row>
        <row r="1004">
          <cell r="D1004" t="str">
            <v>S1400570</v>
          </cell>
          <cell r="F1004">
            <v>261</v>
          </cell>
        </row>
        <row r="1005">
          <cell r="D1005" t="str">
            <v>S1400122</v>
          </cell>
          <cell r="F1005">
            <v>10</v>
          </cell>
        </row>
        <row r="1006">
          <cell r="D1006" t="str">
            <v>X0001</v>
          </cell>
          <cell r="F1006">
            <v>1</v>
          </cell>
        </row>
        <row r="1007">
          <cell r="D1007" t="str">
            <v>S0003509</v>
          </cell>
          <cell r="F1007">
            <v>0</v>
          </cell>
        </row>
        <row r="1008">
          <cell r="D1008" t="str">
            <v>S0003403</v>
          </cell>
          <cell r="F1008">
            <v>65</v>
          </cell>
        </row>
        <row r="1009">
          <cell r="D1009" t="str">
            <v>S0003407</v>
          </cell>
          <cell r="F1009">
            <v>23</v>
          </cell>
        </row>
        <row r="1010">
          <cell r="D1010" t="str">
            <v>S0003417</v>
          </cell>
          <cell r="F1010">
            <v>31</v>
          </cell>
        </row>
        <row r="1011">
          <cell r="D1011" t="str">
            <v>X0001</v>
          </cell>
          <cell r="F1011">
            <v>1</v>
          </cell>
        </row>
        <row r="1012">
          <cell r="D1012" t="str">
            <v>S1537120</v>
          </cell>
          <cell r="F1012">
            <v>600</v>
          </cell>
        </row>
        <row r="1013">
          <cell r="D1013" t="str">
            <v>X0001</v>
          </cell>
          <cell r="F1013">
            <v>1</v>
          </cell>
        </row>
        <row r="1014">
          <cell r="D1014" t="str">
            <v>S1400570</v>
          </cell>
          <cell r="F1014">
            <v>0</v>
          </cell>
        </row>
        <row r="1015">
          <cell r="D1015" t="str">
            <v>U359010</v>
          </cell>
          <cell r="F1015">
            <v>0</v>
          </cell>
        </row>
        <row r="1016">
          <cell r="F1016">
            <v>0</v>
          </cell>
        </row>
        <row r="1017">
          <cell r="F1017">
            <v>0</v>
          </cell>
        </row>
        <row r="1018">
          <cell r="F1018">
            <v>0</v>
          </cell>
        </row>
        <row r="1019">
          <cell r="F1019">
            <v>0</v>
          </cell>
        </row>
        <row r="1020">
          <cell r="F1020">
            <v>0</v>
          </cell>
        </row>
        <row r="1021">
          <cell r="F1021">
            <v>0</v>
          </cell>
        </row>
        <row r="1022">
          <cell r="F1022">
            <v>0</v>
          </cell>
        </row>
        <row r="1023">
          <cell r="F1023">
            <v>0</v>
          </cell>
        </row>
        <row r="1024">
          <cell r="F1024">
            <v>0</v>
          </cell>
        </row>
        <row r="1025">
          <cell r="F1025">
            <v>0</v>
          </cell>
        </row>
        <row r="1026">
          <cell r="F1026">
            <v>0</v>
          </cell>
        </row>
        <row r="1027">
          <cell r="D1027" t="str">
            <v>S1400527</v>
          </cell>
          <cell r="F1027">
            <v>905</v>
          </cell>
        </row>
        <row r="1028">
          <cell r="D1028" t="str">
            <v>S1400523</v>
          </cell>
          <cell r="F1028">
            <v>54</v>
          </cell>
        </row>
        <row r="1029">
          <cell r="D1029" t="str">
            <v>S1400566</v>
          </cell>
          <cell r="F1029">
            <v>117</v>
          </cell>
        </row>
        <row r="1030">
          <cell r="D1030" t="str">
            <v>S1400547</v>
          </cell>
          <cell r="F1030">
            <v>463</v>
          </cell>
        </row>
        <row r="1031">
          <cell r="D1031" t="str">
            <v>S1400574</v>
          </cell>
          <cell r="F1031">
            <v>72</v>
          </cell>
        </row>
        <row r="1032">
          <cell r="D1032" t="str">
            <v>S1400122</v>
          </cell>
          <cell r="F1032">
            <v>130</v>
          </cell>
        </row>
        <row r="1033">
          <cell r="D1033" t="str">
            <v>S1400541</v>
          </cell>
          <cell r="F1033">
            <v>382</v>
          </cell>
        </row>
        <row r="1034">
          <cell r="D1034" t="str">
            <v>S1400201</v>
          </cell>
          <cell r="F1034">
            <v>1380</v>
          </cell>
        </row>
        <row r="1035">
          <cell r="D1035" t="str">
            <v>S1400101</v>
          </cell>
          <cell r="F1035">
            <v>840</v>
          </cell>
        </row>
        <row r="1036">
          <cell r="D1036" t="str">
            <v>S1400127</v>
          </cell>
          <cell r="F1036">
            <v>720</v>
          </cell>
        </row>
        <row r="1037">
          <cell r="D1037" t="str">
            <v>S1400004</v>
          </cell>
          <cell r="F1037">
            <v>240</v>
          </cell>
        </row>
        <row r="1038">
          <cell r="D1038" t="str">
            <v>S1400532</v>
          </cell>
          <cell r="F1038">
            <v>60</v>
          </cell>
        </row>
        <row r="1039">
          <cell r="D1039" t="str">
            <v>X0001</v>
          </cell>
          <cell r="F1039">
            <v>1</v>
          </cell>
        </row>
        <row r="1040">
          <cell r="D1040" t="str">
            <v>U389186</v>
          </cell>
          <cell r="F1040">
            <v>1692</v>
          </cell>
        </row>
        <row r="1041">
          <cell r="D1041" t="str">
            <v>U389186</v>
          </cell>
          <cell r="F1041">
            <v>1692</v>
          </cell>
        </row>
        <row r="1042">
          <cell r="D1042" t="str">
            <v>U389186</v>
          </cell>
          <cell r="F1042">
            <v>1550</v>
          </cell>
        </row>
        <row r="1043">
          <cell r="D1043" t="str">
            <v>U389186</v>
          </cell>
          <cell r="F1043">
            <v>1550</v>
          </cell>
        </row>
        <row r="1044">
          <cell r="D1044" t="str">
            <v>U389186</v>
          </cell>
          <cell r="F1044">
            <v>1692</v>
          </cell>
        </row>
        <row r="1045">
          <cell r="D1045" t="str">
            <v>U389186</v>
          </cell>
          <cell r="F1045">
            <v>1692</v>
          </cell>
        </row>
        <row r="1046">
          <cell r="D1046" t="str">
            <v>S0003403</v>
          </cell>
          <cell r="F1046">
            <v>25</v>
          </cell>
        </row>
        <row r="1047">
          <cell r="D1047" t="str">
            <v>X0001</v>
          </cell>
          <cell r="F1047">
            <v>1</v>
          </cell>
        </row>
        <row r="1048">
          <cell r="D1048" t="str">
            <v>S0003489</v>
          </cell>
          <cell r="F1048">
            <v>25</v>
          </cell>
        </row>
        <row r="1049">
          <cell r="D1049" t="str">
            <v>S0003482</v>
          </cell>
          <cell r="F1049">
            <v>50</v>
          </cell>
        </row>
        <row r="1050">
          <cell r="D1050" t="str">
            <v>S0003554</v>
          </cell>
          <cell r="F1050">
            <v>25</v>
          </cell>
        </row>
        <row r="1051">
          <cell r="D1051" t="str">
            <v>S1300131</v>
          </cell>
          <cell r="F1051">
            <v>1000</v>
          </cell>
        </row>
        <row r="1052">
          <cell r="D1052" t="str">
            <v>X0001</v>
          </cell>
          <cell r="F1052">
            <v>1</v>
          </cell>
        </row>
        <row r="1053">
          <cell r="D1053" t="str">
            <v>U365100</v>
          </cell>
          <cell r="F1053">
            <v>6</v>
          </cell>
        </row>
        <row r="1054">
          <cell r="D1054" t="str">
            <v>X0001</v>
          </cell>
          <cell r="F1054">
            <v>1</v>
          </cell>
        </row>
        <row r="1055">
          <cell r="D1055" t="str">
            <v>X0001</v>
          </cell>
          <cell r="F1055">
            <v>1</v>
          </cell>
        </row>
        <row r="1056">
          <cell r="D1056" t="str">
            <v>S0000209</v>
          </cell>
          <cell r="F1056">
            <v>29</v>
          </cell>
        </row>
        <row r="1057">
          <cell r="D1057" t="str">
            <v>S0000208</v>
          </cell>
          <cell r="F1057">
            <v>32</v>
          </cell>
        </row>
        <row r="1058">
          <cell r="D1058" t="str">
            <v>S0000221</v>
          </cell>
          <cell r="F1058">
            <v>14</v>
          </cell>
        </row>
        <row r="1059">
          <cell r="D1059" t="str">
            <v>S0145720</v>
          </cell>
          <cell r="F1059">
            <v>20</v>
          </cell>
        </row>
        <row r="1060">
          <cell r="D1060" t="str">
            <v>S0145700</v>
          </cell>
          <cell r="F1060">
            <v>20</v>
          </cell>
        </row>
        <row r="1061">
          <cell r="D1061" t="str">
            <v>S0145710</v>
          </cell>
          <cell r="F1061">
            <v>10</v>
          </cell>
        </row>
        <row r="1062">
          <cell r="D1062" t="str">
            <v>X0001</v>
          </cell>
          <cell r="F1062">
            <v>1</v>
          </cell>
        </row>
        <row r="1063">
          <cell r="D1063" t="str">
            <v>S0145620</v>
          </cell>
          <cell r="F1063">
            <v>150</v>
          </cell>
        </row>
        <row r="1064">
          <cell r="D1064" t="str">
            <v>~0010001</v>
          </cell>
          <cell r="F1064">
            <v>2</v>
          </cell>
        </row>
        <row r="1065">
          <cell r="D1065" t="str">
            <v>~0010001</v>
          </cell>
          <cell r="F1065">
            <v>1</v>
          </cell>
        </row>
        <row r="1066">
          <cell r="D1066" t="str">
            <v>~0010001</v>
          </cell>
          <cell r="F1066">
            <v>1</v>
          </cell>
        </row>
        <row r="1067">
          <cell r="D1067" t="str">
            <v>~0010001</v>
          </cell>
          <cell r="F1067">
            <v>3</v>
          </cell>
        </row>
        <row r="1068">
          <cell r="D1068" t="str">
            <v>X0001</v>
          </cell>
          <cell r="F1068">
            <v>1</v>
          </cell>
        </row>
        <row r="1069">
          <cell r="D1069" t="str">
            <v>S0003403</v>
          </cell>
          <cell r="F1069">
            <v>65</v>
          </cell>
        </row>
        <row r="1070">
          <cell r="D1070" t="str">
            <v>S0003407</v>
          </cell>
          <cell r="F1070">
            <v>23</v>
          </cell>
        </row>
        <row r="1071">
          <cell r="D1071" t="str">
            <v>S0003417</v>
          </cell>
          <cell r="F1071">
            <v>31</v>
          </cell>
        </row>
        <row r="1072">
          <cell r="D1072" t="str">
            <v>X0001</v>
          </cell>
          <cell r="F1072">
            <v>1</v>
          </cell>
        </row>
        <row r="1073">
          <cell r="D1073" t="str">
            <v>S1506002</v>
          </cell>
          <cell r="F1073">
            <v>20</v>
          </cell>
        </row>
        <row r="1074">
          <cell r="D1074" t="str">
            <v>S1521015</v>
          </cell>
          <cell r="F1074">
            <v>80</v>
          </cell>
        </row>
        <row r="1075">
          <cell r="D1075" t="str">
            <v>S1555370</v>
          </cell>
          <cell r="F1075">
            <v>40</v>
          </cell>
        </row>
        <row r="1076">
          <cell r="D1076" t="str">
            <v>S1505055</v>
          </cell>
          <cell r="F1076">
            <v>46</v>
          </cell>
        </row>
        <row r="1077">
          <cell r="D1077" t="str">
            <v>S1559005</v>
          </cell>
          <cell r="F1077">
            <v>46</v>
          </cell>
        </row>
        <row r="1078">
          <cell r="D1078" t="str">
            <v>S1519500</v>
          </cell>
          <cell r="F1078">
            <v>200</v>
          </cell>
        </row>
        <row r="1079">
          <cell r="D1079" t="str">
            <v>S1552225</v>
          </cell>
          <cell r="F1079">
            <v>400</v>
          </cell>
        </row>
        <row r="1080">
          <cell r="D1080" t="str">
            <v>S1523000</v>
          </cell>
          <cell r="F1080">
            <v>200</v>
          </cell>
        </row>
        <row r="1081">
          <cell r="D1081" t="str">
            <v>S1531002</v>
          </cell>
          <cell r="F1081">
            <v>66</v>
          </cell>
        </row>
        <row r="1082">
          <cell r="D1082" t="str">
            <v>X0001</v>
          </cell>
          <cell r="F1082">
            <v>1</v>
          </cell>
        </row>
        <row r="1083">
          <cell r="D1083" t="str">
            <v>S1531005</v>
          </cell>
          <cell r="F1083">
            <v>230</v>
          </cell>
        </row>
        <row r="1084">
          <cell r="D1084" t="str">
            <v>S1531030</v>
          </cell>
          <cell r="F1084">
            <v>200</v>
          </cell>
        </row>
        <row r="1085">
          <cell r="D1085" t="str">
            <v>S1531000</v>
          </cell>
          <cell r="F1085">
            <v>20</v>
          </cell>
        </row>
        <row r="1086">
          <cell r="D1086" t="str">
            <v>S1555710</v>
          </cell>
          <cell r="F1086">
            <v>460</v>
          </cell>
        </row>
        <row r="1087">
          <cell r="D1087" t="str">
            <v>S1537300</v>
          </cell>
          <cell r="F1087">
            <v>20</v>
          </cell>
        </row>
        <row r="1088">
          <cell r="D1088" t="str">
            <v>S1505050</v>
          </cell>
          <cell r="F1088">
            <v>100</v>
          </cell>
        </row>
        <row r="1089">
          <cell r="D1089" t="str">
            <v>S1555945</v>
          </cell>
          <cell r="F1089">
            <v>130</v>
          </cell>
        </row>
        <row r="1090">
          <cell r="D1090" t="str">
            <v>S1543625</v>
          </cell>
          <cell r="F1090">
            <v>40</v>
          </cell>
        </row>
        <row r="1091">
          <cell r="D1091" t="str">
            <v>S1544400</v>
          </cell>
          <cell r="F1091">
            <v>46</v>
          </cell>
        </row>
        <row r="1092">
          <cell r="D1092" t="str">
            <v>S0521425</v>
          </cell>
          <cell r="F1092">
            <v>138</v>
          </cell>
        </row>
        <row r="1093">
          <cell r="D1093" t="str">
            <v>S1546315</v>
          </cell>
          <cell r="F1093">
            <v>152</v>
          </cell>
        </row>
        <row r="1094">
          <cell r="D1094" t="str">
            <v>S1550000</v>
          </cell>
          <cell r="F1094">
            <v>20</v>
          </cell>
        </row>
        <row r="1095">
          <cell r="D1095" t="str">
            <v>S1555410</v>
          </cell>
          <cell r="F1095">
            <v>40</v>
          </cell>
        </row>
        <row r="1096">
          <cell r="D1096" t="str">
            <v>S1550500</v>
          </cell>
          <cell r="F1096">
            <v>20</v>
          </cell>
        </row>
        <row r="1097">
          <cell r="D1097" t="str">
            <v>S1551960</v>
          </cell>
          <cell r="F1097">
            <v>20</v>
          </cell>
        </row>
        <row r="1098">
          <cell r="D1098" t="str">
            <v>S1552500</v>
          </cell>
          <cell r="F1098">
            <v>400</v>
          </cell>
        </row>
        <row r="1099">
          <cell r="D1099" t="str">
            <v>S1553010</v>
          </cell>
          <cell r="F1099">
            <v>126</v>
          </cell>
        </row>
        <row r="1100">
          <cell r="D1100" t="str">
            <v>S1504015</v>
          </cell>
          <cell r="F1100">
            <v>20</v>
          </cell>
        </row>
        <row r="1101">
          <cell r="D1101" t="str">
            <v>S1504200</v>
          </cell>
          <cell r="F1101">
            <v>20</v>
          </cell>
        </row>
        <row r="1102">
          <cell r="D1102" t="str">
            <v>S1504010</v>
          </cell>
          <cell r="F1102">
            <v>20</v>
          </cell>
        </row>
        <row r="1103">
          <cell r="D1103" t="str">
            <v>S1555650</v>
          </cell>
          <cell r="F1103">
            <v>46</v>
          </cell>
        </row>
        <row r="1104">
          <cell r="D1104" t="str">
            <v>S1555940</v>
          </cell>
          <cell r="F1104">
            <v>20</v>
          </cell>
        </row>
        <row r="1105">
          <cell r="D1105" t="str">
            <v>S1515060</v>
          </cell>
          <cell r="F1105">
            <v>400</v>
          </cell>
        </row>
        <row r="1106">
          <cell r="D1106" t="str">
            <v>S1580100</v>
          </cell>
          <cell r="F1106">
            <v>20</v>
          </cell>
        </row>
        <row r="1107">
          <cell r="D1107" t="str">
            <v>S1555930</v>
          </cell>
          <cell r="F1107">
            <v>600</v>
          </cell>
        </row>
        <row r="1108">
          <cell r="D1108" t="str">
            <v>S1561121</v>
          </cell>
          <cell r="F1108">
            <v>20</v>
          </cell>
        </row>
        <row r="1109">
          <cell r="D1109" t="str">
            <v>S1555965</v>
          </cell>
          <cell r="F1109">
            <v>46</v>
          </cell>
        </row>
        <row r="1110">
          <cell r="D1110" t="str">
            <v>S1559305</v>
          </cell>
          <cell r="F1110">
            <v>20</v>
          </cell>
        </row>
        <row r="1111">
          <cell r="D1111" t="str">
            <v>S1560678</v>
          </cell>
          <cell r="F1111">
            <v>26</v>
          </cell>
        </row>
        <row r="1112">
          <cell r="D1112" t="str">
            <v>S1553105</v>
          </cell>
          <cell r="F1112">
            <v>200</v>
          </cell>
        </row>
        <row r="1113">
          <cell r="D1113" t="str">
            <v>S1560310</v>
          </cell>
          <cell r="F1113">
            <v>20</v>
          </cell>
        </row>
        <row r="1114">
          <cell r="D1114" t="str">
            <v>S1559200</v>
          </cell>
          <cell r="F1114">
            <v>20</v>
          </cell>
        </row>
        <row r="1115">
          <cell r="D1115" t="str">
            <v>S1562020</v>
          </cell>
          <cell r="F1115">
            <v>200</v>
          </cell>
        </row>
        <row r="1116">
          <cell r="D1116" t="str">
            <v>S1537120</v>
          </cell>
          <cell r="F1116">
            <v>800</v>
          </cell>
        </row>
        <row r="1117">
          <cell r="D1117" t="str">
            <v>S1537150</v>
          </cell>
          <cell r="F1117">
            <v>320</v>
          </cell>
        </row>
        <row r="1118">
          <cell r="D1118" t="str">
            <v>S1537130</v>
          </cell>
          <cell r="F1118">
            <v>240</v>
          </cell>
        </row>
        <row r="1119">
          <cell r="D1119" t="str">
            <v>S1510000</v>
          </cell>
          <cell r="F1119">
            <v>460</v>
          </cell>
        </row>
        <row r="1120">
          <cell r="D1120" t="str">
            <v>S1543803</v>
          </cell>
          <cell r="F1120">
            <v>158</v>
          </cell>
        </row>
        <row r="1121">
          <cell r="D1121" t="str">
            <v>S1505051</v>
          </cell>
          <cell r="F1121">
            <v>60</v>
          </cell>
        </row>
        <row r="1122">
          <cell r="D1122" t="str">
            <v>S1555990</v>
          </cell>
          <cell r="F1122">
            <v>60</v>
          </cell>
        </row>
        <row r="1123">
          <cell r="D1123" t="str">
            <v>S1515020</v>
          </cell>
          <cell r="F1123">
            <v>400</v>
          </cell>
        </row>
        <row r="1124">
          <cell r="D1124" t="str">
            <v>U330000</v>
          </cell>
          <cell r="F1124">
            <v>120000</v>
          </cell>
        </row>
        <row r="1125">
          <cell r="D1125" t="str">
            <v>~0010051</v>
          </cell>
          <cell r="F1125">
            <v>0</v>
          </cell>
        </row>
        <row r="1126">
          <cell r="F1126">
            <v>0</v>
          </cell>
        </row>
        <row r="1127">
          <cell r="F1127">
            <v>0</v>
          </cell>
        </row>
        <row r="1128">
          <cell r="F1128">
            <v>0</v>
          </cell>
        </row>
        <row r="1129">
          <cell r="F1129">
            <v>0</v>
          </cell>
        </row>
        <row r="1130">
          <cell r="F1130">
            <v>0</v>
          </cell>
        </row>
        <row r="1131">
          <cell r="D1131" t="str">
            <v>~0010048</v>
          </cell>
          <cell r="F1131">
            <v>25</v>
          </cell>
        </row>
        <row r="1132">
          <cell r="D1132" t="str">
            <v>~0010048</v>
          </cell>
          <cell r="F1132">
            <v>25</v>
          </cell>
        </row>
        <row r="1133">
          <cell r="D1133" t="str">
            <v>~0010048</v>
          </cell>
          <cell r="F1133">
            <v>25</v>
          </cell>
        </row>
        <row r="1134">
          <cell r="D1134" t="str">
            <v>~0010287</v>
          </cell>
          <cell r="F1134">
            <v>50</v>
          </cell>
        </row>
        <row r="1135">
          <cell r="D1135" t="str">
            <v>~0010287</v>
          </cell>
          <cell r="F1135">
            <v>4</v>
          </cell>
        </row>
        <row r="1136">
          <cell r="D1136" t="str">
            <v>~0010287</v>
          </cell>
          <cell r="F1136">
            <v>4</v>
          </cell>
        </row>
        <row r="1137">
          <cell r="D1137" t="str">
            <v>~0010287</v>
          </cell>
          <cell r="F1137">
            <v>4</v>
          </cell>
        </row>
        <row r="1138">
          <cell r="D1138" t="str">
            <v>~0010287</v>
          </cell>
          <cell r="F1138">
            <v>4</v>
          </cell>
        </row>
        <row r="1139">
          <cell r="D1139" t="str">
            <v>~0010287</v>
          </cell>
          <cell r="F1139">
            <v>25</v>
          </cell>
        </row>
        <row r="1140">
          <cell r="D1140" t="str">
            <v>~0010047</v>
          </cell>
          <cell r="F1140">
            <v>2</v>
          </cell>
        </row>
        <row r="1141">
          <cell r="D1141" t="str">
            <v>~0010047</v>
          </cell>
          <cell r="F1141">
            <v>2</v>
          </cell>
        </row>
        <row r="1142">
          <cell r="D1142" t="str">
            <v>~0010047</v>
          </cell>
          <cell r="F1142">
            <v>3</v>
          </cell>
        </row>
        <row r="1143">
          <cell r="D1143" t="str">
            <v>~0010047</v>
          </cell>
          <cell r="F1143">
            <v>3</v>
          </cell>
        </row>
        <row r="1144">
          <cell r="D1144" t="str">
            <v>~0010047</v>
          </cell>
          <cell r="F1144">
            <v>3</v>
          </cell>
        </row>
        <row r="1145">
          <cell r="D1145" t="str">
            <v>~0010047</v>
          </cell>
          <cell r="F1145">
            <v>1</v>
          </cell>
        </row>
        <row r="1146">
          <cell r="D1146" t="str">
            <v>~0010047</v>
          </cell>
          <cell r="F1146">
            <v>1</v>
          </cell>
        </row>
        <row r="1147">
          <cell r="D1147" t="str">
            <v>~0010047</v>
          </cell>
          <cell r="F1147">
            <v>6</v>
          </cell>
        </row>
        <row r="1148">
          <cell r="D1148" t="str">
            <v>~0010047</v>
          </cell>
          <cell r="F1148">
            <v>3</v>
          </cell>
        </row>
        <row r="1149">
          <cell r="D1149" t="str">
            <v>~0010047</v>
          </cell>
          <cell r="F1149">
            <v>6</v>
          </cell>
        </row>
        <row r="1150">
          <cell r="D1150" t="str">
            <v>~0010048</v>
          </cell>
          <cell r="F1150">
            <v>6</v>
          </cell>
        </row>
        <row r="1151">
          <cell r="D1151" t="str">
            <v>~0010048</v>
          </cell>
          <cell r="F1151">
            <v>6</v>
          </cell>
        </row>
        <row r="1152">
          <cell r="D1152" t="str">
            <v>~0010051</v>
          </cell>
          <cell r="F1152">
            <v>2</v>
          </cell>
        </row>
        <row r="1153">
          <cell r="D1153" t="str">
            <v>X0001</v>
          </cell>
          <cell r="F1153">
            <v>0</v>
          </cell>
        </row>
        <row r="1154">
          <cell r="F1154">
            <v>1</v>
          </cell>
        </row>
        <row r="1155">
          <cell r="D1155" t="str">
            <v>~0010051</v>
          </cell>
          <cell r="F1155">
            <v>2</v>
          </cell>
        </row>
        <row r="1156">
          <cell r="D1156" t="str">
            <v>~0010051</v>
          </cell>
          <cell r="F1156">
            <v>1</v>
          </cell>
        </row>
        <row r="1157">
          <cell r="D1157" t="str">
            <v>~0010051</v>
          </cell>
          <cell r="F1157">
            <v>1</v>
          </cell>
        </row>
        <row r="1158">
          <cell r="D1158" t="str">
            <v>~0010051</v>
          </cell>
          <cell r="F1158">
            <v>1</v>
          </cell>
        </row>
        <row r="1159">
          <cell r="D1159" t="str">
            <v>~0010051</v>
          </cell>
          <cell r="F1159">
            <v>3</v>
          </cell>
        </row>
        <row r="1160">
          <cell r="D1160" t="str">
            <v>~0010051</v>
          </cell>
          <cell r="F1160">
            <v>3</v>
          </cell>
        </row>
        <row r="1161">
          <cell r="D1161" t="str">
            <v>~0010051</v>
          </cell>
          <cell r="F1161">
            <v>3</v>
          </cell>
        </row>
        <row r="1162">
          <cell r="D1162" t="str">
            <v>~0010049</v>
          </cell>
          <cell r="F1162">
            <v>3</v>
          </cell>
        </row>
        <row r="1163">
          <cell r="D1163" t="str">
            <v>~0010001</v>
          </cell>
          <cell r="F1163">
            <v>0</v>
          </cell>
        </row>
        <row r="1164">
          <cell r="F1164">
            <v>0</v>
          </cell>
        </row>
        <row r="1165">
          <cell r="D1165" t="str">
            <v>X0001</v>
          </cell>
          <cell r="F1165">
            <v>1</v>
          </cell>
        </row>
        <row r="1166">
          <cell r="D1166" t="str">
            <v>~0010000</v>
          </cell>
          <cell r="F1166">
            <v>1</v>
          </cell>
        </row>
        <row r="1167">
          <cell r="D1167" t="str">
            <v>~0010052</v>
          </cell>
          <cell r="F1167">
            <v>1</v>
          </cell>
        </row>
        <row r="1168">
          <cell r="D1168" t="str">
            <v>U421231</v>
          </cell>
          <cell r="F1168">
            <v>0</v>
          </cell>
        </row>
        <row r="1169">
          <cell r="D1169" t="str">
            <v>S0000453</v>
          </cell>
          <cell r="F1169">
            <v>250</v>
          </cell>
        </row>
        <row r="1170">
          <cell r="D1170" t="str">
            <v>X0001</v>
          </cell>
          <cell r="F1170">
            <v>1</v>
          </cell>
        </row>
        <row r="1171">
          <cell r="D1171" t="str">
            <v>S0330011</v>
          </cell>
          <cell r="F1171">
            <v>106</v>
          </cell>
        </row>
        <row r="1172">
          <cell r="D1172" t="str">
            <v>S0782208</v>
          </cell>
          <cell r="F1172">
            <v>16</v>
          </cell>
        </row>
        <row r="1173">
          <cell r="D1173" t="str">
            <v>S0503010</v>
          </cell>
          <cell r="F1173">
            <v>320</v>
          </cell>
        </row>
        <row r="1174">
          <cell r="D1174" t="str">
            <v>S0519600</v>
          </cell>
          <cell r="F1174">
            <v>320</v>
          </cell>
        </row>
        <row r="1175">
          <cell r="D1175" t="str">
            <v>S0747432</v>
          </cell>
          <cell r="F1175">
            <v>37</v>
          </cell>
        </row>
        <row r="1176">
          <cell r="D1176" t="str">
            <v>S0782405</v>
          </cell>
          <cell r="F1176">
            <v>37</v>
          </cell>
        </row>
        <row r="1177">
          <cell r="D1177" t="str">
            <v>S0531996</v>
          </cell>
          <cell r="F1177">
            <v>21</v>
          </cell>
        </row>
        <row r="1178">
          <cell r="D1178" t="str">
            <v>S1531505</v>
          </cell>
          <cell r="F1178">
            <v>132</v>
          </cell>
        </row>
        <row r="1179">
          <cell r="D1179" t="str">
            <v>X0001</v>
          </cell>
          <cell r="F1179">
            <v>1</v>
          </cell>
        </row>
        <row r="1180">
          <cell r="D1180" t="str">
            <v>~0010000</v>
          </cell>
          <cell r="F1180">
            <v>0</v>
          </cell>
        </row>
        <row r="1181">
          <cell r="D1181" t="str">
            <v>~0010001</v>
          </cell>
          <cell r="F1181">
            <v>0</v>
          </cell>
        </row>
        <row r="1182">
          <cell r="F1182">
            <v>0</v>
          </cell>
        </row>
        <row r="1183">
          <cell r="F1183">
            <v>0</v>
          </cell>
        </row>
        <row r="1184">
          <cell r="D1184" t="str">
            <v>~0010003</v>
          </cell>
          <cell r="F1184">
            <v>0</v>
          </cell>
        </row>
        <row r="1185">
          <cell r="F1185">
            <v>0</v>
          </cell>
        </row>
        <row r="1186">
          <cell r="F1186">
            <v>0</v>
          </cell>
        </row>
        <row r="1187">
          <cell r="D1187" t="str">
            <v>~0010004</v>
          </cell>
          <cell r="F1187">
            <v>0</v>
          </cell>
        </row>
        <row r="1188">
          <cell r="D1188" t="str">
            <v>~0010006</v>
          </cell>
          <cell r="F1188">
            <v>0</v>
          </cell>
        </row>
        <row r="1189">
          <cell r="D1189" t="str">
            <v>~0010004</v>
          </cell>
          <cell r="F1189">
            <v>1</v>
          </cell>
        </row>
        <row r="1190">
          <cell r="D1190" t="str">
            <v>~0010000</v>
          </cell>
          <cell r="F1190">
            <v>2</v>
          </cell>
        </row>
        <row r="1191">
          <cell r="D1191" t="str">
            <v>~0010003</v>
          </cell>
          <cell r="F1191">
            <v>1</v>
          </cell>
        </row>
        <row r="1192">
          <cell r="D1192" t="str">
            <v>X0001</v>
          </cell>
          <cell r="F1192">
            <v>1</v>
          </cell>
        </row>
        <row r="1193">
          <cell r="D1193" t="str">
            <v>U449200</v>
          </cell>
          <cell r="F1193">
            <v>5</v>
          </cell>
        </row>
        <row r="1194">
          <cell r="D1194" t="str">
            <v>U452110</v>
          </cell>
          <cell r="F1194">
            <v>5</v>
          </cell>
        </row>
        <row r="1195">
          <cell r="D1195" t="str">
            <v>U454200</v>
          </cell>
          <cell r="F1195">
            <v>5</v>
          </cell>
        </row>
        <row r="1196">
          <cell r="D1196" t="str">
            <v>U452150</v>
          </cell>
          <cell r="F1196">
            <v>5</v>
          </cell>
        </row>
        <row r="1197">
          <cell r="D1197" t="str">
            <v>U458010</v>
          </cell>
          <cell r="F1197">
            <v>20</v>
          </cell>
        </row>
        <row r="1198">
          <cell r="D1198" t="str">
            <v>U458010</v>
          </cell>
          <cell r="F1198">
            <v>1</v>
          </cell>
        </row>
        <row r="1199">
          <cell r="D1199" t="str">
            <v>U449200</v>
          </cell>
          <cell r="F1199">
            <v>2</v>
          </cell>
        </row>
        <row r="1200">
          <cell r="D1200" t="str">
            <v>S5006018</v>
          </cell>
          <cell r="F1200">
            <v>5</v>
          </cell>
        </row>
        <row r="1201">
          <cell r="D1201" t="str">
            <v>X0001</v>
          </cell>
          <cell r="F1201">
            <v>1</v>
          </cell>
        </row>
        <row r="1202">
          <cell r="D1202" t="str">
            <v>S0005831</v>
          </cell>
          <cell r="F1202">
            <v>1</v>
          </cell>
        </row>
        <row r="1203">
          <cell r="D1203" t="str">
            <v>S9906772</v>
          </cell>
          <cell r="F1203">
            <v>9</v>
          </cell>
        </row>
        <row r="1204">
          <cell r="D1204" t="str">
            <v>S9906773</v>
          </cell>
          <cell r="F1204">
            <v>9</v>
          </cell>
        </row>
        <row r="1205">
          <cell r="D1205" t="str">
            <v>S9902218</v>
          </cell>
          <cell r="F1205">
            <v>9</v>
          </cell>
        </row>
        <row r="1206">
          <cell r="D1206" t="str">
            <v>X0001</v>
          </cell>
          <cell r="F1206">
            <v>1</v>
          </cell>
        </row>
        <row r="1207">
          <cell r="D1207" t="str">
            <v>U482130</v>
          </cell>
          <cell r="F1207">
            <v>3</v>
          </cell>
        </row>
        <row r="1208">
          <cell r="D1208" t="str">
            <v>U482820</v>
          </cell>
          <cell r="F1208">
            <v>3</v>
          </cell>
        </row>
        <row r="1209">
          <cell r="D1209" t="str">
            <v>X0001</v>
          </cell>
          <cell r="F1209">
            <v>1</v>
          </cell>
        </row>
        <row r="1210">
          <cell r="D1210" t="str">
            <v>S0005833</v>
          </cell>
          <cell r="F1210">
            <v>10</v>
          </cell>
        </row>
        <row r="1211">
          <cell r="D1211" t="str">
            <v>X0001</v>
          </cell>
          <cell r="F1211">
            <v>1</v>
          </cell>
        </row>
        <row r="1212">
          <cell r="D1212" t="str">
            <v>U449200</v>
          </cell>
          <cell r="F1212">
            <v>1</v>
          </cell>
        </row>
        <row r="1213">
          <cell r="D1213" t="str">
            <v>U452110</v>
          </cell>
          <cell r="F1213">
            <v>2</v>
          </cell>
        </row>
        <row r="1214">
          <cell r="D1214" t="str">
            <v>U454200</v>
          </cell>
          <cell r="F1214">
            <v>1</v>
          </cell>
        </row>
        <row r="1215">
          <cell r="D1215" t="str">
            <v>U452150</v>
          </cell>
          <cell r="F1215">
            <v>1</v>
          </cell>
        </row>
        <row r="1216">
          <cell r="D1216" t="str">
            <v>U458010</v>
          </cell>
          <cell r="F1216">
            <v>1</v>
          </cell>
        </row>
        <row r="1217">
          <cell r="D1217" t="str">
            <v>U447462</v>
          </cell>
          <cell r="F1217">
            <v>2466000</v>
          </cell>
        </row>
        <row r="1218">
          <cell r="D1218" t="str">
            <v>X0001</v>
          </cell>
          <cell r="F1218">
            <v>1</v>
          </cell>
        </row>
        <row r="1219">
          <cell r="D1219" t="str">
            <v>U429182</v>
          </cell>
          <cell r="F1219">
            <v>1208</v>
          </cell>
        </row>
        <row r="1220">
          <cell r="D1220" t="str">
            <v>U239970</v>
          </cell>
          <cell r="F1220">
            <v>431710</v>
          </cell>
        </row>
        <row r="1221">
          <cell r="D1221" t="str">
            <v>S1561121</v>
          </cell>
          <cell r="F1221">
            <v>850</v>
          </cell>
        </row>
        <row r="1222">
          <cell r="D1222" t="str">
            <v>X0001</v>
          </cell>
          <cell r="F1222">
            <v>1</v>
          </cell>
        </row>
        <row r="1223">
          <cell r="D1223" t="str">
            <v>S0002016</v>
          </cell>
          <cell r="F1223">
            <v>0</v>
          </cell>
        </row>
        <row r="1224">
          <cell r="D1224" t="str">
            <v>S0782156</v>
          </cell>
          <cell r="F1224">
            <v>6000</v>
          </cell>
        </row>
        <row r="1225">
          <cell r="D1225" t="str">
            <v>S0782208</v>
          </cell>
          <cell r="F1225">
            <v>500</v>
          </cell>
        </row>
        <row r="1226">
          <cell r="D1226" t="str">
            <v>X0001</v>
          </cell>
          <cell r="F1226">
            <v>1</v>
          </cell>
        </row>
        <row r="1227">
          <cell r="D1227" t="str">
            <v>S0782300</v>
          </cell>
          <cell r="F1227">
            <v>150</v>
          </cell>
        </row>
        <row r="1228">
          <cell r="D1228" t="str">
            <v>S359153</v>
          </cell>
          <cell r="F1228">
            <v>26000</v>
          </cell>
        </row>
        <row r="1229">
          <cell r="D1229" t="str">
            <v>S359123</v>
          </cell>
          <cell r="F1229">
            <v>8500</v>
          </cell>
        </row>
        <row r="1230">
          <cell r="D1230" t="str">
            <v>S0359163</v>
          </cell>
          <cell r="F1230">
            <v>25000</v>
          </cell>
        </row>
        <row r="1231">
          <cell r="D1231" t="str">
            <v>X0001</v>
          </cell>
          <cell r="F1231">
            <v>1</v>
          </cell>
        </row>
        <row r="1232">
          <cell r="D1232" t="str">
            <v>U210001</v>
          </cell>
          <cell r="F1232">
            <v>18000</v>
          </cell>
        </row>
        <row r="1233">
          <cell r="D1233" t="str">
            <v>U210002</v>
          </cell>
          <cell r="F1233">
            <v>40000</v>
          </cell>
        </row>
        <row r="1234">
          <cell r="D1234" t="str">
            <v>X0001</v>
          </cell>
          <cell r="F1234">
            <v>1</v>
          </cell>
        </row>
        <row r="1235">
          <cell r="D1235" t="str">
            <v>~0010006</v>
          </cell>
          <cell r="F1235">
            <v>10</v>
          </cell>
        </row>
        <row r="1236">
          <cell r="D1236" t="str">
            <v>X0001</v>
          </cell>
          <cell r="F1236">
            <v>1</v>
          </cell>
        </row>
        <row r="1237">
          <cell r="D1237" t="str">
            <v>~0010006</v>
          </cell>
          <cell r="F1237">
            <v>10</v>
          </cell>
        </row>
        <row r="1238">
          <cell r="D1238" t="str">
            <v>U461340</v>
          </cell>
          <cell r="F1238">
            <v>0</v>
          </cell>
        </row>
        <row r="1239">
          <cell r="D1239" t="str">
            <v>X0001</v>
          </cell>
          <cell r="F1239">
            <v>0</v>
          </cell>
        </row>
        <row r="1240">
          <cell r="D1240" t="str">
            <v>S1588345</v>
          </cell>
          <cell r="F1240">
            <v>5</v>
          </cell>
        </row>
        <row r="1241">
          <cell r="D1241" t="str">
            <v>X0001</v>
          </cell>
          <cell r="F1241">
            <v>1</v>
          </cell>
        </row>
        <row r="1242">
          <cell r="D1242" t="str">
            <v>U369511</v>
          </cell>
          <cell r="F1242">
            <v>16000</v>
          </cell>
        </row>
        <row r="1243">
          <cell r="D1243" t="str">
            <v>U369511</v>
          </cell>
          <cell r="F1243">
            <v>16000</v>
          </cell>
        </row>
        <row r="1244">
          <cell r="D1244" t="str">
            <v>S0005834</v>
          </cell>
          <cell r="F1244">
            <v>8</v>
          </cell>
        </row>
        <row r="1245">
          <cell r="D1245" t="str">
            <v>X0001</v>
          </cell>
          <cell r="F1245">
            <v>1</v>
          </cell>
        </row>
        <row r="1246">
          <cell r="D1246" t="str">
            <v>~0010135</v>
          </cell>
          <cell r="F1246">
            <v>0</v>
          </cell>
        </row>
        <row r="1247">
          <cell r="D1247" t="str">
            <v>~0010136</v>
          </cell>
          <cell r="F1247">
            <v>0</v>
          </cell>
        </row>
        <row r="1248">
          <cell r="D1248" t="str">
            <v>~0010142</v>
          </cell>
          <cell r="F1248">
            <v>0</v>
          </cell>
        </row>
        <row r="1249">
          <cell r="D1249" t="str">
            <v>~0010143</v>
          </cell>
          <cell r="F1249">
            <v>0</v>
          </cell>
        </row>
        <row r="1250">
          <cell r="D1250" t="str">
            <v>~0010145</v>
          </cell>
          <cell r="F1250">
            <v>0</v>
          </cell>
        </row>
        <row r="1251">
          <cell r="D1251" t="str">
            <v>~0010146</v>
          </cell>
          <cell r="F1251">
            <v>0</v>
          </cell>
        </row>
        <row r="1252">
          <cell r="D1252" t="str">
            <v>~0010149</v>
          </cell>
          <cell r="F1252">
            <v>0</v>
          </cell>
        </row>
        <row r="1253">
          <cell r="D1253" t="str">
            <v>~0010150</v>
          </cell>
          <cell r="F1253">
            <v>0</v>
          </cell>
        </row>
        <row r="1254">
          <cell r="D1254" t="str">
            <v>~0010151</v>
          </cell>
          <cell r="F1254">
            <v>0</v>
          </cell>
        </row>
        <row r="1255">
          <cell r="D1255" t="str">
            <v>~0010152</v>
          </cell>
          <cell r="F1255">
            <v>0</v>
          </cell>
        </row>
        <row r="1256">
          <cell r="D1256" t="str">
            <v>~0010155</v>
          </cell>
          <cell r="F1256">
            <v>0</v>
          </cell>
        </row>
        <row r="1257">
          <cell r="D1257" t="str">
            <v>~0010156</v>
          </cell>
          <cell r="F1257">
            <v>0</v>
          </cell>
        </row>
        <row r="1258">
          <cell r="D1258" t="str">
            <v>~0010159</v>
          </cell>
          <cell r="F1258">
            <v>0</v>
          </cell>
        </row>
        <row r="1259">
          <cell r="D1259" t="str">
            <v>X0001</v>
          </cell>
          <cell r="F1259">
            <v>0</v>
          </cell>
        </row>
        <row r="1260">
          <cell r="D1260" t="str">
            <v>~0010135</v>
          </cell>
          <cell r="F1260">
            <v>0</v>
          </cell>
        </row>
        <row r="1261">
          <cell r="D1261" t="str">
            <v>~0010136</v>
          </cell>
          <cell r="F1261">
            <v>0</v>
          </cell>
        </row>
        <row r="1262">
          <cell r="D1262" t="str">
            <v>~0010142</v>
          </cell>
          <cell r="F1262">
            <v>0</v>
          </cell>
        </row>
        <row r="1263">
          <cell r="D1263" t="str">
            <v>~0010143</v>
          </cell>
          <cell r="F1263">
            <v>0</v>
          </cell>
        </row>
        <row r="1264">
          <cell r="D1264" t="str">
            <v>~0010145</v>
          </cell>
          <cell r="F1264">
            <v>0</v>
          </cell>
        </row>
        <row r="1265">
          <cell r="D1265" t="str">
            <v>~0010146</v>
          </cell>
          <cell r="F1265">
            <v>0</v>
          </cell>
        </row>
        <row r="1266">
          <cell r="D1266" t="str">
            <v>~0010149</v>
          </cell>
          <cell r="F1266">
            <v>0</v>
          </cell>
        </row>
        <row r="1267">
          <cell r="D1267" t="str">
            <v>~0010150</v>
          </cell>
          <cell r="F1267">
            <v>0</v>
          </cell>
        </row>
        <row r="1268">
          <cell r="D1268" t="str">
            <v>~0010151</v>
          </cell>
          <cell r="F1268">
            <v>0</v>
          </cell>
        </row>
        <row r="1269">
          <cell r="D1269" t="str">
            <v>~0010152</v>
          </cell>
          <cell r="F1269">
            <v>0</v>
          </cell>
        </row>
        <row r="1270">
          <cell r="D1270" t="str">
            <v>~0010155</v>
          </cell>
          <cell r="F1270">
            <v>0</v>
          </cell>
        </row>
        <row r="1271">
          <cell r="D1271" t="str">
            <v>~0010156</v>
          </cell>
          <cell r="F1271">
            <v>0</v>
          </cell>
        </row>
        <row r="1272">
          <cell r="D1272" t="str">
            <v>~0010159</v>
          </cell>
          <cell r="F1272">
            <v>0</v>
          </cell>
        </row>
        <row r="1273">
          <cell r="D1273" t="str">
            <v>X0001</v>
          </cell>
          <cell r="F1273">
            <v>0</v>
          </cell>
        </row>
        <row r="1274">
          <cell r="D1274" t="str">
            <v>S1561121</v>
          </cell>
          <cell r="F1274">
            <v>3300</v>
          </cell>
        </row>
        <row r="1275">
          <cell r="D1275" t="str">
            <v>X0001</v>
          </cell>
          <cell r="F1275">
            <v>1</v>
          </cell>
        </row>
        <row r="1276">
          <cell r="D1276" t="str">
            <v>S0782111</v>
          </cell>
          <cell r="F1276">
            <v>2720</v>
          </cell>
        </row>
        <row r="1277">
          <cell r="D1277" t="str">
            <v>S0782208</v>
          </cell>
          <cell r="F1277">
            <v>900</v>
          </cell>
        </row>
        <row r="1278">
          <cell r="D1278" t="str">
            <v>X0001</v>
          </cell>
          <cell r="F1278">
            <v>1</v>
          </cell>
        </row>
        <row r="1279">
          <cell r="D1279" t="str">
            <v>S1531510</v>
          </cell>
          <cell r="F1279">
            <v>300</v>
          </cell>
        </row>
        <row r="1280">
          <cell r="D1280" t="str">
            <v>S1550025</v>
          </cell>
          <cell r="F1280">
            <v>600</v>
          </cell>
        </row>
        <row r="1281">
          <cell r="D1281" t="str">
            <v>S1555650</v>
          </cell>
          <cell r="F1281">
            <v>300</v>
          </cell>
        </row>
        <row r="1282">
          <cell r="D1282" t="str">
            <v>S0538001</v>
          </cell>
          <cell r="F1282">
            <v>300</v>
          </cell>
        </row>
        <row r="1283">
          <cell r="D1283" t="str">
            <v>S0519600</v>
          </cell>
          <cell r="F1283">
            <v>600</v>
          </cell>
        </row>
        <row r="1284">
          <cell r="D1284" t="str">
            <v>S1555965</v>
          </cell>
          <cell r="F1284">
            <v>300</v>
          </cell>
        </row>
        <row r="1285">
          <cell r="D1285" t="str">
            <v>S0544200</v>
          </cell>
          <cell r="F1285">
            <v>900</v>
          </cell>
        </row>
        <row r="1286">
          <cell r="D1286" t="str">
            <v>S1552002</v>
          </cell>
          <cell r="F1286">
            <v>300</v>
          </cell>
        </row>
        <row r="1287">
          <cell r="D1287" t="str">
            <v>S1555370</v>
          </cell>
          <cell r="F1287">
            <v>300</v>
          </cell>
        </row>
        <row r="1288">
          <cell r="D1288" t="str">
            <v>S1555978</v>
          </cell>
          <cell r="F1288">
            <v>600</v>
          </cell>
        </row>
        <row r="1289">
          <cell r="D1289" t="str">
            <v>S1506002</v>
          </cell>
          <cell r="F1289">
            <v>600</v>
          </cell>
        </row>
        <row r="1290">
          <cell r="D1290" t="str">
            <v>S1515020</v>
          </cell>
          <cell r="F1290">
            <v>900</v>
          </cell>
        </row>
        <row r="1291">
          <cell r="D1291" t="str">
            <v>S0329001</v>
          </cell>
          <cell r="F1291">
            <v>6000</v>
          </cell>
        </row>
        <row r="1292">
          <cell r="D1292" t="str">
            <v>S0538101</v>
          </cell>
          <cell r="F1292">
            <v>1200</v>
          </cell>
        </row>
        <row r="1293">
          <cell r="D1293" t="str">
            <v>S0523055</v>
          </cell>
          <cell r="F1293">
            <v>1200</v>
          </cell>
        </row>
        <row r="1294">
          <cell r="D1294" t="str">
            <v>S1537100</v>
          </cell>
          <cell r="F1294">
            <v>600</v>
          </cell>
        </row>
        <row r="1295">
          <cell r="D1295" t="str">
            <v>S0552000</v>
          </cell>
          <cell r="F1295">
            <v>3600</v>
          </cell>
        </row>
        <row r="1296">
          <cell r="D1296" t="str">
            <v>S1559080</v>
          </cell>
          <cell r="F1296">
            <v>300</v>
          </cell>
        </row>
        <row r="1297">
          <cell r="D1297" t="str">
            <v>S4460005</v>
          </cell>
          <cell r="F1297">
            <v>300</v>
          </cell>
        </row>
        <row r="1298">
          <cell r="D1298" t="str">
            <v>S0503010</v>
          </cell>
          <cell r="F1298">
            <v>1500</v>
          </cell>
        </row>
        <row r="1299">
          <cell r="D1299" t="str">
            <v>S0521425</v>
          </cell>
          <cell r="F1299">
            <v>3000</v>
          </cell>
        </row>
        <row r="1300">
          <cell r="D1300" t="str">
            <v>S1510000</v>
          </cell>
          <cell r="F1300">
            <v>15000</v>
          </cell>
        </row>
        <row r="1301">
          <cell r="D1301" t="str">
            <v>S1537115</v>
          </cell>
          <cell r="F1301">
            <v>1500</v>
          </cell>
        </row>
        <row r="1302">
          <cell r="D1302" t="str">
            <v>S0512110</v>
          </cell>
          <cell r="F1302">
            <v>15000</v>
          </cell>
        </row>
        <row r="1303">
          <cell r="D1303" t="str">
            <v>S1519500</v>
          </cell>
          <cell r="F1303">
            <v>300</v>
          </cell>
        </row>
        <row r="1304">
          <cell r="D1304" t="str">
            <v>S0481053</v>
          </cell>
          <cell r="F1304">
            <v>300</v>
          </cell>
        </row>
        <row r="1305">
          <cell r="D1305" t="str">
            <v>S1561120</v>
          </cell>
          <cell r="F1305">
            <v>1500</v>
          </cell>
        </row>
        <row r="1306">
          <cell r="D1306" t="str">
            <v>S1580020</v>
          </cell>
          <cell r="F1306">
            <v>22500</v>
          </cell>
        </row>
        <row r="1307">
          <cell r="D1307" t="str">
            <v>X0001</v>
          </cell>
          <cell r="F1307">
            <v>1</v>
          </cell>
        </row>
        <row r="1308">
          <cell r="D1308" t="str">
            <v>S1561121</v>
          </cell>
          <cell r="F1308">
            <v>300</v>
          </cell>
        </row>
        <row r="1309">
          <cell r="D1309" t="str">
            <v>S9999999</v>
          </cell>
          <cell r="F1309">
            <v>300</v>
          </cell>
        </row>
        <row r="1310">
          <cell r="D1310" t="str">
            <v>S0000293</v>
          </cell>
          <cell r="F1310">
            <v>178745</v>
          </cell>
        </row>
        <row r="1311">
          <cell r="D1311" t="str">
            <v>X0001</v>
          </cell>
          <cell r="F1311">
            <v>1</v>
          </cell>
        </row>
        <row r="1312">
          <cell r="D1312" t="str">
            <v>S4410009</v>
          </cell>
          <cell r="F1312">
            <v>1325</v>
          </cell>
        </row>
        <row r="1313">
          <cell r="D1313" t="str">
            <v>S4460005</v>
          </cell>
          <cell r="F1313">
            <v>1325</v>
          </cell>
        </row>
        <row r="1314">
          <cell r="D1314" t="str">
            <v>S4460701</v>
          </cell>
          <cell r="F1314">
            <v>1325</v>
          </cell>
        </row>
        <row r="1315">
          <cell r="D1315" t="str">
            <v>S4520110</v>
          </cell>
          <cell r="F1315">
            <v>1325</v>
          </cell>
        </row>
        <row r="1316">
          <cell r="D1316" t="str">
            <v>S4570005</v>
          </cell>
          <cell r="F1316">
            <v>1325</v>
          </cell>
        </row>
        <row r="1317">
          <cell r="D1317" t="str">
            <v>S4516510</v>
          </cell>
          <cell r="F1317">
            <v>1325</v>
          </cell>
        </row>
        <row r="1318">
          <cell r="D1318" t="str">
            <v>X0001</v>
          </cell>
          <cell r="F1318">
            <v>1</v>
          </cell>
        </row>
        <row r="1319">
          <cell r="D1319" t="str">
            <v>S9999999</v>
          </cell>
          <cell r="F1319">
            <v>1325</v>
          </cell>
        </row>
        <row r="1320">
          <cell r="D1320" t="str">
            <v>S4416510</v>
          </cell>
          <cell r="F1320">
            <v>2725</v>
          </cell>
        </row>
        <row r="1321">
          <cell r="D1321" t="str">
            <v>S4461001</v>
          </cell>
          <cell r="F1321">
            <v>2725</v>
          </cell>
        </row>
        <row r="1322">
          <cell r="D1322" t="str">
            <v>S4410009</v>
          </cell>
          <cell r="F1322">
            <v>2725</v>
          </cell>
        </row>
        <row r="1323">
          <cell r="D1323" t="str">
            <v>S4460701</v>
          </cell>
          <cell r="F1323">
            <v>2725</v>
          </cell>
        </row>
        <row r="1324">
          <cell r="D1324" t="str">
            <v>S4520110</v>
          </cell>
          <cell r="F1324">
            <v>2725</v>
          </cell>
        </row>
        <row r="1325">
          <cell r="D1325" t="str">
            <v>S2584000</v>
          </cell>
          <cell r="F1325">
            <v>2725</v>
          </cell>
        </row>
        <row r="1326">
          <cell r="D1326" t="str">
            <v>S4552010</v>
          </cell>
          <cell r="F1326">
            <v>2725</v>
          </cell>
        </row>
        <row r="1327">
          <cell r="D1327" t="str">
            <v>X0001</v>
          </cell>
          <cell r="F1327">
            <v>1</v>
          </cell>
        </row>
        <row r="1328">
          <cell r="D1328" t="str">
            <v>S9999999</v>
          </cell>
          <cell r="F1328">
            <v>2725</v>
          </cell>
        </row>
        <row r="1329">
          <cell r="D1329" t="str">
            <v>S1531510</v>
          </cell>
          <cell r="F1329">
            <v>300</v>
          </cell>
        </row>
        <row r="1330">
          <cell r="D1330" t="str">
            <v>S1550025</v>
          </cell>
          <cell r="F1330">
            <v>600</v>
          </cell>
        </row>
        <row r="1331">
          <cell r="D1331" t="str">
            <v>S1555650</v>
          </cell>
          <cell r="F1331">
            <v>300</v>
          </cell>
        </row>
        <row r="1332">
          <cell r="D1332" t="str">
            <v>S0538001</v>
          </cell>
          <cell r="F1332">
            <v>300</v>
          </cell>
        </row>
        <row r="1333">
          <cell r="D1333" t="str">
            <v>S0519600</v>
          </cell>
          <cell r="F1333">
            <v>600</v>
          </cell>
        </row>
        <row r="1334">
          <cell r="D1334" t="str">
            <v>S1555965</v>
          </cell>
          <cell r="F1334">
            <v>300</v>
          </cell>
        </row>
        <row r="1335">
          <cell r="D1335" t="str">
            <v>S0544200</v>
          </cell>
          <cell r="F1335">
            <v>900</v>
          </cell>
        </row>
        <row r="1336">
          <cell r="D1336" t="str">
            <v>S1552002</v>
          </cell>
          <cell r="F1336">
            <v>300</v>
          </cell>
        </row>
        <row r="1337">
          <cell r="D1337" t="str">
            <v>S1555370</v>
          </cell>
          <cell r="F1337">
            <v>300</v>
          </cell>
        </row>
        <row r="1338">
          <cell r="D1338" t="str">
            <v>S1555978</v>
          </cell>
          <cell r="F1338">
            <v>600</v>
          </cell>
        </row>
        <row r="1339">
          <cell r="D1339" t="str">
            <v>S1506002</v>
          </cell>
          <cell r="F1339">
            <v>600</v>
          </cell>
        </row>
        <row r="1340">
          <cell r="D1340" t="str">
            <v>S1515020</v>
          </cell>
          <cell r="F1340">
            <v>900</v>
          </cell>
        </row>
        <row r="1341">
          <cell r="D1341" t="str">
            <v>S0329001</v>
          </cell>
          <cell r="F1341">
            <v>6000</v>
          </cell>
        </row>
        <row r="1342">
          <cell r="D1342" t="str">
            <v>S0538101</v>
          </cell>
          <cell r="F1342">
            <v>1200</v>
          </cell>
        </row>
        <row r="1343">
          <cell r="D1343" t="str">
            <v>S0523055</v>
          </cell>
          <cell r="F1343">
            <v>1200</v>
          </cell>
        </row>
        <row r="1344">
          <cell r="D1344" t="str">
            <v>S1537100</v>
          </cell>
          <cell r="F1344">
            <v>600</v>
          </cell>
        </row>
        <row r="1345">
          <cell r="D1345" t="str">
            <v>S0552000</v>
          </cell>
          <cell r="F1345">
            <v>3600</v>
          </cell>
        </row>
        <row r="1346">
          <cell r="D1346" t="str">
            <v>S1559080</v>
          </cell>
          <cell r="F1346">
            <v>300</v>
          </cell>
        </row>
        <row r="1347">
          <cell r="D1347" t="str">
            <v>S4460005</v>
          </cell>
          <cell r="F1347">
            <v>300</v>
          </cell>
        </row>
        <row r="1348">
          <cell r="D1348" t="str">
            <v>S0503010</v>
          </cell>
          <cell r="F1348">
            <v>1500</v>
          </cell>
        </row>
        <row r="1349">
          <cell r="D1349" t="str">
            <v>S0521425</v>
          </cell>
          <cell r="F1349">
            <v>3000</v>
          </cell>
        </row>
        <row r="1350">
          <cell r="D1350" t="str">
            <v>S1510000</v>
          </cell>
          <cell r="F1350">
            <v>15000</v>
          </cell>
        </row>
        <row r="1351">
          <cell r="D1351" t="str">
            <v>S1537115</v>
          </cell>
          <cell r="F1351">
            <v>1500</v>
          </cell>
        </row>
        <row r="1352">
          <cell r="D1352" t="str">
            <v>S0512110</v>
          </cell>
          <cell r="F1352">
            <v>15000</v>
          </cell>
        </row>
        <row r="1353">
          <cell r="D1353" t="str">
            <v>S1519500</v>
          </cell>
          <cell r="F1353">
            <v>300</v>
          </cell>
        </row>
        <row r="1354">
          <cell r="D1354" t="str">
            <v>S0481053</v>
          </cell>
          <cell r="F1354">
            <v>300</v>
          </cell>
        </row>
        <row r="1355">
          <cell r="D1355" t="str">
            <v>S1561120</v>
          </cell>
          <cell r="F1355">
            <v>1500</v>
          </cell>
        </row>
        <row r="1356">
          <cell r="D1356" t="str">
            <v>S1580020</v>
          </cell>
          <cell r="F1356">
            <v>22500</v>
          </cell>
        </row>
        <row r="1357">
          <cell r="D1357" t="str">
            <v>S1561121</v>
          </cell>
          <cell r="F1357">
            <v>300</v>
          </cell>
        </row>
        <row r="1358">
          <cell r="D1358" t="str">
            <v>X0001</v>
          </cell>
          <cell r="F1358">
            <v>1</v>
          </cell>
        </row>
        <row r="1359">
          <cell r="D1359" t="str">
            <v>S9999999</v>
          </cell>
          <cell r="F1359">
            <v>300</v>
          </cell>
        </row>
        <row r="1360">
          <cell r="D1360" t="str">
            <v>U320000</v>
          </cell>
          <cell r="F1360">
            <v>600</v>
          </cell>
        </row>
        <row r="1361">
          <cell r="D1361" t="str">
            <v>X0001</v>
          </cell>
          <cell r="F1361">
            <v>1</v>
          </cell>
        </row>
        <row r="1362">
          <cell r="D1362" t="str">
            <v>U432000</v>
          </cell>
          <cell r="F1362">
            <v>1</v>
          </cell>
        </row>
        <row r="1363">
          <cell r="D1363" t="str">
            <v>U432000</v>
          </cell>
          <cell r="F1363">
            <v>1</v>
          </cell>
        </row>
        <row r="1364">
          <cell r="D1364" t="str">
            <v>U432000</v>
          </cell>
          <cell r="F1364">
            <v>6</v>
          </cell>
        </row>
        <row r="1365">
          <cell r="D1365" t="str">
            <v>X0001</v>
          </cell>
          <cell r="F1365">
            <v>1</v>
          </cell>
        </row>
        <row r="1366">
          <cell r="D1366" t="str">
            <v>U432000</v>
          </cell>
          <cell r="F1366">
            <v>5</v>
          </cell>
        </row>
        <row r="1367">
          <cell r="D1367" t="str">
            <v>U432000</v>
          </cell>
          <cell r="F1367">
            <v>5</v>
          </cell>
        </row>
        <row r="1368">
          <cell r="D1368" t="str">
            <v>U432000</v>
          </cell>
          <cell r="F1368">
            <v>2</v>
          </cell>
        </row>
        <row r="1369">
          <cell r="D1369" t="str">
            <v>U432000</v>
          </cell>
          <cell r="F1369">
            <v>2</v>
          </cell>
        </row>
        <row r="1370">
          <cell r="D1370" t="str">
            <v>X0001</v>
          </cell>
          <cell r="F1370">
            <v>1</v>
          </cell>
        </row>
        <row r="1371">
          <cell r="D1371" t="str">
            <v>U461340</v>
          </cell>
          <cell r="F1371">
            <v>1</v>
          </cell>
        </row>
        <row r="1372">
          <cell r="D1372" t="str">
            <v>U461340</v>
          </cell>
          <cell r="F1372">
            <v>2</v>
          </cell>
        </row>
        <row r="1373">
          <cell r="D1373" t="str">
            <v>U461340</v>
          </cell>
          <cell r="F1373">
            <v>2</v>
          </cell>
        </row>
        <row r="1374">
          <cell r="D1374" t="str">
            <v>U461340</v>
          </cell>
          <cell r="F1374">
            <v>1</v>
          </cell>
        </row>
        <row r="1375">
          <cell r="D1375" t="str">
            <v>U461340</v>
          </cell>
          <cell r="F1375">
            <v>1</v>
          </cell>
        </row>
      </sheetData>
      <sheetData sheetId="6" refreshError="1"/>
      <sheetData sheetId="7"/>
      <sheetData sheetId="8"/>
      <sheetData sheetId="9"/>
      <sheetData sheetId="10"/>
      <sheetData sheetId="11" refreshError="1"/>
      <sheetData sheetId="12" refreshError="1"/>
      <sheetData sheetId="13" refreshError="1"/>
      <sheetData sheetId="14" refreshError="1"/>
      <sheetData sheetId="1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Prog_data"/>
      <sheetName val="Index"/>
      <sheetName val="jan"/>
      <sheetName val="feb"/>
      <sheetName val="mar"/>
      <sheetName val="apr"/>
      <sheetName val="may"/>
      <sheetName val="jun"/>
      <sheetName val="jul"/>
      <sheetName val="aug"/>
      <sheetName val="sep"/>
      <sheetName val="oct"/>
      <sheetName val="nov"/>
      <sheetName val="dec"/>
      <sheetName val="Inventaire"/>
      <sheetName val="Compl_Prompt"/>
      <sheetName val="Temperatures"/>
      <sheetName val="RED"/>
      <sheetName val="CAT"/>
      <sheetName val="Indicateurs"/>
      <sheetName val="Grf_performances"/>
      <sheetName val="Grf_dispo"/>
      <sheetName val="Vaccinations"/>
      <sheetName val="Couvertures"/>
      <sheetName val="Stock_Vax"/>
      <sheetName val="Approv_Vax"/>
      <sheetName val="Stock_Inj"/>
      <sheetName val="vaccines"/>
      <sheetName val="supplies"/>
      <sheetName val="BaseEqptCdF"/>
      <sheetName val="Translation"/>
      <sheetName val="Country_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Suivi conge"/>
      <sheetName val="Event"/>
      <sheetName val="Liste"/>
      <sheetName val="Liste 2"/>
      <sheetName val="holidays"/>
      <sheetName val="Sheet2"/>
      <sheetName val="Work"/>
      <sheetName val="HELP_1"/>
      <sheetName val="HELP_2"/>
      <sheetName val="DRC Oct_Nov 2019 UNICEF OFFICE "/>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s"/>
      <sheetName val="PopBase"/>
      <sheetName val="Score2017"/>
      <sheetName val="Score2018"/>
      <sheetName val="Score2019"/>
      <sheetName val="Evenement2017"/>
      <sheetName val="Evenement2018"/>
      <sheetName val="Evenement2019"/>
      <sheetName val="Pop 2015"/>
      <sheetName val="Pop. Affec. 2017-2019"/>
      <sheetName val="IDPs Total 2016"/>
      <sheetName val="Nvx IDPs Jan-Juin2016"/>
      <sheetName val="Sheet1"/>
      <sheetName val="Retourne18Mois"/>
      <sheetName val="Nvx Retournes Jan-Juin2016"/>
      <sheetName val="Conflit Desagrege 2016"/>
      <sheetName val="Consolide-2017-2019"/>
      <sheetName val="Refugies &amp; Rapatries"/>
      <sheetName val="Protection Autres Populations"/>
      <sheetName val="Expulsé 20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travail et budget"/>
      <sheetName val="1. Budget"/>
      <sheetName val="2.Budget narratif"/>
      <sheetName val="ResultsFramework "/>
      <sheetName val="WorkPlan&amp;Budget"/>
      <sheetName val="ICE Budget detaillé "/>
      <sheetName val="ICE Budget detaillé Impression"/>
      <sheetName val="Devis rehabitat° source simple"/>
      <sheetName val="Devis amenagement d'une source"/>
      <sheetName val="Devis source+reservoir"/>
      <sheetName val="Devis rehabilitation adduction"/>
      <sheetName val="Devis porte de latrine"/>
      <sheetName val="Devis abris CPS et zone dechet"/>
      <sheetName val="Devis porte de latrine pour PSH"/>
      <sheetName val="Kit maintenance source "/>
      <sheetName val="Devis douche-porte au CS"/>
      <sheetName val="Kit d'assainissement village"/>
      <sheetName val="Cado Jrnée evenementielle  "/>
      <sheetName val="Kit WATTA mini"/>
      <sheetName val="Kit PCI AU CS"/>
      <sheetName val="Devis lave main"/>
      <sheetName val="Devis impluvium"/>
      <sheetName val="Devis bac à lessive"/>
      <sheetName val="Devis Branchement "/>
      <sheetName val="Devis fosse à ordure"/>
      <sheetName val="Devis bloc 1 porte douche au CS"/>
      <sheetName val="Devis installation tank"/>
      <sheetName val="Kit hygiene à l'ecole"/>
      <sheetName val="Devis latrine avec GHM à l'ecol"/>
      <sheetName val="Devis fosse à aiguille au CS"/>
      <sheetName val="Devis Fosse à placenta"/>
      <sheetName val="Devis incinerateur"/>
      <sheetName val="Devis puis perdu "/>
      <sheetName val="ECOLE CIBLEE AVEC PORTE A CONST"/>
      <sheetName val="Calendrier d'entretien wash"/>
      <sheetName val="Plan Implivium"/>
      <sheetName val="Plan latrine au CS ET EP"/>
      <sheetName val="Plan latrine avec GHM CS"/>
      <sheetName val="Plan de latrine avec GHM A EP"/>
      <sheetName val="Plan latrine aux PSH CS et EP"/>
      <sheetName val="Plan bloc douche au CS"/>
      <sheetName val="Plan fosse à placenta"/>
      <sheetName val="Plan Incinerateur"/>
      <sheetName val="Plan source simple"/>
      <sheetName val="Plan fosse à aiguille "/>
      <sheetName val="Plan source avec resevoir"/>
      <sheetName val="Plan tank de 5M3"/>
      <sheetName val="Pan abris CPS et zone de dechet"/>
      <sheetName val="cout kit demonstration culinair"/>
      <sheetName val="Year 1 -Generalities  "/>
      <sheetName val="Year 1 - mapping"/>
      <sheetName val="Y1 - Targets"/>
      <sheetName val="Year 1 - nutri inputs"/>
      <sheetName val="Y1 -Anthropo matrials"/>
      <sheetName val="Y1 - Drugs "/>
      <sheetName val="Y1- PCIMA &amp; IYCF Toolkit"/>
      <sheetName val="Y2-Generalities"/>
      <sheetName val="Y2-Mapping"/>
      <sheetName val="Y2 - Targets"/>
      <sheetName val="Y2-Nutritional Inputs"/>
      <sheetName val="Y2-Drugs"/>
      <sheetName val="Y2-Anthropo Materials"/>
      <sheetName val="Y2 PCIMA &amp; IYCF Toolkit"/>
    </sheetNames>
    <sheetDataSet>
      <sheetData sheetId="0"/>
      <sheetData sheetId="1"/>
      <sheetData sheetId="2"/>
      <sheetData sheetId="3"/>
      <sheetData sheetId="4"/>
      <sheetData sheetId="5">
        <row r="11">
          <cell r="AE11" t="str">
            <v>Plateforme 1</v>
          </cell>
          <cell r="AF11" t="str">
            <v>ECOLES</v>
          </cell>
          <cell r="AG11">
            <v>0.85447023203709127</v>
          </cell>
          <cell r="AH11">
            <v>0.14552976796290878</v>
          </cell>
          <cell r="AI11">
            <v>1133899.6000000001</v>
          </cell>
          <cell r="AJ11">
            <v>0</v>
          </cell>
          <cell r="AK11">
            <v>193121</v>
          </cell>
          <cell r="AL11">
            <v>1327020.6000000001</v>
          </cell>
          <cell r="AM11">
            <v>632810.64</v>
          </cell>
          <cell r="AN11">
            <v>0</v>
          </cell>
          <cell r="AO11">
            <v>501088.95999999996</v>
          </cell>
          <cell r="AP11">
            <v>0</v>
          </cell>
        </row>
        <row r="12">
          <cell r="AE12" t="str">
            <v>1.1.1</v>
          </cell>
          <cell r="AF12" t="str">
            <v xml:space="preserve">Soutenir la formation de 360 acteurs de l'éducation (40 directeurs et 320 enseignants) sur l'éducation à la paix, la prévention des IST/VIH-SIDA, la prévention du COVID-19 dans les réseaux communautaires conformément aux règles anti-COVID-19, le Genre et la prévention des Violence Basée sur le Genre (VBG) et Abus et Exploitation Sexuelle (AES) </v>
          </cell>
          <cell r="AG12">
            <v>0.9</v>
          </cell>
          <cell r="AH12">
            <v>0.1</v>
          </cell>
          <cell r="AI12">
            <v>21825</v>
          </cell>
          <cell r="AJ12">
            <v>0</v>
          </cell>
          <cell r="AK12">
            <v>2425</v>
          </cell>
          <cell r="AL12">
            <v>24250</v>
          </cell>
          <cell r="AM12">
            <v>10917</v>
          </cell>
          <cell r="AN12">
            <v>0</v>
          </cell>
          <cell r="AO12">
            <v>10908</v>
          </cell>
          <cell r="AP12">
            <v>0</v>
          </cell>
        </row>
        <row r="13">
          <cell r="AE13">
            <v>1</v>
          </cell>
          <cell r="AF13" t="str">
            <v>Lieux de formation ( salle)</v>
          </cell>
          <cell r="AG13">
            <v>0.9</v>
          </cell>
          <cell r="AH13">
            <v>0.1</v>
          </cell>
          <cell r="AI13">
            <v>1215</v>
          </cell>
          <cell r="AJ13">
            <v>0</v>
          </cell>
          <cell r="AK13">
            <v>135</v>
          </cell>
          <cell r="AL13">
            <v>1350</v>
          </cell>
          <cell r="AM13">
            <v>607.5</v>
          </cell>
          <cell r="AN13">
            <v>0</v>
          </cell>
          <cell r="AO13">
            <v>607.5</v>
          </cell>
          <cell r="AP13">
            <v>0</v>
          </cell>
        </row>
        <row r="14">
          <cell r="AE14">
            <v>2</v>
          </cell>
          <cell r="AF14" t="str">
            <v xml:space="preserve">Pause Café </v>
          </cell>
          <cell r="AG14">
            <v>0.9</v>
          </cell>
          <cell r="AH14">
            <v>0.1</v>
          </cell>
          <cell r="AI14">
            <v>1944</v>
          </cell>
          <cell r="AJ14">
            <v>0</v>
          </cell>
          <cell r="AK14">
            <v>216</v>
          </cell>
          <cell r="AL14">
            <v>2160</v>
          </cell>
          <cell r="AM14">
            <v>972</v>
          </cell>
          <cell r="AN14">
            <v>0</v>
          </cell>
          <cell r="AO14">
            <v>972</v>
          </cell>
          <cell r="AP14">
            <v>0</v>
          </cell>
        </row>
        <row r="15">
          <cell r="AE15">
            <v>3</v>
          </cell>
          <cell r="AF15" t="str">
            <v>Repas pour les participants (360 directeurs et enseignants)</v>
          </cell>
          <cell r="AG15">
            <v>0.9</v>
          </cell>
          <cell r="AH15">
            <v>0.1</v>
          </cell>
          <cell r="AI15">
            <v>4860</v>
          </cell>
          <cell r="AJ15">
            <v>0</v>
          </cell>
          <cell r="AK15">
            <v>540</v>
          </cell>
          <cell r="AL15">
            <v>5400</v>
          </cell>
          <cell r="AM15">
            <v>2430</v>
          </cell>
          <cell r="AN15">
            <v>0</v>
          </cell>
          <cell r="AO15">
            <v>2430</v>
          </cell>
          <cell r="AP15">
            <v>0</v>
          </cell>
        </row>
        <row r="16">
          <cell r="AE16">
            <v>4</v>
          </cell>
          <cell r="AF16" t="str">
            <v>Matériel de formation pour les participants (kits de formation)</v>
          </cell>
          <cell r="AG16">
            <v>0.9</v>
          </cell>
          <cell r="AH16">
            <v>0.1</v>
          </cell>
          <cell r="AI16">
            <v>810</v>
          </cell>
          <cell r="AJ16">
            <v>0</v>
          </cell>
          <cell r="AK16">
            <v>90</v>
          </cell>
          <cell r="AL16">
            <v>900</v>
          </cell>
          <cell r="AM16">
            <v>405</v>
          </cell>
          <cell r="AN16">
            <v>0</v>
          </cell>
          <cell r="AO16">
            <v>405</v>
          </cell>
          <cell r="AP16">
            <v>0</v>
          </cell>
        </row>
        <row r="17">
          <cell r="AE17">
            <v>5</v>
          </cell>
          <cell r="AF17" t="str">
            <v xml:space="preserve">Frais de transport pour 360 participants </v>
          </cell>
          <cell r="AG17">
            <v>0.9</v>
          </cell>
          <cell r="AH17">
            <v>0.1</v>
          </cell>
          <cell r="AI17">
            <v>4860</v>
          </cell>
          <cell r="AJ17">
            <v>0</v>
          </cell>
          <cell r="AK17">
            <v>540</v>
          </cell>
          <cell r="AL17">
            <v>5400</v>
          </cell>
          <cell r="AM17">
            <v>2430</v>
          </cell>
          <cell r="AN17">
            <v>0</v>
          </cell>
          <cell r="AO17">
            <v>2430</v>
          </cell>
          <cell r="AP17">
            <v>0</v>
          </cell>
        </row>
        <row r="18">
          <cell r="AE18">
            <v>6</v>
          </cell>
          <cell r="AF18" t="str">
            <v xml:space="preserve"> Frais de formation pour formateurs formés </v>
          </cell>
          <cell r="AG18">
            <v>0.9</v>
          </cell>
          <cell r="AH18">
            <v>0.1</v>
          </cell>
          <cell r="AI18">
            <v>1215</v>
          </cell>
          <cell r="AJ18">
            <v>0</v>
          </cell>
          <cell r="AK18">
            <v>135</v>
          </cell>
          <cell r="AL18">
            <v>1350</v>
          </cell>
          <cell r="AM18">
            <v>607.5</v>
          </cell>
          <cell r="AN18">
            <v>0</v>
          </cell>
          <cell r="AO18">
            <v>607.5</v>
          </cell>
          <cell r="AP18">
            <v>0</v>
          </cell>
        </row>
        <row r="19">
          <cell r="AE19">
            <v>7</v>
          </cell>
          <cell r="AF19" t="str">
            <v>Frais de transport pour formateurs formés</v>
          </cell>
          <cell r="AG19">
            <v>0.9</v>
          </cell>
          <cell r="AH19">
            <v>0.1</v>
          </cell>
          <cell r="AI19">
            <v>486</v>
          </cell>
          <cell r="AJ19">
            <v>0</v>
          </cell>
          <cell r="AK19">
            <v>54</v>
          </cell>
          <cell r="AL19">
            <v>540</v>
          </cell>
          <cell r="AM19">
            <v>243</v>
          </cell>
          <cell r="AN19">
            <v>0</v>
          </cell>
          <cell r="AO19">
            <v>243</v>
          </cell>
          <cell r="AP19">
            <v>0</v>
          </cell>
        </row>
        <row r="20">
          <cell r="AE20">
            <v>8</v>
          </cell>
          <cell r="AF20" t="str">
            <v xml:space="preserve">Repas pour les facilitateurs </v>
          </cell>
          <cell r="AG20">
            <v>0.9</v>
          </cell>
          <cell r="AH20">
            <v>0.1</v>
          </cell>
          <cell r="AI20">
            <v>486</v>
          </cell>
          <cell r="AJ20">
            <v>0</v>
          </cell>
          <cell r="AK20">
            <v>54</v>
          </cell>
          <cell r="AL20">
            <v>540</v>
          </cell>
          <cell r="AM20">
            <v>243</v>
          </cell>
          <cell r="AN20">
            <v>0</v>
          </cell>
          <cell r="AO20">
            <v>243</v>
          </cell>
          <cell r="AP20">
            <v>0</v>
          </cell>
        </row>
        <row r="21">
          <cell r="AE21">
            <v>9</v>
          </cell>
          <cell r="AF21" t="str">
            <v>Impression de modules d'éducation à la paix pour 180 participants principaux et 2 facilitateurs-formation des formateurs</v>
          </cell>
          <cell r="AG21">
            <v>0.9</v>
          </cell>
          <cell r="AH21">
            <v>0.1</v>
          </cell>
          <cell r="AI21">
            <v>1629</v>
          </cell>
          <cell r="AJ21">
            <v>0</v>
          </cell>
          <cell r="AK21">
            <v>181</v>
          </cell>
          <cell r="AL21">
            <v>1810</v>
          </cell>
          <cell r="AM21">
            <v>819</v>
          </cell>
          <cell r="AN21">
            <v>0</v>
          </cell>
          <cell r="AO21">
            <v>810</v>
          </cell>
          <cell r="AP21">
            <v>0</v>
          </cell>
        </row>
        <row r="22">
          <cell r="AF22" t="str">
            <v>Matériel d'assainissement pour les ecoles cibles</v>
          </cell>
          <cell r="AL22">
            <v>0</v>
          </cell>
          <cell r="AM22">
            <v>0</v>
          </cell>
          <cell r="AN22">
            <v>0</v>
          </cell>
          <cell r="AO22">
            <v>0</v>
          </cell>
          <cell r="AP22">
            <v>0</v>
          </cell>
        </row>
        <row r="23">
          <cell r="AE23">
            <v>10</v>
          </cell>
          <cell r="AF23" t="str">
            <v xml:space="preserve">Achat de stations de lavage des mains mobiles </v>
          </cell>
          <cell r="AG23">
            <v>0.9</v>
          </cell>
          <cell r="AH23">
            <v>0.1</v>
          </cell>
          <cell r="AI23">
            <v>2160</v>
          </cell>
          <cell r="AJ23">
            <v>0</v>
          </cell>
          <cell r="AK23">
            <v>240</v>
          </cell>
          <cell r="AL23">
            <v>2400</v>
          </cell>
          <cell r="AM23">
            <v>1080</v>
          </cell>
          <cell r="AN23">
            <v>0</v>
          </cell>
          <cell r="AO23">
            <v>1080</v>
          </cell>
          <cell r="AP23">
            <v>0</v>
          </cell>
        </row>
        <row r="24">
          <cell r="AE24">
            <v>11</v>
          </cell>
          <cell r="AF24" t="str">
            <v xml:space="preserve">Achat de désinfectants ou/ et de savons pour le lavage des mains. </v>
          </cell>
          <cell r="AG24">
            <v>0.9</v>
          </cell>
          <cell r="AH24">
            <v>0.1</v>
          </cell>
          <cell r="AI24">
            <v>1800</v>
          </cell>
          <cell r="AJ24">
            <v>0</v>
          </cell>
          <cell r="AK24">
            <v>200</v>
          </cell>
          <cell r="AL24">
            <v>2000</v>
          </cell>
          <cell r="AM24">
            <v>900</v>
          </cell>
          <cell r="AN24">
            <v>0</v>
          </cell>
          <cell r="AO24">
            <v>900</v>
          </cell>
          <cell r="AP24">
            <v>0</v>
          </cell>
        </row>
        <row r="25">
          <cell r="AE25">
            <v>12</v>
          </cell>
          <cell r="AF25" t="str">
            <v>Distribution de materiels  (frais de transport)</v>
          </cell>
          <cell r="AG25">
            <v>0.9</v>
          </cell>
          <cell r="AH25">
            <v>0.1</v>
          </cell>
          <cell r="AI25">
            <v>360</v>
          </cell>
          <cell r="AJ25">
            <v>0</v>
          </cell>
          <cell r="AK25">
            <v>40</v>
          </cell>
          <cell r="AL25">
            <v>400</v>
          </cell>
          <cell r="AM25">
            <v>180</v>
          </cell>
          <cell r="AN25">
            <v>0</v>
          </cell>
          <cell r="AO25">
            <v>180</v>
          </cell>
          <cell r="AP25">
            <v>0</v>
          </cell>
        </row>
        <row r="26">
          <cell r="AE26" t="str">
            <v>1.1.2</v>
          </cell>
          <cell r="AF26" t="str">
            <v>Soutenir la formation de 320 membres des clubs de la paix (8 élèves / école et 40 écoles) et 80 superviseurs de clubs de paix (2 enseignants / école) sur l'éducation à la paix, la prévention des IST/VIH-SIDA, la prévention du COVID-19, le Genre et la prévention des VBG et AES, pour la sensibilisation d'autres élèves et enfants âgés de 6 à 11 ans et l'animation de clubs de paix</v>
          </cell>
          <cell r="AG26">
            <v>0.9</v>
          </cell>
          <cell r="AH26">
            <v>0.1</v>
          </cell>
          <cell r="AI26">
            <v>2088</v>
          </cell>
          <cell r="AJ26">
            <v>0</v>
          </cell>
          <cell r="AK26">
            <v>232</v>
          </cell>
          <cell r="AL26">
            <v>2320</v>
          </cell>
          <cell r="AM26">
            <v>1044</v>
          </cell>
          <cell r="AN26">
            <v>0</v>
          </cell>
          <cell r="AO26">
            <v>1044</v>
          </cell>
          <cell r="AP26">
            <v>0</v>
          </cell>
        </row>
        <row r="27">
          <cell r="AE27">
            <v>1</v>
          </cell>
          <cell r="AF27" t="str">
            <v xml:space="preserve">Pause Café </v>
          </cell>
          <cell r="AG27">
            <v>0.9</v>
          </cell>
          <cell r="AH27">
            <v>0.1</v>
          </cell>
          <cell r="AI27">
            <v>144</v>
          </cell>
          <cell r="AJ27">
            <v>0</v>
          </cell>
          <cell r="AK27">
            <v>16</v>
          </cell>
          <cell r="AL27">
            <v>160</v>
          </cell>
          <cell r="AM27">
            <v>72</v>
          </cell>
          <cell r="AN27">
            <v>0</v>
          </cell>
          <cell r="AO27">
            <v>72</v>
          </cell>
          <cell r="AP27">
            <v>0</v>
          </cell>
        </row>
        <row r="28">
          <cell r="AE28">
            <v>2</v>
          </cell>
          <cell r="AF28" t="str">
            <v>Repas pour 40 participants</v>
          </cell>
          <cell r="AG28">
            <v>0.9</v>
          </cell>
          <cell r="AH28">
            <v>0.1</v>
          </cell>
          <cell r="AI28">
            <v>360</v>
          </cell>
          <cell r="AJ28">
            <v>0</v>
          </cell>
          <cell r="AK28">
            <v>40</v>
          </cell>
          <cell r="AL28">
            <v>400</v>
          </cell>
          <cell r="AM28">
            <v>180</v>
          </cell>
          <cell r="AN28">
            <v>0</v>
          </cell>
          <cell r="AO28">
            <v>180</v>
          </cell>
          <cell r="AP28">
            <v>0</v>
          </cell>
        </row>
        <row r="29">
          <cell r="AE29">
            <v>3</v>
          </cell>
          <cell r="AF29" t="str">
            <v xml:space="preserve">Matériel de formation pour les participants </v>
          </cell>
          <cell r="AG29">
            <v>0.9</v>
          </cell>
          <cell r="AH29">
            <v>0.1</v>
          </cell>
          <cell r="AI29">
            <v>144</v>
          </cell>
          <cell r="AJ29">
            <v>0</v>
          </cell>
          <cell r="AK29">
            <v>16</v>
          </cell>
          <cell r="AL29">
            <v>160</v>
          </cell>
          <cell r="AM29">
            <v>72</v>
          </cell>
          <cell r="AN29">
            <v>0</v>
          </cell>
          <cell r="AO29">
            <v>72</v>
          </cell>
          <cell r="AP29">
            <v>0</v>
          </cell>
        </row>
        <row r="30">
          <cell r="AE30">
            <v>4</v>
          </cell>
          <cell r="AF30" t="str">
            <v>Matériel pédagogique pour les formateurs formés</v>
          </cell>
          <cell r="AG30">
            <v>0.9</v>
          </cell>
          <cell r="AH30">
            <v>0.1</v>
          </cell>
          <cell r="AI30">
            <v>360</v>
          </cell>
          <cell r="AJ30">
            <v>0</v>
          </cell>
          <cell r="AK30">
            <v>40</v>
          </cell>
          <cell r="AL30">
            <v>400</v>
          </cell>
          <cell r="AM30">
            <v>180</v>
          </cell>
          <cell r="AN30">
            <v>0</v>
          </cell>
          <cell r="AO30">
            <v>180</v>
          </cell>
          <cell r="AP30">
            <v>0</v>
          </cell>
        </row>
        <row r="31">
          <cell r="AE31">
            <v>5</v>
          </cell>
          <cell r="AF31" t="str">
            <v xml:space="preserve">Frais de transport des participants </v>
          </cell>
          <cell r="AG31">
            <v>0.9</v>
          </cell>
          <cell r="AH31">
            <v>0.1</v>
          </cell>
          <cell r="AI31">
            <v>360</v>
          </cell>
          <cell r="AJ31">
            <v>0</v>
          </cell>
          <cell r="AK31">
            <v>40</v>
          </cell>
          <cell r="AL31">
            <v>400</v>
          </cell>
          <cell r="AM31">
            <v>180</v>
          </cell>
          <cell r="AN31">
            <v>0</v>
          </cell>
          <cell r="AO31">
            <v>180</v>
          </cell>
          <cell r="AP31">
            <v>0</v>
          </cell>
        </row>
        <row r="32">
          <cell r="AF32" t="str">
            <v xml:space="preserve">Les 80 superviseurs de clubs  de paix forment 1 club de 8 membres dans leur ecoles. </v>
          </cell>
          <cell r="AM32">
            <v>0</v>
          </cell>
          <cell r="AN32">
            <v>0</v>
          </cell>
          <cell r="AO32">
            <v>0</v>
          </cell>
          <cell r="AP32">
            <v>0</v>
          </cell>
        </row>
        <row r="33">
          <cell r="AE33">
            <v>6</v>
          </cell>
          <cell r="AF33" t="str">
            <v>Matériel de formation par école (Flip chart, Blocs notes, Boites de marqueurs, Stylos bleus, Modules….)</v>
          </cell>
          <cell r="AG33">
            <v>0.9</v>
          </cell>
          <cell r="AH33">
            <v>0.1</v>
          </cell>
          <cell r="AI33">
            <v>720</v>
          </cell>
          <cell r="AJ33">
            <v>0</v>
          </cell>
          <cell r="AK33">
            <v>80</v>
          </cell>
          <cell r="AL33">
            <v>800</v>
          </cell>
          <cell r="AM33">
            <v>360</v>
          </cell>
          <cell r="AN33">
            <v>0</v>
          </cell>
          <cell r="AO33">
            <v>360</v>
          </cell>
          <cell r="AP33">
            <v>0</v>
          </cell>
        </row>
        <row r="34">
          <cell r="AE34" t="str">
            <v>1.1.3</v>
          </cell>
          <cell r="AF34" t="str">
            <v>Établir et soutenir le fonctionnement de 40 clubs de la paix dans 40 écoles cibles</v>
          </cell>
          <cell r="AG34">
            <v>0.9</v>
          </cell>
          <cell r="AH34">
            <v>0.1</v>
          </cell>
          <cell r="AI34">
            <v>16902</v>
          </cell>
          <cell r="AJ34">
            <v>0</v>
          </cell>
          <cell r="AK34">
            <v>1878</v>
          </cell>
          <cell r="AL34">
            <v>18780</v>
          </cell>
          <cell r="AM34">
            <v>8262</v>
          </cell>
          <cell r="AN34">
            <v>0</v>
          </cell>
          <cell r="AO34">
            <v>8640</v>
          </cell>
          <cell r="AP34">
            <v>0</v>
          </cell>
        </row>
        <row r="35">
          <cell r="AE35">
            <v>1</v>
          </cell>
          <cell r="AF35" t="str">
            <v>Achat de kits de loisirs pour chaque école (Vareuses, Ballons football, volley ball,  Materiels locaux pour musique: Tam-tam, Maracasse…)</v>
          </cell>
          <cell r="AG35">
            <v>0.9</v>
          </cell>
          <cell r="AH35">
            <v>0.1</v>
          </cell>
          <cell r="AI35">
            <v>7200</v>
          </cell>
          <cell r="AJ35">
            <v>0</v>
          </cell>
          <cell r="AK35">
            <v>800</v>
          </cell>
          <cell r="AL35">
            <v>8000</v>
          </cell>
          <cell r="AM35">
            <v>3600</v>
          </cell>
          <cell r="AN35">
            <v>0</v>
          </cell>
          <cell r="AO35">
            <v>3600</v>
          </cell>
          <cell r="AP35">
            <v>0</v>
          </cell>
        </row>
        <row r="36">
          <cell r="AF36" t="str">
            <v>Soutenir les activités des 40 clubs de la paix</v>
          </cell>
          <cell r="AM36">
            <v>0</v>
          </cell>
          <cell r="AN36">
            <v>0</v>
          </cell>
          <cell r="AO36">
            <v>0</v>
          </cell>
          <cell r="AP36">
            <v>0</v>
          </cell>
        </row>
        <row r="37">
          <cell r="AE37">
            <v>2</v>
          </cell>
          <cell r="AF37" t="str">
            <v>Pièces de théâtre sur les questions de paix</v>
          </cell>
          <cell r="AG37">
            <v>0.9</v>
          </cell>
          <cell r="AH37">
            <v>0.1</v>
          </cell>
          <cell r="AI37">
            <v>702</v>
          </cell>
          <cell r="AJ37">
            <v>0</v>
          </cell>
          <cell r="AK37">
            <v>78</v>
          </cell>
          <cell r="AL37">
            <v>780</v>
          </cell>
          <cell r="AM37">
            <v>162</v>
          </cell>
          <cell r="AN37">
            <v>0</v>
          </cell>
          <cell r="AO37">
            <v>540</v>
          </cell>
          <cell r="AP37">
            <v>0</v>
          </cell>
        </row>
        <row r="38">
          <cell r="AE38">
            <v>3</v>
          </cell>
          <cell r="AF38" t="str">
            <v xml:space="preserve">Matchs de football amicaux </v>
          </cell>
          <cell r="AG38">
            <v>0.9</v>
          </cell>
          <cell r="AH38">
            <v>0.1</v>
          </cell>
          <cell r="AI38">
            <v>3600</v>
          </cell>
          <cell r="AJ38">
            <v>0</v>
          </cell>
          <cell r="AK38">
            <v>400</v>
          </cell>
          <cell r="AL38">
            <v>4000</v>
          </cell>
          <cell r="AM38">
            <v>1800</v>
          </cell>
          <cell r="AN38">
            <v>0</v>
          </cell>
          <cell r="AO38">
            <v>1800</v>
          </cell>
          <cell r="AP38">
            <v>0</v>
          </cell>
        </row>
        <row r="39">
          <cell r="AE39">
            <v>4</v>
          </cell>
          <cell r="AF39" t="str">
            <v>Nettoyage solidaire des écoles</v>
          </cell>
          <cell r="AG39">
            <v>0.9</v>
          </cell>
          <cell r="AH39">
            <v>0.1</v>
          </cell>
          <cell r="AI39">
            <v>3600</v>
          </cell>
          <cell r="AJ39">
            <v>0</v>
          </cell>
          <cell r="AK39">
            <v>400</v>
          </cell>
          <cell r="AL39">
            <v>4000</v>
          </cell>
          <cell r="AM39">
            <v>1800</v>
          </cell>
          <cell r="AN39">
            <v>0</v>
          </cell>
          <cell r="AO39">
            <v>1800</v>
          </cell>
          <cell r="AP39">
            <v>0</v>
          </cell>
        </row>
        <row r="40">
          <cell r="AE40">
            <v>5</v>
          </cell>
          <cell r="AF40" t="str">
            <v>Festivités annuelles des clubs de la paix</v>
          </cell>
          <cell r="AG40">
            <v>0.9</v>
          </cell>
          <cell r="AH40">
            <v>0.1</v>
          </cell>
          <cell r="AI40">
            <v>1800</v>
          </cell>
          <cell r="AJ40">
            <v>0</v>
          </cell>
          <cell r="AK40">
            <v>200</v>
          </cell>
          <cell r="AL40">
            <v>2000</v>
          </cell>
          <cell r="AM40">
            <v>900</v>
          </cell>
          <cell r="AN40">
            <v>0</v>
          </cell>
          <cell r="AO40">
            <v>900</v>
          </cell>
          <cell r="AP40">
            <v>0</v>
          </cell>
        </row>
        <row r="41">
          <cell r="AE41" t="str">
            <v>1.1.4</v>
          </cell>
          <cell r="AF41" t="str">
            <v>Soutenir les capacités des membres des Comité de parents (COPA)/Comités de gestion (COGES) en matière d'éducation à la paix et de gestion/bonne gouvernance dans 40 écoles ciblées et le Genre et la prévention des VBG et AES</v>
          </cell>
          <cell r="AI41">
            <v>13446</v>
          </cell>
          <cell r="AJ41">
            <v>0</v>
          </cell>
          <cell r="AK41">
            <v>1494</v>
          </cell>
          <cell r="AL41">
            <v>14940</v>
          </cell>
          <cell r="AM41">
            <v>6318</v>
          </cell>
          <cell r="AN41">
            <v>0</v>
          </cell>
          <cell r="AO41">
            <v>7128</v>
          </cell>
          <cell r="AP41">
            <v>0</v>
          </cell>
        </row>
        <row r="42">
          <cell r="AF42" t="str">
            <v>Établir/revitaliser les COPA/COGES dans 40 écoles</v>
          </cell>
          <cell r="AM42">
            <v>0</v>
          </cell>
          <cell r="AN42">
            <v>0</v>
          </cell>
          <cell r="AO42">
            <v>0</v>
          </cell>
          <cell r="AP42">
            <v>0</v>
          </cell>
        </row>
        <row r="43">
          <cell r="AE43">
            <v>1</v>
          </cell>
          <cell r="AF43" t="str">
            <v>Réunions avec les COPA/COGES</v>
          </cell>
          <cell r="AI43">
            <v>0</v>
          </cell>
          <cell r="AJ43">
            <v>0</v>
          </cell>
          <cell r="AK43">
            <v>0</v>
          </cell>
          <cell r="AL43">
            <v>0</v>
          </cell>
          <cell r="AM43">
            <v>0</v>
          </cell>
          <cell r="AN43">
            <v>0</v>
          </cell>
          <cell r="AO43">
            <v>0</v>
          </cell>
          <cell r="AP43">
            <v>0</v>
          </cell>
        </row>
        <row r="44">
          <cell r="AF44" t="str">
            <v>Former les membres des COPA/COGES sur l'éducation à la paix, la gestion et la bonne gouvernance</v>
          </cell>
          <cell r="AM44">
            <v>0</v>
          </cell>
          <cell r="AN44">
            <v>0</v>
          </cell>
          <cell r="AO44">
            <v>0</v>
          </cell>
          <cell r="AP44">
            <v>0</v>
          </cell>
        </row>
        <row r="45">
          <cell r="AE45">
            <v>2</v>
          </cell>
          <cell r="AF45" t="str">
            <v>Lieux de formation (par lots en raison des règles COVID-19) pendant 2 jours (frais de contribution pour l'utilisation des salles de classe)</v>
          </cell>
          <cell r="AG45">
            <v>0.9</v>
          </cell>
          <cell r="AH45">
            <v>0.1</v>
          </cell>
          <cell r="AI45">
            <v>1620</v>
          </cell>
          <cell r="AJ45">
            <v>0</v>
          </cell>
          <cell r="AK45">
            <v>180</v>
          </cell>
          <cell r="AL45">
            <v>1800</v>
          </cell>
          <cell r="AM45">
            <v>810</v>
          </cell>
          <cell r="AN45">
            <v>0</v>
          </cell>
          <cell r="AO45">
            <v>810</v>
          </cell>
          <cell r="AP45">
            <v>0</v>
          </cell>
        </row>
        <row r="46">
          <cell r="AE46">
            <v>3</v>
          </cell>
          <cell r="AF46" t="str">
            <v>Pause Café</v>
          </cell>
          <cell r="AG46">
            <v>0.9</v>
          </cell>
          <cell r="AH46">
            <v>0.1</v>
          </cell>
          <cell r="AI46">
            <v>1296</v>
          </cell>
          <cell r="AJ46">
            <v>0</v>
          </cell>
          <cell r="AK46">
            <v>144</v>
          </cell>
          <cell r="AL46">
            <v>1440</v>
          </cell>
          <cell r="AM46">
            <v>648</v>
          </cell>
          <cell r="AN46">
            <v>0</v>
          </cell>
          <cell r="AO46">
            <v>648</v>
          </cell>
          <cell r="AP46">
            <v>0</v>
          </cell>
        </row>
        <row r="47">
          <cell r="AE47">
            <v>4</v>
          </cell>
          <cell r="AF47" t="str">
            <v>Repas pour participants</v>
          </cell>
          <cell r="AG47">
            <v>0.9</v>
          </cell>
          <cell r="AH47">
            <v>0.1</v>
          </cell>
          <cell r="AI47">
            <v>1620</v>
          </cell>
          <cell r="AJ47">
            <v>0</v>
          </cell>
          <cell r="AK47">
            <v>180</v>
          </cell>
          <cell r="AL47">
            <v>1800</v>
          </cell>
          <cell r="AM47">
            <v>810</v>
          </cell>
          <cell r="AN47">
            <v>0</v>
          </cell>
          <cell r="AO47">
            <v>810</v>
          </cell>
          <cell r="AP47">
            <v>0</v>
          </cell>
        </row>
        <row r="48">
          <cell r="AE48">
            <v>5</v>
          </cell>
          <cell r="AF48" t="str">
            <v xml:space="preserve">Matériel de formation pour les participants </v>
          </cell>
          <cell r="AG48">
            <v>0.9</v>
          </cell>
          <cell r="AH48">
            <v>0.1</v>
          </cell>
          <cell r="AI48">
            <v>3240</v>
          </cell>
          <cell r="AJ48">
            <v>0</v>
          </cell>
          <cell r="AK48">
            <v>360</v>
          </cell>
          <cell r="AL48">
            <v>3600</v>
          </cell>
          <cell r="AM48">
            <v>1620</v>
          </cell>
          <cell r="AN48">
            <v>0</v>
          </cell>
          <cell r="AO48">
            <v>1620</v>
          </cell>
          <cell r="AP48">
            <v>0</v>
          </cell>
        </row>
        <row r="49">
          <cell r="AE49">
            <v>6</v>
          </cell>
          <cell r="AF49" t="str">
            <v xml:space="preserve">Frais de transport des participants </v>
          </cell>
          <cell r="AG49">
            <v>0.9</v>
          </cell>
          <cell r="AH49">
            <v>0.1</v>
          </cell>
          <cell r="AI49">
            <v>3240</v>
          </cell>
          <cell r="AJ49">
            <v>0</v>
          </cell>
          <cell r="AK49">
            <v>360</v>
          </cell>
          <cell r="AL49">
            <v>3600</v>
          </cell>
          <cell r="AM49">
            <v>1620</v>
          </cell>
          <cell r="AN49">
            <v>0</v>
          </cell>
          <cell r="AO49">
            <v>1620</v>
          </cell>
          <cell r="AP49">
            <v>0</v>
          </cell>
        </row>
        <row r="50">
          <cell r="AF50" t="str">
            <v>Fournir aux COPA/COGES de 40 écoles des modules sur la paix</v>
          </cell>
          <cell r="AM50">
            <v>0</v>
          </cell>
          <cell r="AN50">
            <v>0</v>
          </cell>
          <cell r="AO50">
            <v>0</v>
          </cell>
          <cell r="AP50">
            <v>0</v>
          </cell>
        </row>
        <row r="51">
          <cell r="AE51">
            <v>7</v>
          </cell>
          <cell r="AF51" t="str">
            <v xml:space="preserve">Impression des modules d'éducation à la paix </v>
          </cell>
          <cell r="AG51">
            <v>0.9</v>
          </cell>
          <cell r="AH51">
            <v>0.1</v>
          </cell>
          <cell r="AI51">
            <v>2430</v>
          </cell>
          <cell r="AJ51">
            <v>0</v>
          </cell>
          <cell r="AK51">
            <v>270</v>
          </cell>
          <cell r="AL51">
            <v>2700</v>
          </cell>
          <cell r="AM51">
            <v>810</v>
          </cell>
          <cell r="AN51">
            <v>0</v>
          </cell>
          <cell r="AO51">
            <v>1620</v>
          </cell>
          <cell r="AP51">
            <v>0</v>
          </cell>
        </row>
        <row r="52">
          <cell r="AF52" t="str">
            <v>Soutenir les activités des COPA/COGES en matière d'éducation à la paix</v>
          </cell>
          <cell r="AM52">
            <v>0</v>
          </cell>
          <cell r="AN52">
            <v>0</v>
          </cell>
          <cell r="AO52">
            <v>0</v>
          </cell>
          <cell r="AP52">
            <v>0</v>
          </cell>
        </row>
        <row r="53">
          <cell r="AE53">
            <v>8</v>
          </cell>
          <cell r="AF53" t="str">
            <v>Organiser des réunions mensuelles avec les COPA/COGES sur l'éducation à la paix</v>
          </cell>
          <cell r="AI53">
            <v>0</v>
          </cell>
          <cell r="AJ53">
            <v>0</v>
          </cell>
          <cell r="AK53">
            <v>0</v>
          </cell>
          <cell r="AL53">
            <v>0</v>
          </cell>
          <cell r="AM53">
            <v>0</v>
          </cell>
          <cell r="AN53">
            <v>0</v>
          </cell>
          <cell r="AO53">
            <v>0</v>
          </cell>
          <cell r="AP53">
            <v>0</v>
          </cell>
        </row>
        <row r="54">
          <cell r="AE54" t="str">
            <v>1.1.5</v>
          </cell>
          <cell r="AF54" t="str">
            <v>Staff Education dans les Ecoles</v>
          </cell>
          <cell r="AI54">
            <v>150480</v>
          </cell>
          <cell r="AJ54">
            <v>0</v>
          </cell>
          <cell r="AK54">
            <v>177120</v>
          </cell>
          <cell r="AL54">
            <v>327600</v>
          </cell>
          <cell r="AM54">
            <v>75240</v>
          </cell>
          <cell r="AN54">
            <v>0</v>
          </cell>
          <cell r="AO54">
            <v>75240</v>
          </cell>
          <cell r="AP54">
            <v>0</v>
          </cell>
        </row>
        <row r="55">
          <cell r="AE55">
            <v>9</v>
          </cell>
          <cell r="AF55" t="str">
            <v>1 Education Project Manager (100%)</v>
          </cell>
          <cell r="AG55">
            <v>0.55538888888888893</v>
          </cell>
          <cell r="AH55">
            <v>0.44461111111111112</v>
          </cell>
          <cell r="AI55">
            <v>89973</v>
          </cell>
          <cell r="AJ55">
            <v>0</v>
          </cell>
          <cell r="AK55">
            <v>72027</v>
          </cell>
          <cell r="AL55">
            <v>162000</v>
          </cell>
          <cell r="AM55">
            <v>44986.5</v>
          </cell>
          <cell r="AN55">
            <v>0</v>
          </cell>
          <cell r="AO55">
            <v>44986.5</v>
          </cell>
          <cell r="AP55">
            <v>0</v>
          </cell>
        </row>
        <row r="56">
          <cell r="AE56">
            <v>10</v>
          </cell>
          <cell r="AF56" t="str">
            <v>2 Education Officers (100%)</v>
          </cell>
          <cell r="AG56">
            <v>0.3735</v>
          </cell>
          <cell r="AH56">
            <v>0.62649999999999995</v>
          </cell>
          <cell r="AI56">
            <v>40338</v>
          </cell>
          <cell r="AJ56">
            <v>0</v>
          </cell>
          <cell r="AK56">
            <v>67662</v>
          </cell>
          <cell r="AL56">
            <v>108000</v>
          </cell>
          <cell r="AM56">
            <v>20169</v>
          </cell>
          <cell r="AN56">
            <v>0</v>
          </cell>
          <cell r="AO56">
            <v>20169</v>
          </cell>
          <cell r="AP56">
            <v>0</v>
          </cell>
        </row>
        <row r="57">
          <cell r="AE57">
            <v>11</v>
          </cell>
          <cell r="AF57" t="str">
            <v>1 Comptable (100%) </v>
          </cell>
          <cell r="AG57">
            <v>0.35015625</v>
          </cell>
          <cell r="AH57">
            <v>0.64984375000000005</v>
          </cell>
          <cell r="AI57">
            <v>20169</v>
          </cell>
          <cell r="AJ57">
            <v>0</v>
          </cell>
          <cell r="AK57">
            <v>37431</v>
          </cell>
          <cell r="AL57">
            <v>57600</v>
          </cell>
          <cell r="AM57">
            <v>10084.5</v>
          </cell>
          <cell r="AN57">
            <v>0</v>
          </cell>
          <cell r="AO57">
            <v>10084.5</v>
          </cell>
          <cell r="AP57">
            <v>0</v>
          </cell>
        </row>
        <row r="58">
          <cell r="AE58" t="str">
            <v>1.2.1</v>
          </cell>
          <cell r="AF58" t="str">
            <v>Assurer l'accès à l'eau potable dans les 25 écoles (branchements aux réseaux d'eaux existant, etc), prenant en compte les besoins spécifiques des femmes et des filles</v>
          </cell>
          <cell r="AG58">
            <v>1</v>
          </cell>
          <cell r="AH58">
            <v>0</v>
          </cell>
          <cell r="AI58">
            <v>78500</v>
          </cell>
          <cell r="AJ58">
            <v>0</v>
          </cell>
          <cell r="AK58">
            <v>0</v>
          </cell>
          <cell r="AL58">
            <v>78500</v>
          </cell>
          <cell r="AM58">
            <v>47100</v>
          </cell>
          <cell r="AN58">
            <v>0</v>
          </cell>
          <cell r="AO58">
            <v>31400</v>
          </cell>
          <cell r="AP58">
            <v>0</v>
          </cell>
        </row>
        <row r="59">
          <cell r="AE59">
            <v>1</v>
          </cell>
          <cell r="AF59" t="str">
            <v xml:space="preserve">Assurer le branchement des écoles aux réseaux d'eaux existant </v>
          </cell>
          <cell r="AG59">
            <v>1</v>
          </cell>
          <cell r="AH59">
            <v>0</v>
          </cell>
          <cell r="AI59">
            <v>33500</v>
          </cell>
          <cell r="AJ59">
            <v>0</v>
          </cell>
          <cell r="AK59">
            <v>0</v>
          </cell>
          <cell r="AL59">
            <v>33500</v>
          </cell>
          <cell r="AM59">
            <v>20100</v>
          </cell>
          <cell r="AN59">
            <v>0</v>
          </cell>
          <cell r="AO59">
            <v>13400</v>
          </cell>
          <cell r="AP59">
            <v>0</v>
          </cell>
        </row>
        <row r="60">
          <cell r="AE60">
            <v>2</v>
          </cell>
          <cell r="AF60" t="str">
            <v>Construction des système de collecte d'eau de pluie dans les écoles accompagnées par le projet</v>
          </cell>
          <cell r="AG60">
            <v>1</v>
          </cell>
          <cell r="AH60">
            <v>0</v>
          </cell>
          <cell r="AI60">
            <v>45000</v>
          </cell>
          <cell r="AJ60">
            <v>0</v>
          </cell>
          <cell r="AK60">
            <v>0</v>
          </cell>
          <cell r="AL60">
            <v>45000</v>
          </cell>
          <cell r="AM60">
            <v>27000</v>
          </cell>
          <cell r="AN60">
            <v>0</v>
          </cell>
          <cell r="AO60">
            <v>18000</v>
          </cell>
          <cell r="AP60">
            <v>0</v>
          </cell>
        </row>
        <row r="61">
          <cell r="AE61" t="str">
            <v>1.2.2</v>
          </cell>
          <cell r="AF61" t="str">
            <v>Construire /réhabiliter les infrastructures d'assainissement au sein des écoles (latrines, trous à ordures), prenant en compte les besoins spécifiques des femmes et des filles</v>
          </cell>
          <cell r="AG61">
            <v>1</v>
          </cell>
          <cell r="AH61">
            <v>0</v>
          </cell>
          <cell r="AI61">
            <v>416988.1</v>
          </cell>
          <cell r="AJ61">
            <v>0</v>
          </cell>
          <cell r="AK61">
            <v>0</v>
          </cell>
          <cell r="AL61">
            <v>416988.1</v>
          </cell>
          <cell r="AM61">
            <v>272958.14</v>
          </cell>
          <cell r="AN61">
            <v>0</v>
          </cell>
          <cell r="AO61">
            <v>144029.96</v>
          </cell>
          <cell r="AP61">
            <v>0</v>
          </cell>
        </row>
        <row r="62">
          <cell r="AE62">
            <v>1</v>
          </cell>
          <cell r="AF62" t="str">
            <v>Construction des portes de latrine double fosses vidangeables avec fosses alternées dans les écoles</v>
          </cell>
          <cell r="AG62">
            <v>1</v>
          </cell>
          <cell r="AH62">
            <v>0</v>
          </cell>
          <cell r="AI62">
            <v>362374.6</v>
          </cell>
          <cell r="AJ62">
            <v>0</v>
          </cell>
          <cell r="AK62">
            <v>0</v>
          </cell>
          <cell r="AL62">
            <v>362374.6</v>
          </cell>
          <cell r="AM62">
            <v>241090.03999999998</v>
          </cell>
          <cell r="AN62">
            <v>0</v>
          </cell>
          <cell r="AO62">
            <v>121284.56</v>
          </cell>
          <cell r="AP62">
            <v>0</v>
          </cell>
        </row>
        <row r="63">
          <cell r="AE63">
            <v>2</v>
          </cell>
          <cell r="AF63" t="str">
            <v>Construire une porte d'anti chambre  dansd le bloc des latrines filles  pour la gestion de l'Hygiene Menstruelle (GHM) dans les etablissements scolaire</v>
          </cell>
          <cell r="AG63">
            <v>1</v>
          </cell>
          <cell r="AH63">
            <v>0</v>
          </cell>
          <cell r="AI63">
            <v>18488.5</v>
          </cell>
          <cell r="AJ63">
            <v>0</v>
          </cell>
          <cell r="AK63">
            <v>0</v>
          </cell>
          <cell r="AL63">
            <v>18488.5</v>
          </cell>
          <cell r="AM63">
            <v>11093.099999999999</v>
          </cell>
          <cell r="AN63">
            <v>0</v>
          </cell>
          <cell r="AO63">
            <v>7395.4</v>
          </cell>
          <cell r="AP63">
            <v>0</v>
          </cell>
        </row>
        <row r="64">
          <cell r="AE64">
            <v>3</v>
          </cell>
          <cell r="AF64" t="str">
            <v>Construction des trous à ordures au sein des écoles</v>
          </cell>
          <cell r="AG64">
            <v>1</v>
          </cell>
          <cell r="AH64">
            <v>0</v>
          </cell>
          <cell r="AI64">
            <v>3175</v>
          </cell>
          <cell r="AJ64">
            <v>0</v>
          </cell>
          <cell r="AK64">
            <v>0</v>
          </cell>
          <cell r="AL64">
            <v>3175</v>
          </cell>
          <cell r="AM64">
            <v>1905</v>
          </cell>
          <cell r="AN64">
            <v>0</v>
          </cell>
          <cell r="AO64">
            <v>1270</v>
          </cell>
          <cell r="AP64">
            <v>0</v>
          </cell>
        </row>
        <row r="65">
          <cell r="AE65">
            <v>4</v>
          </cell>
          <cell r="AF65" t="str">
            <v>Installation des dispositifs durables de lavage des mains dans les écoles accompagnées par le projet</v>
          </cell>
          <cell r="AG65">
            <v>1</v>
          </cell>
          <cell r="AH65">
            <v>0</v>
          </cell>
          <cell r="AI65">
            <v>14200</v>
          </cell>
          <cell r="AJ65">
            <v>0</v>
          </cell>
          <cell r="AK65">
            <v>0</v>
          </cell>
          <cell r="AL65">
            <v>14200</v>
          </cell>
          <cell r="AM65">
            <v>8520</v>
          </cell>
          <cell r="AN65">
            <v>0</v>
          </cell>
          <cell r="AO65">
            <v>5680</v>
          </cell>
          <cell r="AP65">
            <v>0</v>
          </cell>
        </row>
        <row r="66">
          <cell r="AE66">
            <v>5</v>
          </cell>
          <cell r="AF66" t="str">
            <v>Location Camion pour transport des mariels et matériaux</v>
          </cell>
          <cell r="AG66">
            <v>1</v>
          </cell>
          <cell r="AH66">
            <v>0</v>
          </cell>
          <cell r="AI66">
            <v>16500</v>
          </cell>
          <cell r="AJ66">
            <v>0</v>
          </cell>
          <cell r="AK66">
            <v>0</v>
          </cell>
          <cell r="AL66">
            <v>16500</v>
          </cell>
          <cell r="AM66">
            <v>9000</v>
          </cell>
          <cell r="AN66">
            <v>0</v>
          </cell>
          <cell r="AO66">
            <v>7500</v>
          </cell>
          <cell r="AP66">
            <v>0</v>
          </cell>
        </row>
        <row r="67">
          <cell r="AE67">
            <v>6</v>
          </cell>
          <cell r="AF67" t="str">
            <v>Manutention  chargement et déchargement</v>
          </cell>
          <cell r="AG67">
            <v>1</v>
          </cell>
          <cell r="AH67">
            <v>0</v>
          </cell>
          <cell r="AI67">
            <v>2250</v>
          </cell>
          <cell r="AJ67">
            <v>0</v>
          </cell>
          <cell r="AK67">
            <v>0</v>
          </cell>
          <cell r="AL67">
            <v>2250</v>
          </cell>
          <cell r="AM67">
            <v>1350</v>
          </cell>
          <cell r="AN67">
            <v>0</v>
          </cell>
          <cell r="AO67">
            <v>900</v>
          </cell>
          <cell r="AP67">
            <v>0</v>
          </cell>
        </row>
        <row r="68">
          <cell r="AE68" t="str">
            <v>1.2.3</v>
          </cell>
          <cell r="AF68" t="str">
            <v>Constituer de façon paritaire (filles/garçons) et assurer la formation des brigades scolaires pour la gestion des activités EHA, gestion de l'hygiène menstruelle (GHM), le Genre et la prévention des VBG et AES et doter les écoles des kits de maintenance</v>
          </cell>
          <cell r="AG68">
            <v>1</v>
          </cell>
          <cell r="AH68">
            <v>0</v>
          </cell>
          <cell r="AI68">
            <v>7540</v>
          </cell>
          <cell r="AJ68">
            <v>0</v>
          </cell>
          <cell r="AK68">
            <v>0</v>
          </cell>
          <cell r="AL68">
            <v>7540</v>
          </cell>
          <cell r="AM68">
            <v>4515</v>
          </cell>
          <cell r="AN68">
            <v>0</v>
          </cell>
          <cell r="AO68">
            <v>3025</v>
          </cell>
          <cell r="AP68">
            <v>0</v>
          </cell>
        </row>
        <row r="69">
          <cell r="AE69">
            <v>1</v>
          </cell>
          <cell r="AF69" t="str">
            <v>Reproduction des dépliants sur la gestion de la brigade scolaire, BSSE au sein des écoles</v>
          </cell>
          <cell r="AG69">
            <v>1</v>
          </cell>
          <cell r="AH69">
            <v>0</v>
          </cell>
          <cell r="AI69">
            <v>400</v>
          </cell>
          <cell r="AJ69">
            <v>0</v>
          </cell>
          <cell r="AK69">
            <v>0</v>
          </cell>
          <cell r="AL69">
            <v>400</v>
          </cell>
          <cell r="AM69">
            <v>240</v>
          </cell>
          <cell r="AN69">
            <v>0</v>
          </cell>
          <cell r="AO69">
            <v>160</v>
          </cell>
          <cell r="AP69">
            <v>0</v>
          </cell>
        </row>
        <row r="70">
          <cell r="AE70">
            <v>2</v>
          </cell>
          <cell r="AF70" t="str">
            <v xml:space="preserve">Dotation des écoles des kits de maintenance des infrastructures d'eau et d'assainissement </v>
          </cell>
          <cell r="AG70">
            <v>1</v>
          </cell>
          <cell r="AH70">
            <v>0</v>
          </cell>
          <cell r="AI70">
            <v>4050</v>
          </cell>
          <cell r="AJ70">
            <v>0</v>
          </cell>
          <cell r="AK70">
            <v>0</v>
          </cell>
          <cell r="AL70">
            <v>4050</v>
          </cell>
          <cell r="AM70">
            <v>2430</v>
          </cell>
          <cell r="AN70">
            <v>0</v>
          </cell>
          <cell r="AO70">
            <v>1620</v>
          </cell>
          <cell r="AP70">
            <v>0</v>
          </cell>
        </row>
        <row r="71">
          <cell r="AE71">
            <v>3</v>
          </cell>
          <cell r="AF71" t="str">
            <v xml:space="preserve">Restauration des brigades scolaires pendant la formation </v>
          </cell>
          <cell r="AG71">
            <v>1</v>
          </cell>
          <cell r="AH71">
            <v>0</v>
          </cell>
          <cell r="AI71">
            <v>3090</v>
          </cell>
          <cell r="AJ71">
            <v>0</v>
          </cell>
          <cell r="AK71">
            <v>0</v>
          </cell>
          <cell r="AL71">
            <v>3090</v>
          </cell>
          <cell r="AM71">
            <v>1845</v>
          </cell>
          <cell r="AN71">
            <v>0</v>
          </cell>
          <cell r="AO71">
            <v>1245</v>
          </cell>
          <cell r="AP71">
            <v>0</v>
          </cell>
        </row>
        <row r="72">
          <cell r="AE72" t="str">
            <v>1.2.4</v>
          </cell>
          <cell r="AF72" t="str">
            <v>Former des élèves sur la gestion de l'hygiène menstruelles et avoir des discussions ciblées avec les filles pour bien prendre en compte leurs perspectives et leurs éventuels besoins spécifiques dans la mise en œuvre des services WASH</v>
          </cell>
          <cell r="AI72">
            <v>53512.5</v>
          </cell>
          <cell r="AJ72">
            <v>0</v>
          </cell>
          <cell r="AK72">
            <v>0</v>
          </cell>
          <cell r="AL72">
            <v>53512.5</v>
          </cell>
          <cell r="AM72">
            <v>26807.5</v>
          </cell>
          <cell r="AN72">
            <v>0</v>
          </cell>
          <cell r="AO72">
            <v>26705</v>
          </cell>
          <cell r="AP72">
            <v>0</v>
          </cell>
        </row>
        <row r="73">
          <cell r="AE73">
            <v>1</v>
          </cell>
          <cell r="AF73" t="str">
            <v xml:space="preserve">Restauration des participants à la formation </v>
          </cell>
          <cell r="AG73">
            <v>1</v>
          </cell>
          <cell r="AH73">
            <v>0</v>
          </cell>
          <cell r="AI73">
            <v>4125</v>
          </cell>
          <cell r="AJ73">
            <v>0</v>
          </cell>
          <cell r="AK73">
            <v>0</v>
          </cell>
          <cell r="AL73">
            <v>4125</v>
          </cell>
          <cell r="AM73">
            <v>2475</v>
          </cell>
          <cell r="AN73">
            <v>0</v>
          </cell>
          <cell r="AO73">
            <v>1650</v>
          </cell>
          <cell r="AP73">
            <v>0</v>
          </cell>
        </row>
        <row r="74">
          <cell r="AE74">
            <v>2</v>
          </cell>
          <cell r="AF74" t="str">
            <v>Collation trimenstrielles pour les filles participantes aux focus groupes</v>
          </cell>
          <cell r="AG74">
            <v>1</v>
          </cell>
          <cell r="AH74">
            <v>0</v>
          </cell>
          <cell r="AI74">
            <v>4700</v>
          </cell>
          <cell r="AJ74">
            <v>0</v>
          </cell>
          <cell r="AK74">
            <v>0</v>
          </cell>
          <cell r="AL74">
            <v>4700</v>
          </cell>
          <cell r="AM74">
            <v>2800</v>
          </cell>
          <cell r="AN74">
            <v>0</v>
          </cell>
          <cell r="AO74">
            <v>1900</v>
          </cell>
          <cell r="AP74">
            <v>0</v>
          </cell>
        </row>
        <row r="75">
          <cell r="AE75">
            <v>3</v>
          </cell>
          <cell r="AF75" t="str">
            <v>Fourniture de  formation</v>
          </cell>
          <cell r="AG75">
            <v>1</v>
          </cell>
          <cell r="AH75">
            <v>0</v>
          </cell>
          <cell r="AI75">
            <v>687.5</v>
          </cell>
          <cell r="AJ75">
            <v>0</v>
          </cell>
          <cell r="AK75">
            <v>0</v>
          </cell>
          <cell r="AL75">
            <v>687.5</v>
          </cell>
          <cell r="AM75">
            <v>412.5</v>
          </cell>
          <cell r="AN75">
            <v>0</v>
          </cell>
          <cell r="AO75">
            <v>275</v>
          </cell>
          <cell r="AP75">
            <v>0</v>
          </cell>
        </row>
        <row r="76">
          <cell r="AE76">
            <v>4</v>
          </cell>
          <cell r="AF76" t="str">
            <v>Mission de suivi-Supervision et coordination par les equipes de EPST NK1</v>
          </cell>
          <cell r="AG76">
            <v>1</v>
          </cell>
          <cell r="AH76">
            <v>0</v>
          </cell>
          <cell r="AI76">
            <v>7200</v>
          </cell>
          <cell r="AJ76">
            <v>0</v>
          </cell>
          <cell r="AK76">
            <v>0</v>
          </cell>
          <cell r="AL76">
            <v>7200</v>
          </cell>
          <cell r="AM76">
            <v>3600</v>
          </cell>
          <cell r="AN76">
            <v>0</v>
          </cell>
          <cell r="AO76">
            <v>3600</v>
          </cell>
          <cell r="AP76">
            <v>0</v>
          </cell>
        </row>
        <row r="77">
          <cell r="AE77">
            <v>5</v>
          </cell>
          <cell r="AF77" t="str">
            <v>Mission de suivi-Supervision et coordination par les equipes  des sous divisions educatinelles de Rutshuru1, Nyiragongo 1 et 2</v>
          </cell>
          <cell r="AG77">
            <v>1</v>
          </cell>
          <cell r="AH77">
            <v>0</v>
          </cell>
          <cell r="AI77">
            <v>30780</v>
          </cell>
          <cell r="AJ77">
            <v>0</v>
          </cell>
          <cell r="AK77">
            <v>0</v>
          </cell>
          <cell r="AL77">
            <v>30780</v>
          </cell>
          <cell r="AM77">
            <v>14580</v>
          </cell>
          <cell r="AN77">
            <v>0</v>
          </cell>
          <cell r="AO77">
            <v>16200</v>
          </cell>
          <cell r="AP77">
            <v>0</v>
          </cell>
        </row>
        <row r="78">
          <cell r="AE78">
            <v>6</v>
          </cell>
          <cell r="AF78" t="str">
            <v>Carburant pour le vehicule de l'EPST NK1 lors des missions dans la SDE Rutsuru 1</v>
          </cell>
          <cell r="AG78">
            <v>1</v>
          </cell>
          <cell r="AH78">
            <v>0</v>
          </cell>
          <cell r="AI78">
            <v>3360</v>
          </cell>
          <cell r="AJ78">
            <v>0</v>
          </cell>
          <cell r="AK78">
            <v>0</v>
          </cell>
          <cell r="AL78">
            <v>3360</v>
          </cell>
          <cell r="AM78">
            <v>1680</v>
          </cell>
          <cell r="AN78">
            <v>0</v>
          </cell>
          <cell r="AO78">
            <v>1680</v>
          </cell>
          <cell r="AP78">
            <v>0</v>
          </cell>
        </row>
        <row r="79">
          <cell r="AE79">
            <v>7</v>
          </cell>
          <cell r="AF79" t="str">
            <v>Carburant pour la Moto de la SDE  Rutshuru  1  lors des mission dans les ecoles</v>
          </cell>
          <cell r="AG79">
            <v>1</v>
          </cell>
          <cell r="AH79">
            <v>0</v>
          </cell>
          <cell r="AI79">
            <v>2660</v>
          </cell>
          <cell r="AJ79">
            <v>0</v>
          </cell>
          <cell r="AK79">
            <v>0</v>
          </cell>
          <cell r="AL79">
            <v>2660</v>
          </cell>
          <cell r="AM79">
            <v>1260</v>
          </cell>
          <cell r="AN79">
            <v>0</v>
          </cell>
          <cell r="AO79">
            <v>1400</v>
          </cell>
          <cell r="AP79">
            <v>0</v>
          </cell>
        </row>
        <row r="80">
          <cell r="AE80" t="str">
            <v>1.2.5</v>
          </cell>
          <cell r="AF80" t="str">
            <v>Supervision technique et coordination du programme dans les ecoles</v>
          </cell>
          <cell r="AI80">
            <v>372618</v>
          </cell>
          <cell r="AJ80">
            <v>0</v>
          </cell>
          <cell r="AK80">
            <v>9972</v>
          </cell>
          <cell r="AL80">
            <v>382590</v>
          </cell>
          <cell r="AM80">
            <v>179649</v>
          </cell>
          <cell r="AN80">
            <v>0</v>
          </cell>
          <cell r="AO80">
            <v>192969</v>
          </cell>
          <cell r="AP80">
            <v>0</v>
          </cell>
        </row>
        <row r="81">
          <cell r="AE81">
            <v>3</v>
          </cell>
          <cell r="AF81" t="str">
            <v>Coordinateur des interventions Wash</v>
          </cell>
          <cell r="AG81">
            <v>0.6944291230005516</v>
          </cell>
          <cell r="AH81">
            <v>0.3055708769994484</v>
          </cell>
          <cell r="AI81">
            <v>22662</v>
          </cell>
          <cell r="AJ81">
            <v>0</v>
          </cell>
          <cell r="AK81">
            <v>9972</v>
          </cell>
          <cell r="AL81">
            <v>32634</v>
          </cell>
          <cell r="AM81">
            <v>11331</v>
          </cell>
          <cell r="AN81">
            <v>0</v>
          </cell>
          <cell r="AO81">
            <v>11331</v>
          </cell>
          <cell r="AP81">
            <v>0</v>
          </cell>
        </row>
        <row r="82">
          <cell r="AE82">
            <v>4</v>
          </cell>
          <cell r="AF82" t="str">
            <v>Comptable du projet</v>
          </cell>
          <cell r="AG82">
            <v>1</v>
          </cell>
          <cell r="AH82">
            <v>0</v>
          </cell>
          <cell r="AI82">
            <v>20178</v>
          </cell>
          <cell r="AJ82">
            <v>0</v>
          </cell>
          <cell r="AK82">
            <v>0</v>
          </cell>
          <cell r="AL82">
            <v>20178</v>
          </cell>
          <cell r="AM82">
            <v>10089</v>
          </cell>
          <cell r="AN82">
            <v>0</v>
          </cell>
          <cell r="AO82">
            <v>10089</v>
          </cell>
          <cell r="AP82">
            <v>0</v>
          </cell>
        </row>
        <row r="83">
          <cell r="AE83">
            <v>5</v>
          </cell>
          <cell r="AF83" t="str">
            <v>Superviseurs  Techniques (Wash)</v>
          </cell>
          <cell r="AG83">
            <v>1</v>
          </cell>
          <cell r="AH83">
            <v>0</v>
          </cell>
          <cell r="AI83">
            <v>50445</v>
          </cell>
          <cell r="AJ83">
            <v>0</v>
          </cell>
          <cell r="AK83">
            <v>0</v>
          </cell>
          <cell r="AL83">
            <v>50445</v>
          </cell>
          <cell r="AM83">
            <v>20178</v>
          </cell>
          <cell r="AN83">
            <v>0</v>
          </cell>
          <cell r="AO83">
            <v>30267</v>
          </cell>
          <cell r="AP83">
            <v>0</v>
          </cell>
        </row>
        <row r="84">
          <cell r="AE84">
            <v>7</v>
          </cell>
          <cell r="AF84" t="str">
            <v xml:space="preserve">Ingenieur chargé des ouvrages hydrauliques et sanitaires </v>
          </cell>
          <cell r="AG84">
            <v>1</v>
          </cell>
          <cell r="AH84">
            <v>0</v>
          </cell>
          <cell r="AI84">
            <v>18900</v>
          </cell>
          <cell r="AJ84">
            <v>0</v>
          </cell>
          <cell r="AK84">
            <v>0</v>
          </cell>
          <cell r="AL84">
            <v>18900</v>
          </cell>
          <cell r="AM84">
            <v>9450</v>
          </cell>
          <cell r="AN84">
            <v>0</v>
          </cell>
          <cell r="AO84">
            <v>9450</v>
          </cell>
          <cell r="AP84">
            <v>0</v>
          </cell>
        </row>
        <row r="85">
          <cell r="AE85">
            <v>8</v>
          </cell>
          <cell r="AF85" t="str">
            <v>Assistant Chargé de suivi et evaluation (Meal Manager)</v>
          </cell>
          <cell r="AG85">
            <v>1</v>
          </cell>
          <cell r="AH85">
            <v>0</v>
          </cell>
          <cell r="AI85">
            <v>18000</v>
          </cell>
          <cell r="AJ85">
            <v>0</v>
          </cell>
          <cell r="AK85">
            <v>0</v>
          </cell>
          <cell r="AL85">
            <v>18000</v>
          </cell>
          <cell r="AM85">
            <v>9000</v>
          </cell>
          <cell r="AN85">
            <v>0</v>
          </cell>
          <cell r="AO85">
            <v>9000</v>
          </cell>
          <cell r="AP85">
            <v>0</v>
          </cell>
        </row>
        <row r="86">
          <cell r="AE86">
            <v>9</v>
          </cell>
          <cell r="AF86" t="str">
            <v>Superviseur de promotion d'hygiene (Wash)</v>
          </cell>
          <cell r="AG86">
            <v>1</v>
          </cell>
          <cell r="AH86">
            <v>0</v>
          </cell>
          <cell r="AI86">
            <v>43200</v>
          </cell>
          <cell r="AJ86">
            <v>0</v>
          </cell>
          <cell r="AK86">
            <v>0</v>
          </cell>
          <cell r="AL86">
            <v>43200</v>
          </cell>
          <cell r="AM86">
            <v>21600</v>
          </cell>
          <cell r="AN86">
            <v>0</v>
          </cell>
          <cell r="AO86">
            <v>21600</v>
          </cell>
          <cell r="AP86">
            <v>0</v>
          </cell>
        </row>
        <row r="87">
          <cell r="AE87">
            <v>10</v>
          </cell>
          <cell r="AF87" t="str">
            <v>Assistant Technique Watsan (Wash)</v>
          </cell>
          <cell r="AG87">
            <v>1</v>
          </cell>
          <cell r="AH87">
            <v>0</v>
          </cell>
          <cell r="AI87">
            <v>35100</v>
          </cell>
          <cell r="AJ87">
            <v>0</v>
          </cell>
          <cell r="AK87">
            <v>0</v>
          </cell>
          <cell r="AL87">
            <v>35100</v>
          </cell>
          <cell r="AM87">
            <v>17550</v>
          </cell>
          <cell r="AN87">
            <v>0</v>
          </cell>
          <cell r="AO87">
            <v>17550</v>
          </cell>
          <cell r="AP87">
            <v>0</v>
          </cell>
        </row>
        <row r="88">
          <cell r="AE88">
            <v>11</v>
          </cell>
          <cell r="AF88" t="str">
            <v xml:space="preserve">Promoteurs d'hygiene publique  </v>
          </cell>
          <cell r="AG88">
            <v>1</v>
          </cell>
          <cell r="AH88">
            <v>0</v>
          </cell>
          <cell r="AI88">
            <v>108000</v>
          </cell>
          <cell r="AJ88">
            <v>0</v>
          </cell>
          <cell r="AK88">
            <v>0</v>
          </cell>
          <cell r="AL88">
            <v>108000</v>
          </cell>
          <cell r="AM88">
            <v>54000</v>
          </cell>
          <cell r="AN88">
            <v>0</v>
          </cell>
          <cell r="AO88">
            <v>54000</v>
          </cell>
          <cell r="AP88">
            <v>0</v>
          </cell>
        </row>
        <row r="89">
          <cell r="AE89">
            <v>12</v>
          </cell>
          <cell r="AF89" t="str">
            <v xml:space="preserve">Chauffeur </v>
          </cell>
          <cell r="AG89">
            <v>1</v>
          </cell>
          <cell r="AH89">
            <v>0</v>
          </cell>
          <cell r="AI89">
            <v>10908</v>
          </cell>
          <cell r="AJ89">
            <v>0</v>
          </cell>
          <cell r="AK89">
            <v>0</v>
          </cell>
          <cell r="AL89">
            <v>10908</v>
          </cell>
          <cell r="AM89">
            <v>5454</v>
          </cell>
          <cell r="AN89">
            <v>0</v>
          </cell>
          <cell r="AO89">
            <v>5454</v>
          </cell>
          <cell r="AP89">
            <v>0</v>
          </cell>
        </row>
        <row r="90">
          <cell r="AE90">
            <v>13</v>
          </cell>
          <cell r="AF90" t="str">
            <v xml:space="preserve">Gardien de base  </v>
          </cell>
          <cell r="AG90">
            <v>1</v>
          </cell>
          <cell r="AH90">
            <v>0</v>
          </cell>
          <cell r="AI90">
            <v>9000</v>
          </cell>
          <cell r="AJ90">
            <v>0</v>
          </cell>
          <cell r="AK90">
            <v>0</v>
          </cell>
          <cell r="AL90">
            <v>9000</v>
          </cell>
          <cell r="AM90">
            <v>4500</v>
          </cell>
          <cell r="AN90">
            <v>0</v>
          </cell>
          <cell r="AO90">
            <v>4500</v>
          </cell>
          <cell r="AP90">
            <v>0</v>
          </cell>
        </row>
        <row r="91">
          <cell r="AE91">
            <v>14</v>
          </cell>
          <cell r="AF91" t="str">
            <v>Caissiere</v>
          </cell>
          <cell r="AG91">
            <v>1</v>
          </cell>
          <cell r="AH91">
            <v>0</v>
          </cell>
          <cell r="AI91">
            <v>6192</v>
          </cell>
          <cell r="AJ91">
            <v>0</v>
          </cell>
          <cell r="AK91">
            <v>0</v>
          </cell>
          <cell r="AL91">
            <v>6192</v>
          </cell>
          <cell r="AM91">
            <v>3096</v>
          </cell>
          <cell r="AN91">
            <v>0</v>
          </cell>
          <cell r="AO91">
            <v>3096</v>
          </cell>
          <cell r="AP91">
            <v>0</v>
          </cell>
        </row>
        <row r="92">
          <cell r="AE92">
            <v>15</v>
          </cell>
          <cell r="AF92" t="str">
            <v xml:space="preserve">Logisticien Terrain </v>
          </cell>
          <cell r="AG92">
            <v>1</v>
          </cell>
          <cell r="AH92">
            <v>0</v>
          </cell>
          <cell r="AI92">
            <v>9900</v>
          </cell>
          <cell r="AJ92">
            <v>0</v>
          </cell>
          <cell r="AK92">
            <v>0</v>
          </cell>
          <cell r="AL92">
            <v>9900</v>
          </cell>
          <cell r="AM92">
            <v>4950</v>
          </cell>
          <cell r="AN92">
            <v>0</v>
          </cell>
          <cell r="AO92">
            <v>4950</v>
          </cell>
          <cell r="AP92">
            <v>0</v>
          </cell>
        </row>
        <row r="93">
          <cell r="AE93">
            <v>16</v>
          </cell>
          <cell r="AF93" t="str">
            <v>Agent d'entretien de bases locales</v>
          </cell>
          <cell r="AG93">
            <v>1</v>
          </cell>
          <cell r="AH93">
            <v>0</v>
          </cell>
          <cell r="AI93">
            <v>10440</v>
          </cell>
          <cell r="AJ93">
            <v>0</v>
          </cell>
          <cell r="AK93">
            <v>0</v>
          </cell>
          <cell r="AL93">
            <v>10440</v>
          </cell>
          <cell r="AM93">
            <v>5220</v>
          </cell>
          <cell r="AN93">
            <v>0</v>
          </cell>
          <cell r="AO93">
            <v>5220</v>
          </cell>
          <cell r="AP93">
            <v>0</v>
          </cell>
        </row>
        <row r="94">
          <cell r="AE94">
            <v>17</v>
          </cell>
          <cell r="AF94" t="str">
            <v>Magasinier</v>
          </cell>
          <cell r="AG94">
            <v>1</v>
          </cell>
          <cell r="AH94">
            <v>0</v>
          </cell>
          <cell r="AI94">
            <v>9693</v>
          </cell>
          <cell r="AJ94">
            <v>0</v>
          </cell>
          <cell r="AK94">
            <v>0</v>
          </cell>
          <cell r="AL94">
            <v>9693</v>
          </cell>
          <cell r="AM94">
            <v>3231</v>
          </cell>
          <cell r="AN94">
            <v>0</v>
          </cell>
          <cell r="AO94">
            <v>6462</v>
          </cell>
          <cell r="AP94">
            <v>0</v>
          </cell>
        </row>
        <row r="95">
          <cell r="AE95" t="str">
            <v>Plateforme 2</v>
          </cell>
          <cell r="AF95" t="str">
            <v xml:space="preserve">CENTRES DE FORMATION TECHNIQUE </v>
          </cell>
          <cell r="AG95">
            <v>0.75887683040814202</v>
          </cell>
          <cell r="AH95">
            <v>0.24112316959185792</v>
          </cell>
          <cell r="AI95">
            <v>438433.5</v>
          </cell>
          <cell r="AJ95">
            <v>0</v>
          </cell>
          <cell r="AK95">
            <v>139306.5</v>
          </cell>
          <cell r="AL95">
            <v>577740</v>
          </cell>
          <cell r="AM95">
            <v>206830.5</v>
          </cell>
          <cell r="AN95">
            <v>0</v>
          </cell>
          <cell r="AO95">
            <v>231603</v>
          </cell>
          <cell r="AP95">
            <v>0</v>
          </cell>
        </row>
        <row r="96">
          <cell r="AE96" t="str">
            <v>2.1.1</v>
          </cell>
          <cell r="AF96" t="str">
            <v xml:space="preserve">Organiser des discussions ciblées avec les adolescentes bénéficiaires pour bien prendre en compte leurs perspectives et leurs éventuels besoins spécifiques dans le contenu et l’approche pédagogique des formations, le choix des métiers et les modalités d’accompagnement pour leur insertion socio-économique   </v>
          </cell>
          <cell r="AG96">
            <v>1</v>
          </cell>
          <cell r="AH96">
            <v>0</v>
          </cell>
          <cell r="AI96">
            <v>5700</v>
          </cell>
          <cell r="AJ96">
            <v>0</v>
          </cell>
          <cell r="AK96">
            <v>0</v>
          </cell>
          <cell r="AL96">
            <v>5700</v>
          </cell>
          <cell r="AM96">
            <v>2850</v>
          </cell>
          <cell r="AN96">
            <v>0</v>
          </cell>
          <cell r="AO96">
            <v>2850</v>
          </cell>
          <cell r="AP96">
            <v>0</v>
          </cell>
        </row>
        <row r="97">
          <cell r="AE97">
            <v>1</v>
          </cell>
          <cell r="AF97" t="str">
            <v xml:space="preserve">Fourniture </v>
          </cell>
          <cell r="AG97">
            <v>1</v>
          </cell>
          <cell r="AH97">
            <v>0</v>
          </cell>
          <cell r="AI97">
            <v>1500</v>
          </cell>
          <cell r="AJ97">
            <v>0</v>
          </cell>
          <cell r="AK97">
            <v>0</v>
          </cell>
          <cell r="AL97">
            <v>1500</v>
          </cell>
          <cell r="AM97">
            <v>750</v>
          </cell>
          <cell r="AN97">
            <v>0</v>
          </cell>
          <cell r="AO97">
            <v>750</v>
          </cell>
          <cell r="AP97">
            <v>0</v>
          </cell>
        </row>
        <row r="98">
          <cell r="AE98">
            <v>2</v>
          </cell>
          <cell r="AF98" t="str">
            <v>Resstauration+pause café</v>
          </cell>
          <cell r="AG98">
            <v>1</v>
          </cell>
          <cell r="AH98">
            <v>0</v>
          </cell>
          <cell r="AI98">
            <v>4200</v>
          </cell>
          <cell r="AJ98">
            <v>0</v>
          </cell>
          <cell r="AK98">
            <v>0</v>
          </cell>
          <cell r="AL98">
            <v>4200</v>
          </cell>
          <cell r="AM98">
            <v>2100</v>
          </cell>
          <cell r="AN98">
            <v>0</v>
          </cell>
          <cell r="AO98">
            <v>2100</v>
          </cell>
          <cell r="AP98">
            <v>0</v>
          </cell>
        </row>
        <row r="99">
          <cell r="AE99" t="str">
            <v>2.1.2</v>
          </cell>
          <cell r="AF99" t="str">
            <v>Fournir aux adolescents vulnérables non scolarisés et déscolarisés parmi les communautés ciblées des « compétences de vie » à long terme pour leur réinsertion sociale dans la société (incluent des kits d’insertion socio-économiques)</v>
          </cell>
          <cell r="AG99">
            <v>0.9</v>
          </cell>
          <cell r="AH99">
            <v>0.1</v>
          </cell>
          <cell r="AI99">
            <v>170469</v>
          </cell>
          <cell r="AJ99">
            <v>0</v>
          </cell>
          <cell r="AK99">
            <v>18941</v>
          </cell>
          <cell r="AL99">
            <v>189410</v>
          </cell>
          <cell r="AM99">
            <v>100984.5</v>
          </cell>
          <cell r="AN99">
            <v>0</v>
          </cell>
          <cell r="AO99">
            <v>69484.5</v>
          </cell>
          <cell r="AP99">
            <v>0</v>
          </cell>
        </row>
        <row r="100">
          <cell r="AF100" t="str">
            <v>Réunion avec les représentants des zones de santé et les autorités scolaires - suivant les protocoles COVID-19</v>
          </cell>
          <cell r="AM100">
            <v>0</v>
          </cell>
          <cell r="AN100">
            <v>0</v>
          </cell>
          <cell r="AO100">
            <v>0</v>
          </cell>
          <cell r="AP100">
            <v>0</v>
          </cell>
        </row>
        <row r="101">
          <cell r="AE101">
            <v>1</v>
          </cell>
          <cell r="AF101" t="str">
            <v>Salle de réunion avec les représentants des zones de santé et les autorités scolaires - suivant les protocoles COVID-19</v>
          </cell>
          <cell r="AG101">
            <v>0.9</v>
          </cell>
          <cell r="AH101">
            <v>0.1</v>
          </cell>
          <cell r="AI101">
            <v>180</v>
          </cell>
          <cell r="AJ101">
            <v>0</v>
          </cell>
          <cell r="AK101">
            <v>20</v>
          </cell>
          <cell r="AL101">
            <v>200</v>
          </cell>
          <cell r="AM101">
            <v>90</v>
          </cell>
          <cell r="AN101">
            <v>0</v>
          </cell>
          <cell r="AO101">
            <v>90</v>
          </cell>
          <cell r="AP101">
            <v>0</v>
          </cell>
        </row>
        <row r="102">
          <cell r="AF102" t="str">
            <v xml:space="preserve">Identification de 1200 adolescents vulnérables, scolarisés ou non, qui seront formés aux compétences de vie. </v>
          </cell>
          <cell r="AM102">
            <v>0</v>
          </cell>
          <cell r="AN102">
            <v>0</v>
          </cell>
          <cell r="AO102">
            <v>0</v>
          </cell>
          <cell r="AP102">
            <v>0</v>
          </cell>
        </row>
        <row r="103">
          <cell r="AE103">
            <v>2</v>
          </cell>
          <cell r="AF103" t="str">
            <v>Salle de réunion avec le département des affaires sociales qui aidera à identifier les centres techniques et les adolescentes vulnerables</v>
          </cell>
          <cell r="AG103">
            <v>0.9</v>
          </cell>
          <cell r="AH103">
            <v>0.1</v>
          </cell>
          <cell r="AI103">
            <v>180</v>
          </cell>
          <cell r="AJ103">
            <v>0</v>
          </cell>
          <cell r="AK103">
            <v>20</v>
          </cell>
          <cell r="AL103">
            <v>200</v>
          </cell>
          <cell r="AM103">
            <v>90</v>
          </cell>
          <cell r="AN103">
            <v>0</v>
          </cell>
          <cell r="AO103">
            <v>90</v>
          </cell>
          <cell r="AP103">
            <v>0</v>
          </cell>
        </row>
        <row r="104">
          <cell r="AE104">
            <v>3</v>
          </cell>
          <cell r="AF104" t="str">
            <v>Identifier 1200  adolescents vulnerables</v>
          </cell>
          <cell r="AI104">
            <v>0</v>
          </cell>
          <cell r="AJ104">
            <v>0</v>
          </cell>
          <cell r="AK104">
            <v>0</v>
          </cell>
          <cell r="AL104">
            <v>0</v>
          </cell>
          <cell r="AM104">
            <v>0</v>
          </cell>
          <cell r="AN104">
            <v>0</v>
          </cell>
          <cell r="AO104">
            <v>0</v>
          </cell>
          <cell r="AP104">
            <v>0</v>
          </cell>
        </row>
        <row r="105">
          <cell r="AF105" t="str">
            <v>Révision des modules de formation sur l'approche Youth Ready (formations sur les compétences de vie) adaptés au contexte.</v>
          </cell>
          <cell r="AM105">
            <v>0</v>
          </cell>
          <cell r="AN105">
            <v>0</v>
          </cell>
          <cell r="AO105">
            <v>0</v>
          </cell>
          <cell r="AP105">
            <v>0</v>
          </cell>
        </row>
        <row r="106">
          <cell r="AE106">
            <v>4</v>
          </cell>
          <cell r="AF106" t="str">
            <v>Révision et traduction des modules Youth Ready dans la langue locale</v>
          </cell>
          <cell r="AG106">
            <v>0.9</v>
          </cell>
          <cell r="AH106">
            <v>0.1</v>
          </cell>
          <cell r="AI106">
            <v>450</v>
          </cell>
          <cell r="AJ106">
            <v>0</v>
          </cell>
          <cell r="AK106">
            <v>50</v>
          </cell>
          <cell r="AL106">
            <v>500</v>
          </cell>
          <cell r="AM106">
            <v>225</v>
          </cell>
          <cell r="AN106">
            <v>0</v>
          </cell>
          <cell r="AO106">
            <v>225</v>
          </cell>
          <cell r="AP106">
            <v>0</v>
          </cell>
        </row>
        <row r="107">
          <cell r="AE107">
            <v>5</v>
          </cell>
          <cell r="AF107" t="str">
            <v>Impression et distribution des modules Youth Ready</v>
          </cell>
          <cell r="AG107">
            <v>0.9</v>
          </cell>
          <cell r="AH107">
            <v>0.1</v>
          </cell>
          <cell r="AI107">
            <v>3240</v>
          </cell>
          <cell r="AJ107">
            <v>0</v>
          </cell>
          <cell r="AK107">
            <v>360</v>
          </cell>
          <cell r="AL107">
            <v>3600</v>
          </cell>
          <cell r="AM107">
            <v>1620</v>
          </cell>
          <cell r="AN107">
            <v>0</v>
          </cell>
          <cell r="AO107">
            <v>1620</v>
          </cell>
          <cell r="AP107">
            <v>0</v>
          </cell>
        </row>
        <row r="108">
          <cell r="AF108" t="str">
            <v>Sensibiliser les parents à l'importance de former leurs enfants au développement à long terme sur des "compétences de vie".</v>
          </cell>
          <cell r="AM108">
            <v>0</v>
          </cell>
          <cell r="AN108">
            <v>0</v>
          </cell>
          <cell r="AO108">
            <v>0</v>
          </cell>
          <cell r="AP108">
            <v>0</v>
          </cell>
        </row>
        <row r="109">
          <cell r="AE109">
            <v>6</v>
          </cell>
          <cell r="AF109" t="str">
            <v>Matériel de sensibilisation</v>
          </cell>
          <cell r="AG109">
            <v>0.9</v>
          </cell>
          <cell r="AH109">
            <v>0.1</v>
          </cell>
          <cell r="AI109">
            <v>180</v>
          </cell>
          <cell r="AJ109">
            <v>0</v>
          </cell>
          <cell r="AK109">
            <v>20</v>
          </cell>
          <cell r="AL109">
            <v>200</v>
          </cell>
          <cell r="AM109">
            <v>90</v>
          </cell>
          <cell r="AN109">
            <v>0</v>
          </cell>
          <cell r="AO109">
            <v>90</v>
          </cell>
          <cell r="AP109">
            <v>0</v>
          </cell>
        </row>
        <row r="110">
          <cell r="AF110" t="str">
            <v>Former les formateurs des communautés cibles à l'approche "Youth Ready".</v>
          </cell>
          <cell r="AM110">
            <v>0</v>
          </cell>
          <cell r="AN110">
            <v>0</v>
          </cell>
          <cell r="AO110">
            <v>0</v>
          </cell>
          <cell r="AP110">
            <v>0</v>
          </cell>
        </row>
        <row r="111">
          <cell r="AE111">
            <v>7</v>
          </cell>
          <cell r="AF111" t="str">
            <v>Lieu de formation</v>
          </cell>
          <cell r="AG111">
            <v>0.9</v>
          </cell>
          <cell r="AH111">
            <v>0.1</v>
          </cell>
          <cell r="AI111">
            <v>540</v>
          </cell>
          <cell r="AJ111">
            <v>0</v>
          </cell>
          <cell r="AK111">
            <v>60</v>
          </cell>
          <cell r="AL111">
            <v>600</v>
          </cell>
          <cell r="AM111">
            <v>270</v>
          </cell>
          <cell r="AN111">
            <v>0</v>
          </cell>
          <cell r="AO111">
            <v>270</v>
          </cell>
          <cell r="AP111">
            <v>0</v>
          </cell>
        </row>
        <row r="112">
          <cell r="AE112">
            <v>8</v>
          </cell>
          <cell r="AF112" t="str">
            <v>pause café</v>
          </cell>
          <cell r="AG112">
            <v>0.9</v>
          </cell>
          <cell r="AH112">
            <v>0.1</v>
          </cell>
          <cell r="AI112">
            <v>324</v>
          </cell>
          <cell r="AJ112">
            <v>0</v>
          </cell>
          <cell r="AK112">
            <v>36</v>
          </cell>
          <cell r="AL112">
            <v>360</v>
          </cell>
          <cell r="AM112">
            <v>162</v>
          </cell>
          <cell r="AN112">
            <v>0</v>
          </cell>
          <cell r="AO112">
            <v>162</v>
          </cell>
          <cell r="AP112">
            <v>0</v>
          </cell>
        </row>
        <row r="113">
          <cell r="AE113">
            <v>9</v>
          </cell>
          <cell r="AF113" t="str">
            <v>Repas</v>
          </cell>
          <cell r="AG113">
            <v>0.9</v>
          </cell>
          <cell r="AH113">
            <v>0.1</v>
          </cell>
          <cell r="AI113">
            <v>810</v>
          </cell>
          <cell r="AJ113">
            <v>0</v>
          </cell>
          <cell r="AK113">
            <v>90</v>
          </cell>
          <cell r="AL113">
            <v>900</v>
          </cell>
          <cell r="AM113">
            <v>405</v>
          </cell>
          <cell r="AN113">
            <v>0</v>
          </cell>
          <cell r="AO113">
            <v>405</v>
          </cell>
          <cell r="AP113">
            <v>0</v>
          </cell>
        </row>
        <row r="114">
          <cell r="AE114">
            <v>10</v>
          </cell>
          <cell r="AF114" t="str">
            <v>Fournitures de formation</v>
          </cell>
          <cell r="AG114">
            <v>0.9</v>
          </cell>
          <cell r="AH114">
            <v>0.1</v>
          </cell>
          <cell r="AI114">
            <v>135</v>
          </cell>
          <cell r="AJ114">
            <v>0</v>
          </cell>
          <cell r="AK114">
            <v>15</v>
          </cell>
          <cell r="AL114">
            <v>150</v>
          </cell>
          <cell r="AM114">
            <v>67.5</v>
          </cell>
          <cell r="AN114">
            <v>0</v>
          </cell>
          <cell r="AO114">
            <v>67.5</v>
          </cell>
          <cell r="AP114">
            <v>0</v>
          </cell>
        </row>
        <row r="115">
          <cell r="AE115">
            <v>11</v>
          </cell>
          <cell r="AF115" t="str">
            <v>Transport</v>
          </cell>
          <cell r="AG115">
            <v>0.9</v>
          </cell>
          <cell r="AH115">
            <v>0.1</v>
          </cell>
          <cell r="AI115">
            <v>810</v>
          </cell>
          <cell r="AJ115">
            <v>0</v>
          </cell>
          <cell r="AK115">
            <v>90</v>
          </cell>
          <cell r="AL115">
            <v>900</v>
          </cell>
          <cell r="AM115">
            <v>405</v>
          </cell>
          <cell r="AN115">
            <v>0</v>
          </cell>
          <cell r="AO115">
            <v>405</v>
          </cell>
          <cell r="AP115">
            <v>0</v>
          </cell>
        </row>
        <row r="116">
          <cell r="AF116" t="str">
            <v>Former les adolescents vulnérables non scolarisés et scolarisés des communautés cibles à l'approche Youth Ready.</v>
          </cell>
          <cell r="AM116">
            <v>0</v>
          </cell>
          <cell r="AN116">
            <v>0</v>
          </cell>
          <cell r="AO116">
            <v>0</v>
          </cell>
          <cell r="AP116">
            <v>0</v>
          </cell>
        </row>
        <row r="117">
          <cell r="AE117">
            <v>12</v>
          </cell>
          <cell r="AF117" t="str">
            <v>Repas</v>
          </cell>
          <cell r="AG117">
            <v>0.9</v>
          </cell>
          <cell r="AH117">
            <v>0.1</v>
          </cell>
          <cell r="AI117">
            <v>16200</v>
          </cell>
          <cell r="AJ117">
            <v>0</v>
          </cell>
          <cell r="AK117">
            <v>1800</v>
          </cell>
          <cell r="AL117">
            <v>18000</v>
          </cell>
          <cell r="AM117">
            <v>8100</v>
          </cell>
          <cell r="AN117">
            <v>0</v>
          </cell>
          <cell r="AO117">
            <v>8100</v>
          </cell>
          <cell r="AP117">
            <v>0</v>
          </cell>
        </row>
        <row r="118">
          <cell r="AE118">
            <v>13</v>
          </cell>
          <cell r="AF118" t="str">
            <v>Fournitures de formation</v>
          </cell>
          <cell r="AG118">
            <v>0.9</v>
          </cell>
          <cell r="AH118">
            <v>0.1</v>
          </cell>
          <cell r="AI118">
            <v>2700</v>
          </cell>
          <cell r="AJ118">
            <v>0</v>
          </cell>
          <cell r="AK118">
            <v>300</v>
          </cell>
          <cell r="AL118">
            <v>3000</v>
          </cell>
          <cell r="AM118">
            <v>1350</v>
          </cell>
          <cell r="AN118">
            <v>0</v>
          </cell>
          <cell r="AO118">
            <v>1350</v>
          </cell>
          <cell r="AP118">
            <v>0</v>
          </cell>
        </row>
        <row r="119">
          <cell r="AF119" t="str">
            <v xml:space="preserve">Effectuer une évaluation du marché en ce qui concerne le manque de compétences techniques </v>
          </cell>
          <cell r="AM119">
            <v>0</v>
          </cell>
          <cell r="AN119">
            <v>0</v>
          </cell>
          <cell r="AO119">
            <v>0</v>
          </cell>
          <cell r="AP119">
            <v>0</v>
          </cell>
        </row>
        <row r="120">
          <cell r="AE120">
            <v>14</v>
          </cell>
          <cell r="AF120" t="str">
            <v>Effectuer une évaluation du marché dans les deux zones de santé</v>
          </cell>
          <cell r="AG120">
            <v>0.9</v>
          </cell>
          <cell r="AH120">
            <v>0.1</v>
          </cell>
          <cell r="AI120">
            <v>540</v>
          </cell>
          <cell r="AJ120">
            <v>0</v>
          </cell>
          <cell r="AK120">
            <v>60</v>
          </cell>
          <cell r="AL120">
            <v>600</v>
          </cell>
          <cell r="AM120">
            <v>270</v>
          </cell>
          <cell r="AN120">
            <v>0</v>
          </cell>
          <cell r="AO120">
            <v>270</v>
          </cell>
          <cell r="AP120">
            <v>0</v>
          </cell>
        </row>
        <row r="121">
          <cell r="AF121" t="str">
            <v>Orienter les adolescents formés vers des centres de formation technique, professionnelle et éducative (TVET) pour l'orientation, le mentorat et la supervision (incluent alphabetization).</v>
          </cell>
          <cell r="AM121">
            <v>0</v>
          </cell>
          <cell r="AN121">
            <v>0</v>
          </cell>
          <cell r="AO121">
            <v>0</v>
          </cell>
          <cell r="AP121">
            <v>0</v>
          </cell>
        </row>
        <row r="122">
          <cell r="AE122">
            <v>15</v>
          </cell>
          <cell r="AF122" t="str">
            <v>Soutien au paiement des frais d'inscription</v>
          </cell>
          <cell r="AG122">
            <v>0.9</v>
          </cell>
          <cell r="AH122">
            <v>0.1</v>
          </cell>
          <cell r="AI122">
            <v>10800</v>
          </cell>
          <cell r="AJ122">
            <v>0</v>
          </cell>
          <cell r="AK122">
            <v>1200</v>
          </cell>
          <cell r="AL122">
            <v>12000</v>
          </cell>
          <cell r="AM122">
            <v>5400</v>
          </cell>
          <cell r="AN122">
            <v>0</v>
          </cell>
          <cell r="AO122">
            <v>5400</v>
          </cell>
          <cell r="AP122">
            <v>0</v>
          </cell>
        </row>
        <row r="123">
          <cell r="AE123">
            <v>16</v>
          </cell>
          <cell r="AF123" t="str">
            <v xml:space="preserve">Soutien matériel fourni aux centres techniques </v>
          </cell>
          <cell r="AG123">
            <v>0.9</v>
          </cell>
          <cell r="AH123">
            <v>0.1</v>
          </cell>
          <cell r="AI123">
            <v>13500</v>
          </cell>
          <cell r="AJ123">
            <v>0</v>
          </cell>
          <cell r="AK123">
            <v>1500</v>
          </cell>
          <cell r="AL123">
            <v>15000</v>
          </cell>
          <cell r="AM123">
            <v>9000</v>
          </cell>
          <cell r="AN123">
            <v>0</v>
          </cell>
          <cell r="AO123">
            <v>4500</v>
          </cell>
          <cell r="AP123">
            <v>0</v>
          </cell>
        </row>
        <row r="124">
          <cell r="AE124">
            <v>17</v>
          </cell>
          <cell r="AF124" t="str">
            <v xml:space="preserve">Soutenir le personnel technique du centre technique </v>
          </cell>
          <cell r="AG124">
            <v>0.9</v>
          </cell>
          <cell r="AH124">
            <v>0.1</v>
          </cell>
          <cell r="AI124">
            <v>38880</v>
          </cell>
          <cell r="AJ124">
            <v>0</v>
          </cell>
          <cell r="AK124">
            <v>4320</v>
          </cell>
          <cell r="AL124">
            <v>43200</v>
          </cell>
          <cell r="AM124">
            <v>19440</v>
          </cell>
          <cell r="AN124">
            <v>0</v>
          </cell>
          <cell r="AO124">
            <v>19440</v>
          </cell>
          <cell r="AP124">
            <v>0</v>
          </cell>
        </row>
        <row r="125">
          <cell r="AF125" t="str">
            <v>Orienter les adolescents formés vers des opportunités d'apprentissage auprès d'entreprises locales</v>
          </cell>
          <cell r="AM125">
            <v>0</v>
          </cell>
          <cell r="AN125">
            <v>0</v>
          </cell>
          <cell r="AO125">
            <v>0</v>
          </cell>
          <cell r="AP125">
            <v>0</v>
          </cell>
        </row>
        <row r="126">
          <cell r="AE126">
            <v>18</v>
          </cell>
          <cell r="AF126" t="str">
            <v xml:space="preserve">Fourniture de kits d'apprentissage aux groupes de  jeunes </v>
          </cell>
          <cell r="AG126">
            <v>0.9</v>
          </cell>
          <cell r="AH126">
            <v>0.1</v>
          </cell>
          <cell r="AI126">
            <v>81000</v>
          </cell>
          <cell r="AJ126">
            <v>0</v>
          </cell>
          <cell r="AK126">
            <v>9000</v>
          </cell>
          <cell r="AL126">
            <v>90000</v>
          </cell>
          <cell r="AM126">
            <v>54000</v>
          </cell>
          <cell r="AN126">
            <v>0</v>
          </cell>
          <cell r="AO126">
            <v>27000</v>
          </cell>
          <cell r="AP126">
            <v>0</v>
          </cell>
        </row>
        <row r="127">
          <cell r="AF127" t="str">
            <v>Développement d'un plan de suivi de la réinsertion sociale des adolescents formés.</v>
          </cell>
          <cell r="AM127">
            <v>0</v>
          </cell>
          <cell r="AN127">
            <v>0</v>
          </cell>
          <cell r="AO127">
            <v>0</v>
          </cell>
          <cell r="AP127">
            <v>0</v>
          </cell>
        </row>
        <row r="128">
          <cell r="AE128">
            <v>19</v>
          </cell>
          <cell r="AF128" t="str">
            <v xml:space="preserve">Réunions avec les cohortes d'adolescents formés </v>
          </cell>
          <cell r="AI128">
            <v>0</v>
          </cell>
          <cell r="AJ128">
            <v>0</v>
          </cell>
          <cell r="AK128">
            <v>0</v>
          </cell>
          <cell r="AL128">
            <v>0</v>
          </cell>
          <cell r="AM128">
            <v>0</v>
          </cell>
          <cell r="AN128">
            <v>0</v>
          </cell>
          <cell r="AO128">
            <v>0</v>
          </cell>
          <cell r="AP128">
            <v>0</v>
          </cell>
        </row>
        <row r="129">
          <cell r="AE129" t="str">
            <v>2.1.3</v>
          </cell>
          <cell r="AF129" t="str">
            <v>Former les adolescents non scolarisés et déscolarisés dans les centres techniques et agricoles en alphabétisation fonctionnelle</v>
          </cell>
          <cell r="AG129">
            <v>0.9</v>
          </cell>
          <cell r="AH129">
            <v>0.1</v>
          </cell>
          <cell r="AI129">
            <v>25362</v>
          </cell>
          <cell r="AJ129">
            <v>0</v>
          </cell>
          <cell r="AK129">
            <v>2818</v>
          </cell>
          <cell r="AL129">
            <v>28180</v>
          </cell>
          <cell r="AM129">
            <v>12681</v>
          </cell>
          <cell r="AN129">
            <v>0</v>
          </cell>
          <cell r="AO129">
            <v>12681</v>
          </cell>
          <cell r="AP129">
            <v>0</v>
          </cell>
        </row>
        <row r="130">
          <cell r="AE130">
            <v>1</v>
          </cell>
          <cell r="AF130" t="str">
            <v>Pause café</v>
          </cell>
          <cell r="AG130">
            <v>0.9</v>
          </cell>
          <cell r="AH130">
            <v>0.1</v>
          </cell>
          <cell r="AI130">
            <v>432</v>
          </cell>
          <cell r="AJ130">
            <v>0</v>
          </cell>
          <cell r="AK130">
            <v>48</v>
          </cell>
          <cell r="AL130">
            <v>480</v>
          </cell>
          <cell r="AM130">
            <v>216</v>
          </cell>
          <cell r="AN130">
            <v>0</v>
          </cell>
          <cell r="AO130">
            <v>216</v>
          </cell>
          <cell r="AP130">
            <v>0</v>
          </cell>
        </row>
        <row r="131">
          <cell r="AE131">
            <v>2</v>
          </cell>
          <cell r="AF131" t="str">
            <v>Repas</v>
          </cell>
          <cell r="AG131">
            <v>0.9</v>
          </cell>
          <cell r="AH131">
            <v>0.1</v>
          </cell>
          <cell r="AI131">
            <v>1080</v>
          </cell>
          <cell r="AJ131">
            <v>0</v>
          </cell>
          <cell r="AK131">
            <v>120</v>
          </cell>
          <cell r="AL131">
            <v>1200</v>
          </cell>
          <cell r="AM131">
            <v>540</v>
          </cell>
          <cell r="AN131">
            <v>0</v>
          </cell>
          <cell r="AO131">
            <v>540</v>
          </cell>
          <cell r="AP131">
            <v>0</v>
          </cell>
        </row>
        <row r="132">
          <cell r="AE132">
            <v>3</v>
          </cell>
          <cell r="AF132" t="str">
            <v>Fournitures de formation</v>
          </cell>
          <cell r="AG132">
            <v>0.9</v>
          </cell>
          <cell r="AH132">
            <v>0.1</v>
          </cell>
          <cell r="AI132">
            <v>270</v>
          </cell>
          <cell r="AJ132">
            <v>0</v>
          </cell>
          <cell r="AK132">
            <v>30</v>
          </cell>
          <cell r="AL132">
            <v>300</v>
          </cell>
          <cell r="AM132">
            <v>135</v>
          </cell>
          <cell r="AN132">
            <v>0</v>
          </cell>
          <cell r="AO132">
            <v>135</v>
          </cell>
          <cell r="AP132">
            <v>0</v>
          </cell>
        </row>
        <row r="133">
          <cell r="AE133">
            <v>4</v>
          </cell>
          <cell r="AF133" t="str">
            <v>Transport</v>
          </cell>
          <cell r="AG133">
            <v>0.9</v>
          </cell>
          <cell r="AH133">
            <v>0.1</v>
          </cell>
          <cell r="AI133">
            <v>1080</v>
          </cell>
          <cell r="AJ133">
            <v>0</v>
          </cell>
          <cell r="AK133">
            <v>120</v>
          </cell>
          <cell r="AL133">
            <v>1200</v>
          </cell>
          <cell r="AM133">
            <v>540</v>
          </cell>
          <cell r="AN133">
            <v>0</v>
          </cell>
          <cell r="AO133">
            <v>540</v>
          </cell>
          <cell r="AP133">
            <v>0</v>
          </cell>
        </row>
        <row r="134">
          <cell r="AF134" t="str">
            <v>Former les adolescents cibles à l'alphabétisation fonctionnelle à l'aide de l'approche de l'alphabétisation sans contrainte.</v>
          </cell>
          <cell r="AM134">
            <v>0</v>
          </cell>
          <cell r="AN134">
            <v>0</v>
          </cell>
          <cell r="AO134">
            <v>0</v>
          </cell>
          <cell r="AP134">
            <v>0</v>
          </cell>
        </row>
        <row r="135">
          <cell r="AE135">
            <v>6</v>
          </cell>
          <cell r="AF135" t="str">
            <v>Repas</v>
          </cell>
          <cell r="AG135">
            <v>0.9</v>
          </cell>
          <cell r="AH135">
            <v>0.1</v>
          </cell>
          <cell r="AI135">
            <v>16200</v>
          </cell>
          <cell r="AJ135">
            <v>0</v>
          </cell>
          <cell r="AK135">
            <v>1800</v>
          </cell>
          <cell r="AL135">
            <v>18000</v>
          </cell>
          <cell r="AM135">
            <v>8100</v>
          </cell>
          <cell r="AN135">
            <v>0</v>
          </cell>
          <cell r="AO135">
            <v>8100</v>
          </cell>
          <cell r="AP135">
            <v>0</v>
          </cell>
        </row>
        <row r="136">
          <cell r="AE136">
            <v>7</v>
          </cell>
          <cell r="AF136" t="str">
            <v>Fournitures de formation</v>
          </cell>
          <cell r="AG136">
            <v>0.9</v>
          </cell>
          <cell r="AH136">
            <v>0.1</v>
          </cell>
          <cell r="AI136">
            <v>2700</v>
          </cell>
          <cell r="AJ136">
            <v>0</v>
          </cell>
          <cell r="AK136">
            <v>300</v>
          </cell>
          <cell r="AL136">
            <v>3000</v>
          </cell>
          <cell r="AM136">
            <v>1350</v>
          </cell>
          <cell r="AN136">
            <v>0</v>
          </cell>
          <cell r="AO136">
            <v>1350</v>
          </cell>
          <cell r="AP136">
            <v>0</v>
          </cell>
        </row>
        <row r="137">
          <cell r="AF137" t="str">
            <v xml:space="preserve">Organisation de clubs de lecture/apprentissage pour adolescents dans les centres technique et agricoles </v>
          </cell>
          <cell r="AM137">
            <v>0</v>
          </cell>
          <cell r="AN137">
            <v>0</v>
          </cell>
          <cell r="AO137">
            <v>0</v>
          </cell>
          <cell r="AP137">
            <v>0</v>
          </cell>
        </row>
        <row r="138">
          <cell r="AE138">
            <v>8</v>
          </cell>
          <cell r="AF138" t="str">
            <v>Achat de livres pour les clubs de lectures</v>
          </cell>
          <cell r="AG138">
            <v>0.9</v>
          </cell>
          <cell r="AH138">
            <v>0.1</v>
          </cell>
          <cell r="AI138">
            <v>3600</v>
          </cell>
          <cell r="AJ138">
            <v>0</v>
          </cell>
          <cell r="AK138">
            <v>400</v>
          </cell>
          <cell r="AL138">
            <v>4000</v>
          </cell>
          <cell r="AM138">
            <v>1800</v>
          </cell>
          <cell r="AN138">
            <v>0</v>
          </cell>
          <cell r="AO138">
            <v>1800</v>
          </cell>
          <cell r="AP138">
            <v>0</v>
          </cell>
        </row>
        <row r="139">
          <cell r="AE139" t="str">
            <v>2.1.4</v>
          </cell>
          <cell r="AF139" t="str">
            <v>Fournir aux adolescents non scolarisés et déscolarisés des communautés ciblées une formation technique en agriculture/en petit élevage et activités liées à la production / transformation alimentaire ou autres métiers choisis et en gestion d’activités génératrices de revenus pour leur réintégration socio-économique</v>
          </cell>
          <cell r="AG139">
            <v>0.9</v>
          </cell>
          <cell r="AH139">
            <v>0.1</v>
          </cell>
          <cell r="AI139">
            <v>58473</v>
          </cell>
          <cell r="AJ139">
            <v>0</v>
          </cell>
          <cell r="AK139">
            <v>6497</v>
          </cell>
          <cell r="AL139">
            <v>64970</v>
          </cell>
          <cell r="AM139">
            <v>32386.5</v>
          </cell>
          <cell r="AN139">
            <v>0</v>
          </cell>
          <cell r="AO139">
            <v>26086.5</v>
          </cell>
          <cell r="AP139">
            <v>0</v>
          </cell>
        </row>
        <row r="140">
          <cell r="AF140" t="str">
            <v xml:space="preserve">Former les formateurs à l'agriculture/au petit élevage et aux activités de production/transformation alimentaire </v>
          </cell>
          <cell r="AM140">
            <v>0</v>
          </cell>
          <cell r="AN140">
            <v>0</v>
          </cell>
          <cell r="AO140">
            <v>0</v>
          </cell>
          <cell r="AP140">
            <v>0</v>
          </cell>
        </row>
        <row r="141">
          <cell r="AE141">
            <v>1</v>
          </cell>
          <cell r="AF141" t="str">
            <v>Lieux de formation  dans deux zones de santé</v>
          </cell>
          <cell r="AG141">
            <v>0.9</v>
          </cell>
          <cell r="AH141">
            <v>0.1</v>
          </cell>
          <cell r="AI141">
            <v>540</v>
          </cell>
          <cell r="AJ141">
            <v>0</v>
          </cell>
          <cell r="AK141">
            <v>60</v>
          </cell>
          <cell r="AL141">
            <v>600</v>
          </cell>
          <cell r="AM141">
            <v>270</v>
          </cell>
          <cell r="AN141">
            <v>0</v>
          </cell>
          <cell r="AO141">
            <v>270</v>
          </cell>
          <cell r="AP141">
            <v>0</v>
          </cell>
        </row>
        <row r="142">
          <cell r="AE142">
            <v>2</v>
          </cell>
          <cell r="AF142" t="str">
            <v>pause café</v>
          </cell>
          <cell r="AG142">
            <v>0.9</v>
          </cell>
          <cell r="AH142">
            <v>0.1</v>
          </cell>
          <cell r="AI142">
            <v>216</v>
          </cell>
          <cell r="AJ142">
            <v>0</v>
          </cell>
          <cell r="AK142">
            <v>24</v>
          </cell>
          <cell r="AL142">
            <v>240</v>
          </cell>
          <cell r="AM142">
            <v>108</v>
          </cell>
          <cell r="AN142">
            <v>0</v>
          </cell>
          <cell r="AO142">
            <v>108</v>
          </cell>
          <cell r="AP142">
            <v>0</v>
          </cell>
        </row>
        <row r="143">
          <cell r="AE143">
            <v>3</v>
          </cell>
          <cell r="AF143" t="str">
            <v>Repas</v>
          </cell>
          <cell r="AG143">
            <v>0.9</v>
          </cell>
          <cell r="AH143">
            <v>0.1</v>
          </cell>
          <cell r="AI143">
            <v>540</v>
          </cell>
          <cell r="AJ143">
            <v>0</v>
          </cell>
          <cell r="AK143">
            <v>60</v>
          </cell>
          <cell r="AL143">
            <v>600</v>
          </cell>
          <cell r="AM143">
            <v>270</v>
          </cell>
          <cell r="AN143">
            <v>0</v>
          </cell>
          <cell r="AO143">
            <v>270</v>
          </cell>
          <cell r="AP143">
            <v>0</v>
          </cell>
        </row>
        <row r="144">
          <cell r="AE144">
            <v>4</v>
          </cell>
          <cell r="AF144" t="str">
            <v>Fournitures de formation</v>
          </cell>
          <cell r="AG144">
            <v>0.9</v>
          </cell>
          <cell r="AH144">
            <v>0.1</v>
          </cell>
          <cell r="AI144">
            <v>90</v>
          </cell>
          <cell r="AJ144">
            <v>0</v>
          </cell>
          <cell r="AK144">
            <v>10</v>
          </cell>
          <cell r="AL144">
            <v>100</v>
          </cell>
          <cell r="AM144">
            <v>45</v>
          </cell>
          <cell r="AN144">
            <v>0</v>
          </cell>
          <cell r="AO144">
            <v>45</v>
          </cell>
          <cell r="AP144">
            <v>0</v>
          </cell>
        </row>
        <row r="145">
          <cell r="AE145">
            <v>5</v>
          </cell>
          <cell r="AF145" t="str">
            <v>Transport</v>
          </cell>
          <cell r="AG145">
            <v>0.9</v>
          </cell>
          <cell r="AH145">
            <v>0.1</v>
          </cell>
          <cell r="AI145">
            <v>540</v>
          </cell>
          <cell r="AJ145">
            <v>0</v>
          </cell>
          <cell r="AK145">
            <v>60</v>
          </cell>
          <cell r="AL145">
            <v>600</v>
          </cell>
          <cell r="AM145">
            <v>270</v>
          </cell>
          <cell r="AN145">
            <v>0</v>
          </cell>
          <cell r="AO145">
            <v>270</v>
          </cell>
          <cell r="AP145">
            <v>0</v>
          </cell>
        </row>
        <row r="146">
          <cell r="AF146" t="str">
            <v>Orientation des adolescents cibles vers des centres de formation agricole pour la formation et l'encadrement</v>
          </cell>
          <cell r="AM146">
            <v>0</v>
          </cell>
          <cell r="AN146">
            <v>0</v>
          </cell>
          <cell r="AO146">
            <v>0</v>
          </cell>
          <cell r="AP146">
            <v>0</v>
          </cell>
        </row>
        <row r="147">
          <cell r="AE147">
            <v>6</v>
          </cell>
          <cell r="AF147" t="str">
            <v>Soutien au paiement des frais d'inscription</v>
          </cell>
          <cell r="AG147">
            <v>0.9</v>
          </cell>
          <cell r="AH147">
            <v>0.1</v>
          </cell>
          <cell r="AI147">
            <v>8100</v>
          </cell>
          <cell r="AJ147">
            <v>0</v>
          </cell>
          <cell r="AK147">
            <v>900</v>
          </cell>
          <cell r="AL147">
            <v>9000</v>
          </cell>
          <cell r="AM147">
            <v>5400</v>
          </cell>
          <cell r="AN147">
            <v>0</v>
          </cell>
          <cell r="AO147">
            <v>2700</v>
          </cell>
          <cell r="AP147">
            <v>0</v>
          </cell>
        </row>
        <row r="148">
          <cell r="AE148">
            <v>7</v>
          </cell>
          <cell r="AF148" t="str">
            <v xml:space="preserve">Soutien matériel fourni aux centres techniques </v>
          </cell>
          <cell r="AG148">
            <v>0.9</v>
          </cell>
          <cell r="AH148">
            <v>0.1</v>
          </cell>
          <cell r="AI148">
            <v>10800</v>
          </cell>
          <cell r="AJ148">
            <v>0</v>
          </cell>
          <cell r="AK148">
            <v>1200</v>
          </cell>
          <cell r="AL148">
            <v>12000</v>
          </cell>
          <cell r="AM148">
            <v>7200</v>
          </cell>
          <cell r="AN148">
            <v>0</v>
          </cell>
          <cell r="AO148">
            <v>3600</v>
          </cell>
          <cell r="AP148">
            <v>0</v>
          </cell>
        </row>
        <row r="149">
          <cell r="AE149">
            <v>8</v>
          </cell>
          <cell r="AF149" t="str">
            <v xml:space="preserve">Soutenir le personnel technique du centre technique </v>
          </cell>
          <cell r="AG149">
            <v>0.9</v>
          </cell>
          <cell r="AH149">
            <v>0.1</v>
          </cell>
          <cell r="AI149">
            <v>19440</v>
          </cell>
          <cell r="AJ149">
            <v>0</v>
          </cell>
          <cell r="AK149">
            <v>2160</v>
          </cell>
          <cell r="AL149">
            <v>21600</v>
          </cell>
          <cell r="AM149">
            <v>9720</v>
          </cell>
          <cell r="AN149">
            <v>0</v>
          </cell>
          <cell r="AO149">
            <v>9720</v>
          </cell>
          <cell r="AP149">
            <v>0</v>
          </cell>
        </row>
        <row r="150">
          <cell r="AF150" t="str">
            <v>Développement d'un plan de micro-entreprise pour la réintégration socio-économique des adolescents formés.</v>
          </cell>
          <cell r="AM150">
            <v>0</v>
          </cell>
          <cell r="AN150">
            <v>0</v>
          </cell>
          <cell r="AO150">
            <v>0</v>
          </cell>
          <cell r="AP150">
            <v>0</v>
          </cell>
        </row>
        <row r="151">
          <cell r="AE151">
            <v>10</v>
          </cell>
          <cell r="AF151" t="str">
            <v>Kits de démarrage</v>
          </cell>
          <cell r="AG151">
            <v>0.9</v>
          </cell>
          <cell r="AH151">
            <v>0.1</v>
          </cell>
          <cell r="AI151">
            <v>18000</v>
          </cell>
          <cell r="AJ151">
            <v>0</v>
          </cell>
          <cell r="AK151">
            <v>2000</v>
          </cell>
          <cell r="AL151">
            <v>20000</v>
          </cell>
          <cell r="AM151">
            <v>9000</v>
          </cell>
          <cell r="AN151">
            <v>0</v>
          </cell>
          <cell r="AO151">
            <v>9000</v>
          </cell>
          <cell r="AP151">
            <v>0</v>
          </cell>
        </row>
        <row r="152">
          <cell r="AE152">
            <v>12</v>
          </cell>
          <cell r="AF152" t="str">
            <v>Emolument formateurs</v>
          </cell>
          <cell r="AI152">
            <v>0</v>
          </cell>
          <cell r="AJ152">
            <v>0</v>
          </cell>
          <cell r="AK152">
            <v>0</v>
          </cell>
          <cell r="AL152">
            <v>0</v>
          </cell>
          <cell r="AM152">
            <v>0</v>
          </cell>
          <cell r="AN152">
            <v>0</v>
          </cell>
          <cell r="AO152">
            <v>0</v>
          </cell>
          <cell r="AP152">
            <v>0</v>
          </cell>
        </row>
        <row r="153">
          <cell r="AE153">
            <v>13</v>
          </cell>
          <cell r="AF153" t="str">
            <v>DSA des formateurs</v>
          </cell>
          <cell r="AI153">
            <v>0</v>
          </cell>
          <cell r="AJ153">
            <v>0</v>
          </cell>
          <cell r="AK153">
            <v>0</v>
          </cell>
          <cell r="AL153">
            <v>0</v>
          </cell>
          <cell r="AM153">
            <v>0</v>
          </cell>
          <cell r="AN153">
            <v>0</v>
          </cell>
          <cell r="AO153">
            <v>0</v>
          </cell>
          <cell r="AP153">
            <v>0</v>
          </cell>
        </row>
        <row r="154">
          <cell r="AE154">
            <v>14</v>
          </cell>
          <cell r="AF154" t="str">
            <v>Kits participants</v>
          </cell>
          <cell r="AG154">
            <v>0.9</v>
          </cell>
          <cell r="AH154">
            <v>0.1</v>
          </cell>
          <cell r="AI154">
            <v>207</v>
          </cell>
          <cell r="AJ154">
            <v>0</v>
          </cell>
          <cell r="AK154">
            <v>23</v>
          </cell>
          <cell r="AL154">
            <v>230</v>
          </cell>
          <cell r="AM154">
            <v>103.5</v>
          </cell>
          <cell r="AN154">
            <v>0</v>
          </cell>
          <cell r="AO154">
            <v>103.5</v>
          </cell>
          <cell r="AP154">
            <v>0</v>
          </cell>
        </row>
        <row r="155">
          <cell r="AE155" t="str">
            <v>2.2.1</v>
          </cell>
          <cell r="AF155" t="str">
            <v>Établir et soutenir le fonctionnement de 40 clubs de la paix, prenant en compte le Genre et la prévention des VBG et AES dans les centres d'apprentissage et agricoles d'adolescents ciblées</v>
          </cell>
          <cell r="AI155">
            <v>9432</v>
          </cell>
          <cell r="AJ155">
            <v>0</v>
          </cell>
          <cell r="AK155">
            <v>1048</v>
          </cell>
          <cell r="AL155">
            <v>10480</v>
          </cell>
          <cell r="AM155">
            <v>7506</v>
          </cell>
          <cell r="AN155">
            <v>0</v>
          </cell>
          <cell r="AO155">
            <v>1926</v>
          </cell>
          <cell r="AP155">
            <v>0</v>
          </cell>
        </row>
        <row r="156">
          <cell r="AF156" t="str">
            <v>Formation des formateurs sur le programme routier</v>
          </cell>
          <cell r="AM156">
            <v>0</v>
          </cell>
          <cell r="AN156">
            <v>0</v>
          </cell>
          <cell r="AO156">
            <v>0</v>
          </cell>
          <cell r="AP156">
            <v>0</v>
          </cell>
        </row>
        <row r="157">
          <cell r="AE157">
            <v>1</v>
          </cell>
          <cell r="AF157" t="str">
            <v>Pause café</v>
          </cell>
          <cell r="AG157">
            <v>0.9</v>
          </cell>
          <cell r="AH157">
            <v>0.1</v>
          </cell>
          <cell r="AI157">
            <v>432</v>
          </cell>
          <cell r="AJ157">
            <v>0</v>
          </cell>
          <cell r="AK157">
            <v>48</v>
          </cell>
          <cell r="AL157">
            <v>480</v>
          </cell>
          <cell r="AM157">
            <v>216</v>
          </cell>
          <cell r="AN157">
            <v>0</v>
          </cell>
          <cell r="AO157">
            <v>216</v>
          </cell>
          <cell r="AP157">
            <v>0</v>
          </cell>
        </row>
        <row r="158">
          <cell r="AE158">
            <v>2</v>
          </cell>
          <cell r="AF158" t="str">
            <v>Repas</v>
          </cell>
          <cell r="AG158">
            <v>0.9</v>
          </cell>
          <cell r="AH158">
            <v>0.1</v>
          </cell>
          <cell r="AI158">
            <v>1080</v>
          </cell>
          <cell r="AJ158">
            <v>0</v>
          </cell>
          <cell r="AK158">
            <v>120</v>
          </cell>
          <cell r="AL158">
            <v>1200</v>
          </cell>
          <cell r="AM158">
            <v>540</v>
          </cell>
          <cell r="AN158">
            <v>0</v>
          </cell>
          <cell r="AO158">
            <v>540</v>
          </cell>
          <cell r="AP158">
            <v>0</v>
          </cell>
        </row>
        <row r="159">
          <cell r="AE159">
            <v>3</v>
          </cell>
          <cell r="AF159" t="str">
            <v>Fournitures de formation</v>
          </cell>
          <cell r="AG159">
            <v>0.9</v>
          </cell>
          <cell r="AH159">
            <v>0.1</v>
          </cell>
          <cell r="AI159">
            <v>540</v>
          </cell>
          <cell r="AJ159">
            <v>0</v>
          </cell>
          <cell r="AK159">
            <v>60</v>
          </cell>
          <cell r="AL159">
            <v>600</v>
          </cell>
          <cell r="AM159">
            <v>270</v>
          </cell>
          <cell r="AN159">
            <v>0</v>
          </cell>
          <cell r="AO159">
            <v>270</v>
          </cell>
          <cell r="AP159">
            <v>0</v>
          </cell>
        </row>
        <row r="160">
          <cell r="AE160">
            <v>4</v>
          </cell>
          <cell r="AF160" t="str">
            <v>Transport</v>
          </cell>
          <cell r="AG160">
            <v>0.9</v>
          </cell>
          <cell r="AH160">
            <v>0.1</v>
          </cell>
          <cell r="AI160">
            <v>1080</v>
          </cell>
          <cell r="AJ160">
            <v>0</v>
          </cell>
          <cell r="AK160">
            <v>120</v>
          </cell>
          <cell r="AL160">
            <v>1200</v>
          </cell>
          <cell r="AM160">
            <v>540</v>
          </cell>
          <cell r="AN160">
            <v>0</v>
          </cell>
          <cell r="AO160">
            <v>540</v>
          </cell>
          <cell r="AP160">
            <v>0</v>
          </cell>
        </row>
        <row r="161">
          <cell r="AE161">
            <v>5</v>
          </cell>
          <cell r="AF161" t="str">
            <v>Impression des modules de formation "Peace Roads"</v>
          </cell>
          <cell r="AG161">
            <v>0.9</v>
          </cell>
          <cell r="AH161">
            <v>0.1</v>
          </cell>
          <cell r="AI161">
            <v>360</v>
          </cell>
          <cell r="AJ161">
            <v>0</v>
          </cell>
          <cell r="AK161">
            <v>40</v>
          </cell>
          <cell r="AL161">
            <v>400</v>
          </cell>
          <cell r="AM161">
            <v>180</v>
          </cell>
          <cell r="AN161">
            <v>0</v>
          </cell>
          <cell r="AO161">
            <v>180</v>
          </cell>
          <cell r="AP161">
            <v>0</v>
          </cell>
        </row>
        <row r="162">
          <cell r="AE162">
            <v>6</v>
          </cell>
          <cell r="AF162" t="str">
            <v xml:space="preserve">Réunions du club de la paix organisées dans les centres techniques et agricoles </v>
          </cell>
          <cell r="AI162">
            <v>0</v>
          </cell>
          <cell r="AJ162">
            <v>0</v>
          </cell>
          <cell r="AK162">
            <v>0</v>
          </cell>
          <cell r="AL162">
            <v>0</v>
          </cell>
          <cell r="AM162">
            <v>0</v>
          </cell>
          <cell r="AN162">
            <v>0</v>
          </cell>
          <cell r="AO162">
            <v>0</v>
          </cell>
          <cell r="AP162">
            <v>0</v>
          </cell>
        </row>
        <row r="163">
          <cell r="AE163">
            <v>7</v>
          </cell>
          <cell r="AF163" t="str">
            <v xml:space="preserve">Former des clubs de paix dans chaque centre technique et agricole </v>
          </cell>
          <cell r="AI163">
            <v>0</v>
          </cell>
          <cell r="AJ163">
            <v>0</v>
          </cell>
          <cell r="AK163">
            <v>0</v>
          </cell>
          <cell r="AL163">
            <v>0</v>
          </cell>
          <cell r="AM163">
            <v>0</v>
          </cell>
          <cell r="AN163">
            <v>0</v>
          </cell>
          <cell r="AO163">
            <v>0</v>
          </cell>
          <cell r="AP163">
            <v>0</v>
          </cell>
        </row>
        <row r="164">
          <cell r="AE164">
            <v>8</v>
          </cell>
          <cell r="AF164" t="str">
            <v>Réunions du club organisées chaque semaine</v>
          </cell>
          <cell r="AI164">
            <v>0</v>
          </cell>
          <cell r="AJ164">
            <v>0</v>
          </cell>
          <cell r="AK164">
            <v>0</v>
          </cell>
          <cell r="AL164">
            <v>0</v>
          </cell>
          <cell r="AM164">
            <v>0</v>
          </cell>
          <cell r="AN164">
            <v>0</v>
          </cell>
          <cell r="AO164">
            <v>0</v>
          </cell>
          <cell r="AP164">
            <v>0</v>
          </cell>
        </row>
        <row r="165">
          <cell r="AE165">
            <v>9</v>
          </cell>
          <cell r="AF165" t="str">
            <v>Incitation pour les animateurs de clubs</v>
          </cell>
          <cell r="AG165">
            <v>0.9</v>
          </cell>
          <cell r="AH165">
            <v>0.1</v>
          </cell>
          <cell r="AI165">
            <v>5940</v>
          </cell>
          <cell r="AJ165">
            <v>0</v>
          </cell>
          <cell r="AK165">
            <v>660</v>
          </cell>
          <cell r="AL165">
            <v>6600</v>
          </cell>
          <cell r="AM165">
            <v>5760</v>
          </cell>
          <cell r="AN165">
            <v>0</v>
          </cell>
          <cell r="AO165">
            <v>180</v>
          </cell>
          <cell r="AP165">
            <v>0</v>
          </cell>
        </row>
        <row r="166">
          <cell r="AE166" t="str">
            <v>2.2.2</v>
          </cell>
          <cell r="AF166" t="str">
            <v>Staff Education dans les Centres de Formation techniques</v>
          </cell>
          <cell r="AI166">
            <v>168997.5</v>
          </cell>
          <cell r="AJ166">
            <v>0</v>
          </cell>
          <cell r="AK166">
            <v>110002.5</v>
          </cell>
          <cell r="AL166">
            <v>279000</v>
          </cell>
          <cell r="AM166">
            <v>50422.5</v>
          </cell>
          <cell r="AN166">
            <v>0</v>
          </cell>
          <cell r="AO166">
            <v>118575</v>
          </cell>
          <cell r="AP166">
            <v>0</v>
          </cell>
        </row>
        <row r="167">
          <cell r="AE167">
            <v>10</v>
          </cell>
          <cell r="AF167" t="str">
            <v>1 Meal  Manager (100%)</v>
          </cell>
          <cell r="AG167">
            <v>0.54949999999999999</v>
          </cell>
          <cell r="AH167">
            <v>0.45050000000000001</v>
          </cell>
          <cell r="AI167">
            <v>44509.5</v>
          </cell>
          <cell r="AJ167">
            <v>0</v>
          </cell>
          <cell r="AK167">
            <v>36490.5</v>
          </cell>
          <cell r="AL167">
            <v>81000</v>
          </cell>
          <cell r="AM167">
            <v>10084.5</v>
          </cell>
          <cell r="AN167">
            <v>0</v>
          </cell>
          <cell r="AO167">
            <v>34425</v>
          </cell>
          <cell r="AP167">
            <v>0</v>
          </cell>
        </row>
        <row r="168">
          <cell r="AE168">
            <v>11</v>
          </cell>
          <cell r="AF168" t="str">
            <v>2 MEAL Officer (100%)</v>
          </cell>
          <cell r="AG168">
            <v>0.61175000000000002</v>
          </cell>
          <cell r="AH168">
            <v>0.38824999999999998</v>
          </cell>
          <cell r="AI168">
            <v>66069</v>
          </cell>
          <cell r="AJ168">
            <v>0</v>
          </cell>
          <cell r="AK168">
            <v>41931</v>
          </cell>
          <cell r="AL168">
            <v>108000</v>
          </cell>
          <cell r="AM168">
            <v>20169</v>
          </cell>
          <cell r="AN168">
            <v>0</v>
          </cell>
          <cell r="AO168">
            <v>45900</v>
          </cell>
          <cell r="AP168">
            <v>0</v>
          </cell>
        </row>
        <row r="169">
          <cell r="AE169">
            <v>12</v>
          </cell>
          <cell r="AF169" t="str">
            <v>2 Food security and livelihoods coordinators (100%)</v>
          </cell>
          <cell r="AG169">
            <v>0.64910000000000001</v>
          </cell>
          <cell r="AH169">
            <v>0.35089999999999999</v>
          </cell>
          <cell r="AI169">
            <v>58419</v>
          </cell>
          <cell r="AJ169">
            <v>0</v>
          </cell>
          <cell r="AK169">
            <v>31581</v>
          </cell>
          <cell r="AL169">
            <v>90000</v>
          </cell>
          <cell r="AM169">
            <v>20169</v>
          </cell>
          <cell r="AN169">
            <v>0</v>
          </cell>
          <cell r="AO169">
            <v>38250</v>
          </cell>
          <cell r="AP169">
            <v>0</v>
          </cell>
        </row>
        <row r="170">
          <cell r="AE170" t="str">
            <v>Plateforme 3</v>
          </cell>
          <cell r="AF170" t="str">
            <v>FORMATIONS SANITAIRES (FOSA)</v>
          </cell>
          <cell r="AG170">
            <v>0.98516792505894568</v>
          </cell>
          <cell r="AH170">
            <v>1.4832074941054259E-2</v>
          </cell>
          <cell r="AI170">
            <v>1318887.56</v>
          </cell>
          <cell r="AJ170">
            <v>185336.84</v>
          </cell>
          <cell r="AK170">
            <v>19856.350000000002</v>
          </cell>
          <cell r="AL170">
            <v>1524080.7500000002</v>
          </cell>
          <cell r="AM170">
            <v>771375.88500000001</v>
          </cell>
          <cell r="AN170">
            <v>109227.51999999999</v>
          </cell>
          <cell r="AO170">
            <v>547511.67500000005</v>
          </cell>
          <cell r="AP170">
            <v>76109.320000000007</v>
          </cell>
        </row>
        <row r="171">
          <cell r="AE171" t="str">
            <v>3.1.1</v>
          </cell>
          <cell r="AF171" t="str">
            <v>Organiser chaque mois dans chaque aire de santé la Consultation préscolaire (CPS) en stratégie fixe et avancée (au niveau des centres de santé)</v>
          </cell>
          <cell r="AG171">
            <v>0.96328722242446296</v>
          </cell>
          <cell r="AH171">
            <v>3.6712777575536946E-2</v>
          </cell>
          <cell r="AI171">
            <v>164061.29999999999</v>
          </cell>
          <cell r="AJ171">
            <v>0</v>
          </cell>
          <cell r="AK171">
            <v>6252.7</v>
          </cell>
          <cell r="AL171">
            <v>170314</v>
          </cell>
          <cell r="AM171">
            <v>104658</v>
          </cell>
          <cell r="AN171">
            <v>0</v>
          </cell>
          <cell r="AO171">
            <v>59403.3</v>
          </cell>
          <cell r="AP171">
            <v>0</v>
          </cell>
        </row>
        <row r="172">
          <cell r="AE172">
            <v>1</v>
          </cell>
          <cell r="AF172" t="str">
            <v>Reprographie des imprimés CPS ( fiches CPS filles et Garcons, rigistre CPS,   etc)</v>
          </cell>
          <cell r="AI172">
            <v>110856</v>
          </cell>
          <cell r="AJ172">
            <v>0</v>
          </cell>
          <cell r="AK172">
            <v>0</v>
          </cell>
          <cell r="AL172">
            <v>110856</v>
          </cell>
          <cell r="AM172">
            <v>71520</v>
          </cell>
          <cell r="AN172">
            <v>0</v>
          </cell>
          <cell r="AO172">
            <v>39336</v>
          </cell>
          <cell r="AP172">
            <v>0</v>
          </cell>
        </row>
        <row r="173">
          <cell r="AE173">
            <v>2</v>
          </cell>
          <cell r="AF173" t="str">
            <v>Achat motos</v>
          </cell>
          <cell r="AG173">
            <v>0.9</v>
          </cell>
          <cell r="AH173">
            <v>0.1</v>
          </cell>
          <cell r="AI173">
            <v>41850</v>
          </cell>
          <cell r="AJ173">
            <v>0</v>
          </cell>
          <cell r="AK173">
            <v>4650</v>
          </cell>
          <cell r="AL173">
            <v>46500</v>
          </cell>
          <cell r="AM173">
            <v>27000</v>
          </cell>
          <cell r="AN173">
            <v>0</v>
          </cell>
          <cell r="AO173">
            <v>14850</v>
          </cell>
          <cell r="AP173">
            <v>0</v>
          </cell>
        </row>
        <row r="174">
          <cell r="AE174">
            <v>3</v>
          </cell>
          <cell r="AF174" t="str">
            <v>Achat Carburant 20 litres /mois/CS pdt 10 mois</v>
          </cell>
          <cell r="AG174">
            <v>0.87631578947368416</v>
          </cell>
          <cell r="AH174">
            <v>0.12368421052631577</v>
          </cell>
          <cell r="AI174">
            <v>11355.3</v>
          </cell>
          <cell r="AJ174">
            <v>0</v>
          </cell>
          <cell r="AK174">
            <v>1602.6999999999998</v>
          </cell>
          <cell r="AL174">
            <v>12958</v>
          </cell>
          <cell r="AM174">
            <v>6138</v>
          </cell>
          <cell r="AN174">
            <v>0</v>
          </cell>
          <cell r="AO174">
            <v>5217.3</v>
          </cell>
          <cell r="AP174">
            <v>0</v>
          </cell>
        </row>
        <row r="175">
          <cell r="AE175" t="str">
            <v>3.1.2</v>
          </cell>
          <cell r="AF175" t="str">
            <v>Fournir les intrants et matériels pour la prise en charge de la malnutrition aigüe sévère (au niveau des centres de santé)</v>
          </cell>
          <cell r="AI175">
            <v>0</v>
          </cell>
          <cell r="AJ175">
            <v>185336.84</v>
          </cell>
          <cell r="AK175">
            <v>0</v>
          </cell>
          <cell r="AL175">
            <v>185336.84</v>
          </cell>
          <cell r="AM175">
            <v>0</v>
          </cell>
          <cell r="AN175">
            <v>109227.51999999999</v>
          </cell>
          <cell r="AO175">
            <v>0</v>
          </cell>
          <cell r="AP175">
            <v>76109.320000000007</v>
          </cell>
        </row>
        <row r="176">
          <cell r="AE176">
            <v>1</v>
          </cell>
          <cell r="AF176" t="str">
            <v>Balance salter 25 Kg</v>
          </cell>
          <cell r="AI176">
            <v>0</v>
          </cell>
          <cell r="AJ176">
            <v>761.64</v>
          </cell>
          <cell r="AK176">
            <v>0</v>
          </cell>
          <cell r="AL176">
            <v>761.64</v>
          </cell>
          <cell r="AM176">
            <v>0</v>
          </cell>
          <cell r="AN176">
            <v>761.64</v>
          </cell>
          <cell r="AO176">
            <v>0</v>
          </cell>
          <cell r="AP176">
            <v>0</v>
          </cell>
        </row>
        <row r="177">
          <cell r="AE177">
            <v>2</v>
          </cell>
          <cell r="AF177" t="str">
            <v>Balance Seca double pesée</v>
          </cell>
          <cell r="AI177">
            <v>0</v>
          </cell>
          <cell r="AJ177">
            <v>6952.4400000000005</v>
          </cell>
          <cell r="AK177">
            <v>0</v>
          </cell>
          <cell r="AL177">
            <v>6952.4400000000005</v>
          </cell>
          <cell r="AM177">
            <v>0</v>
          </cell>
          <cell r="AN177">
            <v>6952.4400000000005</v>
          </cell>
          <cell r="AO177">
            <v>0</v>
          </cell>
          <cell r="AP177">
            <v>0</v>
          </cell>
        </row>
        <row r="178">
          <cell r="AE178">
            <v>3</v>
          </cell>
          <cell r="AF178" t="str">
            <v>Toise en bois</v>
          </cell>
          <cell r="AI178">
            <v>0</v>
          </cell>
          <cell r="AJ178">
            <v>12142.679999999998</v>
          </cell>
          <cell r="AK178">
            <v>0</v>
          </cell>
          <cell r="AL178">
            <v>12142.679999999998</v>
          </cell>
          <cell r="AM178">
            <v>0</v>
          </cell>
          <cell r="AN178">
            <v>12142.679999999998</v>
          </cell>
          <cell r="AO178">
            <v>0</v>
          </cell>
          <cell r="AP178">
            <v>0</v>
          </cell>
        </row>
        <row r="179">
          <cell r="AE179">
            <v>4</v>
          </cell>
          <cell r="AF179" t="str">
            <v>MUAC Enfants ( Enfants 99720  année 1  et 84036 année 2 pour 9 mois)</v>
          </cell>
          <cell r="AI179">
            <v>0</v>
          </cell>
          <cell r="AJ179">
            <v>8963.36</v>
          </cell>
          <cell r="AK179">
            <v>0</v>
          </cell>
          <cell r="AL179">
            <v>8963.36</v>
          </cell>
          <cell r="AM179">
            <v>0</v>
          </cell>
          <cell r="AN179">
            <v>4863.2800000000007</v>
          </cell>
          <cell r="AO179">
            <v>0</v>
          </cell>
          <cell r="AP179">
            <v>4100.08</v>
          </cell>
        </row>
        <row r="180">
          <cell r="AE180">
            <v>5</v>
          </cell>
          <cell r="AF180" t="str">
            <v>MUAC FEFA ( (52776FEFA année 1  et 40770 FEFA année 2 pour 9 mois) 100%</v>
          </cell>
          <cell r="AI180">
            <v>0</v>
          </cell>
          <cell r="AJ180">
            <v>18652.68</v>
          </cell>
          <cell r="AK180">
            <v>0</v>
          </cell>
          <cell r="AL180">
            <v>18652.68</v>
          </cell>
          <cell r="AM180">
            <v>0</v>
          </cell>
          <cell r="AN180">
            <v>10117.17</v>
          </cell>
          <cell r="AO180">
            <v>0</v>
          </cell>
          <cell r="AP180">
            <v>8535.51</v>
          </cell>
        </row>
        <row r="181">
          <cell r="AE181">
            <v>6</v>
          </cell>
          <cell r="AF181" t="str">
            <v>Plumpy nut cart-150</v>
          </cell>
          <cell r="AI181">
            <v>0</v>
          </cell>
          <cell r="AJ181">
            <v>119889.15</v>
          </cell>
          <cell r="AK181">
            <v>0</v>
          </cell>
          <cell r="AL181">
            <v>119889.15</v>
          </cell>
          <cell r="AM181">
            <v>0</v>
          </cell>
          <cell r="AN181">
            <v>65041.25</v>
          </cell>
          <cell r="AO181">
            <v>0</v>
          </cell>
          <cell r="AP181">
            <v>54847.9</v>
          </cell>
        </row>
        <row r="182">
          <cell r="AE182">
            <v>7</v>
          </cell>
          <cell r="AF182" t="str">
            <v>F-75 Therap.milk CAN 400g/CAR-24</v>
          </cell>
          <cell r="AI182">
            <v>0</v>
          </cell>
          <cell r="AJ182">
            <v>4161.6000000000004</v>
          </cell>
          <cell r="AK182">
            <v>0</v>
          </cell>
          <cell r="AL182">
            <v>4161.6000000000004</v>
          </cell>
          <cell r="AM182">
            <v>0</v>
          </cell>
          <cell r="AN182">
            <v>2264.4</v>
          </cell>
          <cell r="AO182">
            <v>0</v>
          </cell>
          <cell r="AP182">
            <v>1897.2</v>
          </cell>
        </row>
        <row r="183">
          <cell r="AE183">
            <v>8</v>
          </cell>
          <cell r="AF183" t="str">
            <v>F-100 Therap.milk CAN 400g/CAR-24</v>
          </cell>
          <cell r="AI183">
            <v>0</v>
          </cell>
          <cell r="AJ183">
            <v>6681.52</v>
          </cell>
          <cell r="AK183">
            <v>0</v>
          </cell>
          <cell r="AL183">
            <v>6681.52</v>
          </cell>
          <cell r="AM183">
            <v>0</v>
          </cell>
          <cell r="AN183">
            <v>3411.84</v>
          </cell>
          <cell r="AO183">
            <v>0</v>
          </cell>
          <cell r="AP183">
            <v>3269.68</v>
          </cell>
        </row>
        <row r="184">
          <cell r="AE184">
            <v>9</v>
          </cell>
          <cell r="AF184" t="str">
            <v xml:space="preserve"> ReSoMal,42g sachet for 1 litre/CAR-100</v>
          </cell>
          <cell r="AI184">
            <v>0</v>
          </cell>
          <cell r="AJ184">
            <v>919.02</v>
          </cell>
          <cell r="AK184">
            <v>0</v>
          </cell>
          <cell r="AL184">
            <v>919.02</v>
          </cell>
          <cell r="AM184">
            <v>0</v>
          </cell>
          <cell r="AN184">
            <v>468.52</v>
          </cell>
          <cell r="AO184">
            <v>0</v>
          </cell>
          <cell r="AP184">
            <v>450.5</v>
          </cell>
        </row>
        <row r="185">
          <cell r="AE185">
            <v>10</v>
          </cell>
          <cell r="AF185" t="str">
            <v>Vitamine A 100 000 UI Boite de 500</v>
          </cell>
          <cell r="AI185">
            <v>0</v>
          </cell>
          <cell r="AJ185">
            <v>497.64</v>
          </cell>
          <cell r="AK185">
            <v>0</v>
          </cell>
          <cell r="AL185">
            <v>497.64</v>
          </cell>
          <cell r="AM185">
            <v>0</v>
          </cell>
          <cell r="AN185">
            <v>248.82</v>
          </cell>
          <cell r="AO185">
            <v>0</v>
          </cell>
          <cell r="AP185">
            <v>248.82</v>
          </cell>
        </row>
        <row r="186">
          <cell r="AE186">
            <v>11</v>
          </cell>
          <cell r="AF186" t="str">
            <v>Vitamine A 200 000 UI Boite de 500</v>
          </cell>
          <cell r="AI186">
            <v>0</v>
          </cell>
          <cell r="AJ186">
            <v>3141.6000000000004</v>
          </cell>
          <cell r="AK186">
            <v>0</v>
          </cell>
          <cell r="AL186">
            <v>3141.6000000000004</v>
          </cell>
          <cell r="AM186">
            <v>0</v>
          </cell>
          <cell r="AN186">
            <v>1570.8000000000002</v>
          </cell>
          <cell r="AO186">
            <v>0</v>
          </cell>
          <cell r="AP186">
            <v>1570.8000000000002</v>
          </cell>
        </row>
        <row r="187">
          <cell r="AE187">
            <v>12</v>
          </cell>
          <cell r="AF187" t="str">
            <v xml:space="preserve">Amoxycilline susp 125mg/5ml, 100 ml, </v>
          </cell>
          <cell r="AI187">
            <v>0</v>
          </cell>
          <cell r="AJ187">
            <v>200.7</v>
          </cell>
          <cell r="AK187">
            <v>0</v>
          </cell>
          <cell r="AL187">
            <v>200.7</v>
          </cell>
          <cell r="AM187">
            <v>0</v>
          </cell>
          <cell r="AN187">
            <v>108.9</v>
          </cell>
          <cell r="AO187">
            <v>0</v>
          </cell>
          <cell r="AP187">
            <v>91.8</v>
          </cell>
        </row>
        <row r="188">
          <cell r="AE188">
            <v>13</v>
          </cell>
          <cell r="AF188" t="str">
            <v>Mebendazole Cès de 100 Boite de 1000</v>
          </cell>
          <cell r="AI188">
            <v>0</v>
          </cell>
          <cell r="AJ188">
            <v>258.06</v>
          </cell>
          <cell r="AK188">
            <v>0</v>
          </cell>
          <cell r="AL188">
            <v>258.06</v>
          </cell>
          <cell r="AM188">
            <v>0</v>
          </cell>
          <cell r="AN188">
            <v>129.03</v>
          </cell>
          <cell r="AO188">
            <v>0</v>
          </cell>
          <cell r="AP188">
            <v>129.03</v>
          </cell>
        </row>
        <row r="189">
          <cell r="AE189">
            <v>14</v>
          </cell>
          <cell r="AF189" t="str">
            <v>Fer Sulfate + Acide Folique, 200mg+0.25mg (60mg Fe), Tab, 1000, Vrac</v>
          </cell>
          <cell r="AI189">
            <v>0</v>
          </cell>
          <cell r="AJ189">
            <v>2114.75</v>
          </cell>
          <cell r="AK189">
            <v>0</v>
          </cell>
          <cell r="AL189">
            <v>2114.75</v>
          </cell>
          <cell r="AM189">
            <v>0</v>
          </cell>
          <cell r="AN189">
            <v>1146.75</v>
          </cell>
          <cell r="AO189">
            <v>0</v>
          </cell>
          <cell r="AP189">
            <v>968</v>
          </cell>
        </row>
        <row r="190">
          <cell r="AE190" t="str">
            <v>3.1.3</v>
          </cell>
          <cell r="AF190" t="str">
            <v xml:space="preserve">Appuyer le fonctionnement et l’utilisation des services de prise en charge de la malnutrition aigüe sévère dans les structures sanitaires (UNTA et UNTI)  </v>
          </cell>
          <cell r="AG190">
            <v>0.94399999999999995</v>
          </cell>
          <cell r="AH190">
            <v>5.6000000000000001E-2</v>
          </cell>
          <cell r="AI190">
            <v>106200</v>
          </cell>
          <cell r="AJ190">
            <v>0</v>
          </cell>
          <cell r="AK190">
            <v>6300</v>
          </cell>
          <cell r="AL190">
            <v>112500</v>
          </cell>
          <cell r="AM190">
            <v>53100</v>
          </cell>
          <cell r="AN190">
            <v>0</v>
          </cell>
          <cell r="AO190">
            <v>53100</v>
          </cell>
          <cell r="AP190">
            <v>0</v>
          </cell>
        </row>
        <row r="191">
          <cell r="AE191">
            <v>1</v>
          </cell>
          <cell r="AF191" t="str">
            <v>Reprographie des outils de prise en charge (fiches individuelles de suivi UNTI+UNTA, registres UNTI, registres UNTA, carte de beneficiaires, Fiches de references et contre references,, Table P/T, …)</v>
          </cell>
          <cell r="AI191">
            <v>49500</v>
          </cell>
          <cell r="AJ191">
            <v>0</v>
          </cell>
          <cell r="AK191">
            <v>0</v>
          </cell>
          <cell r="AL191">
            <v>49500</v>
          </cell>
          <cell r="AM191">
            <v>24750</v>
          </cell>
          <cell r="AN191">
            <v>0</v>
          </cell>
          <cell r="AO191">
            <v>24750</v>
          </cell>
          <cell r="AP191">
            <v>0</v>
          </cell>
        </row>
        <row r="192">
          <cell r="AE192">
            <v>2</v>
          </cell>
          <cell r="AF192" t="str">
            <v xml:space="preserve">Appui aux 31 UNTA </v>
          </cell>
          <cell r="AG192">
            <v>0.9</v>
          </cell>
          <cell r="AH192">
            <v>0.1</v>
          </cell>
          <cell r="AI192">
            <v>50220</v>
          </cell>
          <cell r="AJ192">
            <v>0</v>
          </cell>
          <cell r="AK192">
            <v>5580</v>
          </cell>
          <cell r="AL192">
            <v>55800</v>
          </cell>
          <cell r="AM192">
            <v>25110</v>
          </cell>
          <cell r="AN192">
            <v>0</v>
          </cell>
          <cell r="AO192">
            <v>25110</v>
          </cell>
          <cell r="AP192">
            <v>0</v>
          </cell>
        </row>
        <row r="193">
          <cell r="AE193">
            <v>3</v>
          </cell>
          <cell r="AF193" t="str">
            <v>Appui aux 2 UNTI</v>
          </cell>
          <cell r="AG193">
            <v>0.9</v>
          </cell>
          <cell r="AH193">
            <v>0.1</v>
          </cell>
          <cell r="AI193">
            <v>6480</v>
          </cell>
          <cell r="AJ193">
            <v>0</v>
          </cell>
          <cell r="AK193">
            <v>720</v>
          </cell>
          <cell r="AL193">
            <v>7200</v>
          </cell>
          <cell r="AM193">
            <v>3240</v>
          </cell>
          <cell r="AN193">
            <v>0</v>
          </cell>
          <cell r="AO193">
            <v>3240</v>
          </cell>
          <cell r="AP193">
            <v>0</v>
          </cell>
        </row>
        <row r="194">
          <cell r="AF194" t="str">
            <v>Staff</v>
          </cell>
          <cell r="AM194">
            <v>0</v>
          </cell>
          <cell r="AN194">
            <v>0</v>
          </cell>
          <cell r="AO194">
            <v>0</v>
          </cell>
          <cell r="AP194">
            <v>0</v>
          </cell>
        </row>
        <row r="195">
          <cell r="AE195">
            <v>4</v>
          </cell>
          <cell r="AF195" t="str">
            <v>1 Nutritionalist Coordinator  (100%)</v>
          </cell>
          <cell r="AG195">
            <v>0.3735</v>
          </cell>
          <cell r="AH195">
            <v>0.62649999999999995</v>
          </cell>
          <cell r="AI195">
            <v>20169</v>
          </cell>
          <cell r="AJ195">
            <v>0</v>
          </cell>
          <cell r="AK195">
            <v>33831</v>
          </cell>
          <cell r="AL195">
            <v>54000</v>
          </cell>
          <cell r="AM195">
            <v>10084.5</v>
          </cell>
          <cell r="AN195">
            <v>0</v>
          </cell>
          <cell r="AO195">
            <v>10084.5</v>
          </cell>
          <cell r="AP195">
            <v>0</v>
          </cell>
        </row>
        <row r="196">
          <cell r="AE196">
            <v>5</v>
          </cell>
          <cell r="AF196" t="str">
            <v>6 Nutritionalist  Officers (100%)</v>
          </cell>
          <cell r="AG196">
            <v>0.3735</v>
          </cell>
          <cell r="AH196">
            <v>0.62649999999999995</v>
          </cell>
          <cell r="AI196">
            <v>121014</v>
          </cell>
          <cell r="AJ196">
            <v>0</v>
          </cell>
          <cell r="AK196">
            <v>202986</v>
          </cell>
          <cell r="AL196">
            <v>324000</v>
          </cell>
          <cell r="AM196">
            <v>60507</v>
          </cell>
          <cell r="AN196">
            <v>0</v>
          </cell>
          <cell r="AO196">
            <v>60507</v>
          </cell>
          <cell r="AP196">
            <v>0</v>
          </cell>
        </row>
        <row r="197">
          <cell r="AE197">
            <v>6</v>
          </cell>
          <cell r="AF197" t="str">
            <v>1 Warehouse Keeper (100%) for management of nutritional inputs</v>
          </cell>
          <cell r="AG197">
            <v>0.58333527778425931</v>
          </cell>
          <cell r="AH197">
            <v>0.41666472221574069</v>
          </cell>
          <cell r="AI197">
            <v>13500</v>
          </cell>
          <cell r="AJ197">
            <v>0</v>
          </cell>
          <cell r="AK197">
            <v>9642.7799999999988</v>
          </cell>
          <cell r="AL197">
            <v>23142.78</v>
          </cell>
          <cell r="AM197">
            <v>6750</v>
          </cell>
          <cell r="AN197">
            <v>0</v>
          </cell>
          <cell r="AO197">
            <v>6750</v>
          </cell>
          <cell r="AP197">
            <v>0</v>
          </cell>
        </row>
        <row r="198">
          <cell r="AE198" t="str">
            <v>3.1.4</v>
          </cell>
          <cell r="AF198" t="str">
            <v>Accompagner la réalisation des réunions mensuelles de monitorage pour suivre et évaluer chaque mois les indicateurs clés de la Nutrition à assise communautaire (NAC) au niveau des centres de Santé</v>
          </cell>
          <cell r="AG198">
            <v>0.85</v>
          </cell>
          <cell r="AH198">
            <v>0.15</v>
          </cell>
          <cell r="AI198">
            <v>35151.75</v>
          </cell>
          <cell r="AJ198">
            <v>0</v>
          </cell>
          <cell r="AK198">
            <v>6203.25</v>
          </cell>
          <cell r="AL198">
            <v>41355</v>
          </cell>
          <cell r="AM198">
            <v>17575.875</v>
          </cell>
          <cell r="AN198">
            <v>0</v>
          </cell>
          <cell r="AO198">
            <v>17575.875</v>
          </cell>
          <cell r="AP198">
            <v>0</v>
          </cell>
        </row>
        <row r="199">
          <cell r="AE199">
            <v>1</v>
          </cell>
          <cell r="AF199" t="str">
            <v>Appui (Collation) aux reunions de monitorage au niveau CS</v>
          </cell>
          <cell r="AI199">
            <v>9639</v>
          </cell>
          <cell r="AJ199">
            <v>0</v>
          </cell>
          <cell r="AK199">
            <v>1701</v>
          </cell>
          <cell r="AL199">
            <v>11340</v>
          </cell>
          <cell r="AM199">
            <v>4819.5</v>
          </cell>
          <cell r="AN199">
            <v>0</v>
          </cell>
          <cell r="AO199">
            <v>4819.5</v>
          </cell>
          <cell r="AP199">
            <v>0</v>
          </cell>
        </row>
        <row r="200">
          <cell r="AE200">
            <v>2</v>
          </cell>
          <cell r="AF200" t="str">
            <v>Remboursement Transport aux reunions de monitorage au niveau CS</v>
          </cell>
          <cell r="AG200">
            <v>0.85</v>
          </cell>
          <cell r="AH200">
            <v>0.15</v>
          </cell>
          <cell r="AI200">
            <v>9639</v>
          </cell>
          <cell r="AJ200">
            <v>0</v>
          </cell>
          <cell r="AK200">
            <v>1701</v>
          </cell>
          <cell r="AL200">
            <v>11340</v>
          </cell>
          <cell r="AM200">
            <v>4819.5</v>
          </cell>
          <cell r="AN200">
            <v>0</v>
          </cell>
          <cell r="AO200">
            <v>4819.5</v>
          </cell>
          <cell r="AP200">
            <v>0</v>
          </cell>
        </row>
        <row r="201">
          <cell r="AE201">
            <v>3</v>
          </cell>
          <cell r="AF201" t="str">
            <v>Fournitures (Stylo, carnets, flip chart, maqueurs, papier collant) réunions au niveau de CODESA</v>
          </cell>
          <cell r="AG201">
            <v>0.85</v>
          </cell>
          <cell r="AH201">
            <v>0.15</v>
          </cell>
          <cell r="AI201">
            <v>1185.75</v>
          </cell>
          <cell r="AJ201">
            <v>0</v>
          </cell>
          <cell r="AK201">
            <v>209.25</v>
          </cell>
          <cell r="AL201">
            <v>1395</v>
          </cell>
          <cell r="AM201">
            <v>592.875</v>
          </cell>
          <cell r="AN201">
            <v>0</v>
          </cell>
          <cell r="AO201">
            <v>592.875</v>
          </cell>
          <cell r="AP201">
            <v>0</v>
          </cell>
        </row>
        <row r="202">
          <cell r="AE202">
            <v>4</v>
          </cell>
          <cell r="AF202" t="str">
            <v>Appui (Collation) aux reunions de monitorage dans 2 BCZS</v>
          </cell>
          <cell r="AG202">
            <v>0.85</v>
          </cell>
          <cell r="AH202">
            <v>0.15</v>
          </cell>
          <cell r="AI202">
            <v>6885</v>
          </cell>
          <cell r="AJ202">
            <v>0</v>
          </cell>
          <cell r="AK202">
            <v>1215</v>
          </cell>
          <cell r="AL202">
            <v>8100</v>
          </cell>
          <cell r="AM202">
            <v>3442.5</v>
          </cell>
          <cell r="AN202">
            <v>0</v>
          </cell>
          <cell r="AO202">
            <v>3442.5</v>
          </cell>
          <cell r="AP202">
            <v>0</v>
          </cell>
        </row>
        <row r="203">
          <cell r="AE203">
            <v>5</v>
          </cell>
          <cell r="AF203" t="str">
            <v>Remboursement transport aux réunions de monitorage au niveau de 2 BCZS</v>
          </cell>
          <cell r="AG203">
            <v>0.85</v>
          </cell>
          <cell r="AH203">
            <v>0.15</v>
          </cell>
          <cell r="AI203">
            <v>6885</v>
          </cell>
          <cell r="AJ203">
            <v>0</v>
          </cell>
          <cell r="AK203">
            <v>1215</v>
          </cell>
          <cell r="AL203">
            <v>8100</v>
          </cell>
          <cell r="AM203">
            <v>3442.5</v>
          </cell>
          <cell r="AN203">
            <v>0</v>
          </cell>
          <cell r="AO203">
            <v>3442.5</v>
          </cell>
          <cell r="AP203">
            <v>0</v>
          </cell>
        </row>
        <row r="204">
          <cell r="AE204">
            <v>6</v>
          </cell>
          <cell r="AF204" t="str">
            <v xml:space="preserve">Fournitures (Stylo, carnets, flip chart, maqueurs, papier collant) réunions de monitorage au niveau BCZS </v>
          </cell>
          <cell r="AG204">
            <v>0.85</v>
          </cell>
          <cell r="AH204">
            <v>0.15</v>
          </cell>
          <cell r="AI204">
            <v>918</v>
          </cell>
          <cell r="AJ204">
            <v>0</v>
          </cell>
          <cell r="AK204">
            <v>162</v>
          </cell>
          <cell r="AL204">
            <v>1080</v>
          </cell>
          <cell r="AM204">
            <v>459</v>
          </cell>
          <cell r="AN204">
            <v>0</v>
          </cell>
          <cell r="AO204">
            <v>459</v>
          </cell>
          <cell r="AP204">
            <v>0</v>
          </cell>
        </row>
        <row r="205">
          <cell r="AE205" t="str">
            <v>3.1.5</v>
          </cell>
          <cell r="AF205" t="str">
            <v>Assurer les missions de suivi du projet par le niveau provincial (au niveau des centres de santé)</v>
          </cell>
          <cell r="AG205">
            <v>0.85</v>
          </cell>
          <cell r="AH205">
            <v>0.15000000000000002</v>
          </cell>
          <cell r="AI205">
            <v>6235.5999999999995</v>
          </cell>
          <cell r="AJ205">
            <v>0</v>
          </cell>
          <cell r="AK205">
            <v>1100.4000000000001</v>
          </cell>
          <cell r="AL205">
            <v>7336</v>
          </cell>
          <cell r="AM205">
            <v>3032.7999999999997</v>
          </cell>
          <cell r="AN205">
            <v>0</v>
          </cell>
          <cell r="AO205">
            <v>3202.7999999999997</v>
          </cell>
          <cell r="AP205">
            <v>0</v>
          </cell>
        </row>
        <row r="206">
          <cell r="AE206">
            <v>1</v>
          </cell>
          <cell r="AF206" t="str">
            <v>DSA Equipe cadre de la DPS/ PRONANUT coordination provinciale</v>
          </cell>
          <cell r="AG206">
            <v>0.85000000000000009</v>
          </cell>
          <cell r="AH206">
            <v>0.15000000000000002</v>
          </cell>
          <cell r="AI206">
            <v>4569.5999999999995</v>
          </cell>
          <cell r="AJ206">
            <v>0</v>
          </cell>
          <cell r="AK206">
            <v>806.4</v>
          </cell>
          <cell r="AL206">
            <v>5375.9999999999991</v>
          </cell>
          <cell r="AM206">
            <v>2284.7999999999997</v>
          </cell>
          <cell r="AN206">
            <v>0</v>
          </cell>
          <cell r="AO206">
            <v>2284.7999999999997</v>
          </cell>
          <cell r="AP206">
            <v>0</v>
          </cell>
        </row>
        <row r="207">
          <cell r="AE207">
            <v>2</v>
          </cell>
          <cell r="AF207" t="str">
            <v>Transport Equipe Cadre de la DPS/ PRONANUT coordination provinciale</v>
          </cell>
          <cell r="AG207">
            <v>0.85</v>
          </cell>
          <cell r="AH207">
            <v>0.15</v>
          </cell>
          <cell r="AI207">
            <v>1190</v>
          </cell>
          <cell r="AJ207">
            <v>0</v>
          </cell>
          <cell r="AK207">
            <v>210</v>
          </cell>
          <cell r="AL207">
            <v>1400</v>
          </cell>
          <cell r="AM207">
            <v>680</v>
          </cell>
          <cell r="AN207">
            <v>0</v>
          </cell>
          <cell r="AO207">
            <v>510</v>
          </cell>
          <cell r="AP207">
            <v>0</v>
          </cell>
        </row>
        <row r="208">
          <cell r="AE208">
            <v>3</v>
          </cell>
          <cell r="AF208" t="str">
            <v>Unites Communication DPS/PRONANUT provincial</v>
          </cell>
          <cell r="AG208">
            <v>0.85</v>
          </cell>
          <cell r="AH208">
            <v>0.15</v>
          </cell>
          <cell r="AI208">
            <v>476</v>
          </cell>
          <cell r="AJ208">
            <v>0</v>
          </cell>
          <cell r="AK208">
            <v>84</v>
          </cell>
          <cell r="AL208">
            <v>560</v>
          </cell>
          <cell r="AM208">
            <v>68</v>
          </cell>
          <cell r="AN208">
            <v>0</v>
          </cell>
          <cell r="AO208">
            <v>408</v>
          </cell>
          <cell r="AP208">
            <v>0</v>
          </cell>
        </row>
        <row r="209">
          <cell r="AE209" t="str">
            <v>3.2.1</v>
          </cell>
          <cell r="AF209" t="str">
            <v>Construire / Réhabiliter les infrastructures d'eau potable au sein des formations sanitaires, prenant en compte les besoins spécifiques des femmes et des filles</v>
          </cell>
          <cell r="AG209">
            <v>1</v>
          </cell>
          <cell r="AH209">
            <v>0</v>
          </cell>
          <cell r="AI209">
            <v>173700</v>
          </cell>
          <cell r="AJ209">
            <v>0</v>
          </cell>
          <cell r="AK209">
            <v>0</v>
          </cell>
          <cell r="AL209">
            <v>173700</v>
          </cell>
          <cell r="AM209">
            <v>100950</v>
          </cell>
          <cell r="AN209">
            <v>0</v>
          </cell>
          <cell r="AO209">
            <v>72750</v>
          </cell>
          <cell r="AP209">
            <v>0</v>
          </cell>
        </row>
        <row r="210">
          <cell r="AE210">
            <v>1</v>
          </cell>
          <cell r="AF210" t="str">
            <v>Branchement des Centres de Santé aux réseaux d'eau existants</v>
          </cell>
          <cell r="AG210">
            <v>1</v>
          </cell>
          <cell r="AH210">
            <v>0</v>
          </cell>
          <cell r="AI210">
            <v>33500</v>
          </cell>
          <cell r="AJ210">
            <v>0</v>
          </cell>
          <cell r="AK210">
            <v>0</v>
          </cell>
          <cell r="AL210">
            <v>33500</v>
          </cell>
          <cell r="AM210">
            <v>20100</v>
          </cell>
          <cell r="AN210">
            <v>0</v>
          </cell>
          <cell r="AO210">
            <v>13400</v>
          </cell>
          <cell r="AP210">
            <v>0</v>
          </cell>
        </row>
        <row r="211">
          <cell r="AE211">
            <v>2</v>
          </cell>
          <cell r="AF211" t="str">
            <v>Construction de systèmes de collecte d'eau de pluie durable (Centres de Santé)</v>
          </cell>
          <cell r="AG211">
            <v>1</v>
          </cell>
          <cell r="AH211">
            <v>0</v>
          </cell>
          <cell r="AI211">
            <v>45000</v>
          </cell>
          <cell r="AJ211">
            <v>0</v>
          </cell>
          <cell r="AK211">
            <v>0</v>
          </cell>
          <cell r="AL211">
            <v>45000</v>
          </cell>
          <cell r="AM211">
            <v>27000</v>
          </cell>
          <cell r="AN211">
            <v>0</v>
          </cell>
          <cell r="AO211">
            <v>18000</v>
          </cell>
          <cell r="AP211">
            <v>0</v>
          </cell>
        </row>
        <row r="212">
          <cell r="AE212">
            <v>3</v>
          </cell>
          <cell r="AF212" t="str">
            <v xml:space="preserve">Doter les Centres de santé de kits WATTA pour la production locale du chlore liquide </v>
          </cell>
          <cell r="AG212">
            <v>1</v>
          </cell>
          <cell r="AH212">
            <v>0</v>
          </cell>
          <cell r="AI212">
            <v>62500</v>
          </cell>
          <cell r="AJ212">
            <v>0</v>
          </cell>
          <cell r="AK212">
            <v>0</v>
          </cell>
          <cell r="AL212">
            <v>62500</v>
          </cell>
          <cell r="AM212">
            <v>37500</v>
          </cell>
          <cell r="AN212">
            <v>0</v>
          </cell>
          <cell r="AO212">
            <v>25000</v>
          </cell>
          <cell r="AP212">
            <v>0</v>
          </cell>
        </row>
        <row r="213">
          <cell r="AE213">
            <v>4</v>
          </cell>
          <cell r="AF213" t="str">
            <v xml:space="preserve">Location camions de transport  des matériels et matériaux </v>
          </cell>
          <cell r="AG213">
            <v>1</v>
          </cell>
          <cell r="AH213">
            <v>0</v>
          </cell>
          <cell r="AI213">
            <v>30000</v>
          </cell>
          <cell r="AJ213">
            <v>0</v>
          </cell>
          <cell r="AK213">
            <v>0</v>
          </cell>
          <cell r="AL213">
            <v>30000</v>
          </cell>
          <cell r="AM213">
            <v>15000</v>
          </cell>
          <cell r="AN213">
            <v>0</v>
          </cell>
          <cell r="AO213">
            <v>15000</v>
          </cell>
          <cell r="AP213">
            <v>0</v>
          </cell>
        </row>
        <row r="214">
          <cell r="AE214">
            <v>5</v>
          </cell>
          <cell r="AF214" t="str">
            <v>Manutention  chargement et déchargement</v>
          </cell>
          <cell r="AG214">
            <v>1</v>
          </cell>
          <cell r="AH214">
            <v>0</v>
          </cell>
          <cell r="AI214">
            <v>2700</v>
          </cell>
          <cell r="AJ214">
            <v>0</v>
          </cell>
          <cell r="AK214">
            <v>0</v>
          </cell>
          <cell r="AL214">
            <v>2700</v>
          </cell>
          <cell r="AM214">
            <v>1350</v>
          </cell>
          <cell r="AN214">
            <v>0</v>
          </cell>
          <cell r="AO214">
            <v>1350</v>
          </cell>
          <cell r="AP214">
            <v>0</v>
          </cell>
        </row>
        <row r="215">
          <cell r="AE215" t="str">
            <v>3.2.2</v>
          </cell>
          <cell r="AF215" t="str">
            <v>Construire / Réhabiliter les infrastructures d'assainissement au sein des formations sanitaires (latrines, ouvrages de stockage, douches, traitement et élimination des déchets), prenant en compte les besoins spécifiques des femmes et des filles</v>
          </cell>
          <cell r="AG215">
            <v>1</v>
          </cell>
          <cell r="AH215">
            <v>0</v>
          </cell>
          <cell r="AI215">
            <v>558620.61</v>
          </cell>
          <cell r="AJ215">
            <v>0</v>
          </cell>
          <cell r="AK215">
            <v>0</v>
          </cell>
          <cell r="AL215">
            <v>558620.61</v>
          </cell>
          <cell r="AM215">
            <v>332699.31</v>
          </cell>
          <cell r="AN215">
            <v>0</v>
          </cell>
          <cell r="AO215">
            <v>225921.30000000002</v>
          </cell>
          <cell r="AP215">
            <v>0</v>
          </cell>
        </row>
        <row r="216">
          <cell r="AE216">
            <v>1</v>
          </cell>
          <cell r="AF216" t="str">
            <v>Construire des portes des douches au sein du centre de sante</v>
          </cell>
          <cell r="AG216">
            <v>1</v>
          </cell>
          <cell r="AH216">
            <v>0</v>
          </cell>
          <cell r="AI216">
            <v>53749</v>
          </cell>
          <cell r="AJ216">
            <v>0</v>
          </cell>
          <cell r="AK216">
            <v>0</v>
          </cell>
          <cell r="AL216">
            <v>53749</v>
          </cell>
          <cell r="AM216">
            <v>32249.4</v>
          </cell>
          <cell r="AN216">
            <v>0</v>
          </cell>
          <cell r="AO216">
            <v>21499.599999999999</v>
          </cell>
          <cell r="AP216">
            <v>0</v>
          </cell>
        </row>
        <row r="217">
          <cell r="AE217">
            <v>2</v>
          </cell>
          <cell r="AF217" t="str">
            <v>Amenager des puits perdus au sein du centre de sante</v>
          </cell>
          <cell r="AG217">
            <v>1</v>
          </cell>
          <cell r="AH217">
            <v>0</v>
          </cell>
          <cell r="AI217">
            <v>4937.5</v>
          </cell>
          <cell r="AJ217">
            <v>0</v>
          </cell>
          <cell r="AK217">
            <v>0</v>
          </cell>
          <cell r="AL217">
            <v>4937.5</v>
          </cell>
          <cell r="AM217">
            <v>2962.5</v>
          </cell>
          <cell r="AN217">
            <v>0</v>
          </cell>
          <cell r="AO217">
            <v>1975</v>
          </cell>
          <cell r="AP217">
            <v>0</v>
          </cell>
        </row>
        <row r="218">
          <cell r="AE218">
            <v>3</v>
          </cell>
          <cell r="AF218" t="str">
            <v>Construire des portes des latrines pour les personnes à moblité réduite</v>
          </cell>
          <cell r="AG218">
            <v>1</v>
          </cell>
          <cell r="AH218">
            <v>0</v>
          </cell>
          <cell r="AI218">
            <v>123678</v>
          </cell>
          <cell r="AJ218">
            <v>0</v>
          </cell>
          <cell r="AK218">
            <v>0</v>
          </cell>
          <cell r="AL218">
            <v>123678</v>
          </cell>
          <cell r="AM218">
            <v>74206.8</v>
          </cell>
          <cell r="AN218">
            <v>0</v>
          </cell>
          <cell r="AO218">
            <v>49471.199999999997</v>
          </cell>
          <cell r="AP218">
            <v>0</v>
          </cell>
        </row>
        <row r="219">
          <cell r="AE219">
            <v>4</v>
          </cell>
          <cell r="AF219" t="str">
            <v xml:space="preserve">Construire des portes des latrines à double fosses et vidangeables </v>
          </cell>
          <cell r="AG219">
            <v>1</v>
          </cell>
          <cell r="AH219">
            <v>0</v>
          </cell>
          <cell r="AI219">
            <v>73954</v>
          </cell>
          <cell r="AJ219">
            <v>0</v>
          </cell>
          <cell r="AK219">
            <v>0</v>
          </cell>
          <cell r="AL219">
            <v>73954</v>
          </cell>
          <cell r="AM219">
            <v>44372.399999999994</v>
          </cell>
          <cell r="AN219">
            <v>0</v>
          </cell>
          <cell r="AO219">
            <v>29581.599999999999</v>
          </cell>
          <cell r="AP219">
            <v>0</v>
          </cell>
        </row>
        <row r="220">
          <cell r="AE220">
            <v>5</v>
          </cell>
          <cell r="AF220" t="str">
            <v>Construire fosse à placenta</v>
          </cell>
          <cell r="AG220">
            <v>1</v>
          </cell>
          <cell r="AH220">
            <v>0</v>
          </cell>
          <cell r="AI220">
            <v>27320</v>
          </cell>
          <cell r="AJ220">
            <v>0</v>
          </cell>
          <cell r="AK220">
            <v>0</v>
          </cell>
          <cell r="AL220">
            <v>27320</v>
          </cell>
          <cell r="AM220">
            <v>16392</v>
          </cell>
          <cell r="AN220">
            <v>0</v>
          </cell>
          <cell r="AO220">
            <v>10928</v>
          </cell>
          <cell r="AP220">
            <v>0</v>
          </cell>
        </row>
        <row r="221">
          <cell r="AE221">
            <v>6</v>
          </cell>
          <cell r="AF221" t="str">
            <v>Construire des incinerateurs type Montford</v>
          </cell>
          <cell r="AG221">
            <v>1</v>
          </cell>
          <cell r="AH221">
            <v>0</v>
          </cell>
          <cell r="AI221">
            <v>33860</v>
          </cell>
          <cell r="AJ221">
            <v>0</v>
          </cell>
          <cell r="AK221">
            <v>0</v>
          </cell>
          <cell r="AL221">
            <v>33860</v>
          </cell>
          <cell r="AM221">
            <v>20316</v>
          </cell>
          <cell r="AN221">
            <v>0</v>
          </cell>
          <cell r="AO221">
            <v>13544</v>
          </cell>
          <cell r="AP221">
            <v>0</v>
          </cell>
        </row>
        <row r="222">
          <cell r="AE222">
            <v>8</v>
          </cell>
          <cell r="AF222" t="str">
            <v>Construire des trous à ordures</v>
          </cell>
          <cell r="AG222">
            <v>1</v>
          </cell>
          <cell r="AH222">
            <v>0</v>
          </cell>
          <cell r="AI222">
            <v>3065.75</v>
          </cell>
          <cell r="AJ222">
            <v>0</v>
          </cell>
          <cell r="AK222">
            <v>0</v>
          </cell>
          <cell r="AL222">
            <v>3065.75</v>
          </cell>
          <cell r="AM222">
            <v>1839.4499999999998</v>
          </cell>
          <cell r="AN222">
            <v>0</v>
          </cell>
          <cell r="AO222">
            <v>1226.3</v>
          </cell>
          <cell r="AP222">
            <v>0</v>
          </cell>
        </row>
        <row r="223">
          <cell r="AE223">
            <v>9</v>
          </cell>
          <cell r="AF223" t="str">
            <v>Amenager des fosses à aiguilles</v>
          </cell>
          <cell r="AG223">
            <v>1</v>
          </cell>
          <cell r="AH223">
            <v>0</v>
          </cell>
          <cell r="AI223">
            <v>71272.5</v>
          </cell>
          <cell r="AJ223">
            <v>0</v>
          </cell>
          <cell r="AK223">
            <v>0</v>
          </cell>
          <cell r="AL223">
            <v>71272.5</v>
          </cell>
          <cell r="AM223">
            <v>42763.5</v>
          </cell>
          <cell r="AN223">
            <v>0</v>
          </cell>
          <cell r="AO223">
            <v>28509</v>
          </cell>
          <cell r="AP223">
            <v>0</v>
          </cell>
        </row>
        <row r="224">
          <cell r="AE224">
            <v>10</v>
          </cell>
          <cell r="AF224" t="str">
            <v>Construire des abris pour la zone de dechet</v>
          </cell>
          <cell r="AG224">
            <v>1</v>
          </cell>
          <cell r="AH224">
            <v>0</v>
          </cell>
          <cell r="AI224">
            <v>134528.5</v>
          </cell>
          <cell r="AJ224">
            <v>0</v>
          </cell>
          <cell r="AK224">
            <v>0</v>
          </cell>
          <cell r="AL224">
            <v>134528.5</v>
          </cell>
          <cell r="AM224">
            <v>80717.100000000006</v>
          </cell>
          <cell r="AN224">
            <v>0</v>
          </cell>
          <cell r="AO224">
            <v>53811.4</v>
          </cell>
          <cell r="AP224">
            <v>0</v>
          </cell>
        </row>
        <row r="225">
          <cell r="AE225">
            <v>11</v>
          </cell>
          <cell r="AF225" t="str">
            <v>Construire des bacs à lessive</v>
          </cell>
          <cell r="AG225">
            <v>1</v>
          </cell>
          <cell r="AH225">
            <v>0</v>
          </cell>
          <cell r="AI225">
            <v>6255.36</v>
          </cell>
          <cell r="AJ225">
            <v>0</v>
          </cell>
          <cell r="AK225">
            <v>0</v>
          </cell>
          <cell r="AL225">
            <v>6255.36</v>
          </cell>
          <cell r="AM225">
            <v>2780.16</v>
          </cell>
          <cell r="AN225">
            <v>0</v>
          </cell>
          <cell r="AO225">
            <v>3475.2</v>
          </cell>
          <cell r="AP225">
            <v>0</v>
          </cell>
        </row>
        <row r="226">
          <cell r="AE226">
            <v>12</v>
          </cell>
          <cell r="AF226" t="str">
            <v>Dotation de broyeur mécanique de flacon dans 25 CS selectionnés dans les 2 ZS de santé(Nyiragongo et Rwanguba)</v>
          </cell>
          <cell r="AI226">
            <v>3000</v>
          </cell>
          <cell r="AJ226">
            <v>0</v>
          </cell>
          <cell r="AK226">
            <v>0</v>
          </cell>
          <cell r="AL226">
            <v>3000</v>
          </cell>
          <cell r="AM226">
            <v>1800</v>
          </cell>
          <cell r="AN226">
            <v>0</v>
          </cell>
          <cell r="AO226">
            <v>1200</v>
          </cell>
          <cell r="AP226">
            <v>0</v>
          </cell>
        </row>
        <row r="227">
          <cell r="AE227">
            <v>13</v>
          </cell>
          <cell r="AF227" t="str">
            <v>Dotation des lampes solaires automatiques dans les 25 FOSA des zones  Nyiragongo et Rwanguba)</v>
          </cell>
          <cell r="AI227">
            <v>8000</v>
          </cell>
          <cell r="AJ227">
            <v>0</v>
          </cell>
          <cell r="AK227">
            <v>0</v>
          </cell>
          <cell r="AL227">
            <v>8000</v>
          </cell>
          <cell r="AM227">
            <v>4800</v>
          </cell>
          <cell r="AN227">
            <v>0</v>
          </cell>
          <cell r="AO227">
            <v>3200</v>
          </cell>
          <cell r="AP227">
            <v>0</v>
          </cell>
        </row>
        <row r="228">
          <cell r="AE228">
            <v>14</v>
          </cell>
          <cell r="AF228" t="str">
            <v>Location camions pour transport des materiels et matereux</v>
          </cell>
          <cell r="AG228">
            <v>1</v>
          </cell>
          <cell r="AH228">
            <v>0</v>
          </cell>
          <cell r="AI228">
            <v>15000</v>
          </cell>
          <cell r="AJ228">
            <v>0</v>
          </cell>
          <cell r="AK228">
            <v>0</v>
          </cell>
          <cell r="AL228">
            <v>15000</v>
          </cell>
          <cell r="AM228">
            <v>7500</v>
          </cell>
          <cell r="AN228">
            <v>0</v>
          </cell>
          <cell r="AO228">
            <v>7500</v>
          </cell>
          <cell r="AP228">
            <v>0</v>
          </cell>
        </row>
        <row r="229">
          <cell r="AE229" t="str">
            <v>3.2.3</v>
          </cell>
          <cell r="AF229" t="str">
            <v xml:space="preserve">Construire / réhabiliter les infrastructures d'hygiène au sein des formations sanitaires, prenant en compte les besoins spécifiques des femmes et des filles  </v>
          </cell>
          <cell r="AG229">
            <v>1</v>
          </cell>
          <cell r="AH229">
            <v>0</v>
          </cell>
          <cell r="AI229">
            <v>121250</v>
          </cell>
          <cell r="AJ229">
            <v>0</v>
          </cell>
          <cell r="AK229">
            <v>0</v>
          </cell>
          <cell r="AL229">
            <v>121250</v>
          </cell>
          <cell r="AM229">
            <v>72750</v>
          </cell>
          <cell r="AN229">
            <v>0</v>
          </cell>
          <cell r="AO229">
            <v>48500</v>
          </cell>
          <cell r="AP229">
            <v>0</v>
          </cell>
        </row>
        <row r="230">
          <cell r="AE230">
            <v>1</v>
          </cell>
          <cell r="AF230" t="str">
            <v>Construire les unites de triage durable et les equiper au sein de FOSA  pour surveiller la pendemie COVID19</v>
          </cell>
          <cell r="AG230">
            <v>1</v>
          </cell>
          <cell r="AH230">
            <v>0</v>
          </cell>
          <cell r="AI230">
            <v>121250</v>
          </cell>
          <cell r="AJ230">
            <v>0</v>
          </cell>
          <cell r="AK230">
            <v>0</v>
          </cell>
          <cell r="AL230">
            <v>121250</v>
          </cell>
          <cell r="AM230">
            <v>72750</v>
          </cell>
          <cell r="AN230">
            <v>0</v>
          </cell>
          <cell r="AO230">
            <v>48500</v>
          </cell>
          <cell r="AP230">
            <v>0</v>
          </cell>
        </row>
        <row r="231">
          <cell r="AE231" t="str">
            <v>3.2.4</v>
          </cell>
          <cell r="AF231" t="str">
            <v>Réhabiliter / Renforcer les infrastructures d’accueil au niveau de centres de santé (espaces pour CPS et autres activités promotionnelles et préventives), en prenant en compte les besoins spécifiques des femmes et des filles</v>
          </cell>
          <cell r="AG231">
            <v>1</v>
          </cell>
          <cell r="AH231">
            <v>0</v>
          </cell>
          <cell r="AI231">
            <v>88462</v>
          </cell>
          <cell r="AJ231">
            <v>0</v>
          </cell>
          <cell r="AK231">
            <v>0</v>
          </cell>
          <cell r="AL231">
            <v>88462</v>
          </cell>
          <cell r="AM231">
            <v>51731</v>
          </cell>
          <cell r="AN231">
            <v>0</v>
          </cell>
          <cell r="AO231">
            <v>36731</v>
          </cell>
          <cell r="AP231">
            <v>0</v>
          </cell>
        </row>
        <row r="232">
          <cell r="AE232">
            <v>1</v>
          </cell>
          <cell r="AF232" t="str">
            <v>Faire l'etat de lieux dans les centres de santé appuyés et elaborer le cahier de charge</v>
          </cell>
          <cell r="AI232">
            <v>0</v>
          </cell>
          <cell r="AJ232">
            <v>0</v>
          </cell>
          <cell r="AK232">
            <v>0</v>
          </cell>
          <cell r="AL232">
            <v>0</v>
          </cell>
          <cell r="AM232">
            <v>0</v>
          </cell>
          <cell r="AN232">
            <v>0</v>
          </cell>
          <cell r="AO232">
            <v>0</v>
          </cell>
          <cell r="AP232">
            <v>0</v>
          </cell>
        </row>
        <row r="233">
          <cell r="AE233">
            <v>2</v>
          </cell>
          <cell r="AF233" t="str">
            <v>Publication des offres et selection fournisseurs</v>
          </cell>
          <cell r="AG233">
            <v>1</v>
          </cell>
          <cell r="AH233">
            <v>0</v>
          </cell>
          <cell r="AI233">
            <v>1000</v>
          </cell>
          <cell r="AJ233">
            <v>0</v>
          </cell>
          <cell r="AK233">
            <v>0</v>
          </cell>
          <cell r="AL233">
            <v>1000</v>
          </cell>
          <cell r="AM233">
            <v>500</v>
          </cell>
          <cell r="AN233">
            <v>0</v>
          </cell>
          <cell r="AO233">
            <v>500</v>
          </cell>
          <cell r="AP233">
            <v>0</v>
          </cell>
        </row>
        <row r="234">
          <cell r="AE234">
            <v>3</v>
          </cell>
          <cell r="AF234" t="str">
            <v>Rehabiliter et renforcer les infrastructures d'acceuil dans les CS</v>
          </cell>
          <cell r="AG234">
            <v>1</v>
          </cell>
          <cell r="AH234">
            <v>0</v>
          </cell>
          <cell r="AI234">
            <v>75000</v>
          </cell>
          <cell r="AJ234">
            <v>0</v>
          </cell>
          <cell r="AK234">
            <v>0</v>
          </cell>
          <cell r="AL234">
            <v>75000</v>
          </cell>
          <cell r="AM234">
            <v>45000</v>
          </cell>
          <cell r="AN234">
            <v>0</v>
          </cell>
          <cell r="AO234">
            <v>30000</v>
          </cell>
          <cell r="AP234">
            <v>0</v>
          </cell>
        </row>
        <row r="235">
          <cell r="AE235">
            <v>4</v>
          </cell>
          <cell r="AF235" t="str">
            <v>Mettre en place des espaces de jeux  protégés pour le maintein de l'hygiene des enfants lors des CPS au sein des FOSA</v>
          </cell>
          <cell r="AG235">
            <v>1</v>
          </cell>
          <cell r="AH235">
            <v>0</v>
          </cell>
          <cell r="AI235">
            <v>12462</v>
          </cell>
          <cell r="AJ235">
            <v>0</v>
          </cell>
          <cell r="AK235">
            <v>0</v>
          </cell>
          <cell r="AL235">
            <v>12462</v>
          </cell>
          <cell r="AM235">
            <v>6231</v>
          </cell>
          <cell r="AN235">
            <v>0</v>
          </cell>
          <cell r="AO235">
            <v>6231</v>
          </cell>
          <cell r="AP235">
            <v>0</v>
          </cell>
        </row>
        <row r="236">
          <cell r="AE236" t="str">
            <v>3.2.5</v>
          </cell>
          <cell r="AF236" t="str">
            <v>Organiser des focus groupes avec les personnels de santé femmes et des mères bénéficiaires pour bien prendre en compte leurs perspectives et leurs éventuels besoins spécifiques dans la mise en œuvre des services WASH</v>
          </cell>
          <cell r="AG236">
            <v>1</v>
          </cell>
          <cell r="AH236">
            <v>0</v>
          </cell>
          <cell r="AI236">
            <v>7588.7999999999993</v>
          </cell>
          <cell r="AJ236">
            <v>0</v>
          </cell>
          <cell r="AK236">
            <v>0</v>
          </cell>
          <cell r="AL236">
            <v>7588.7999999999993</v>
          </cell>
          <cell r="AM236">
            <v>4550.3999999999996</v>
          </cell>
          <cell r="AN236">
            <v>0</v>
          </cell>
          <cell r="AO236">
            <v>3038.4</v>
          </cell>
          <cell r="AP236">
            <v>0</v>
          </cell>
        </row>
        <row r="237">
          <cell r="AE237">
            <v>1</v>
          </cell>
          <cell r="AF237" t="str">
            <v>Pause café</v>
          </cell>
          <cell r="AG237">
            <v>1</v>
          </cell>
          <cell r="AH237">
            <v>0</v>
          </cell>
          <cell r="AI237">
            <v>2188.8000000000002</v>
          </cell>
          <cell r="AJ237">
            <v>0</v>
          </cell>
          <cell r="AK237">
            <v>0</v>
          </cell>
          <cell r="AL237">
            <v>2188.8000000000002</v>
          </cell>
          <cell r="AM237">
            <v>1310.4000000000001</v>
          </cell>
          <cell r="AN237">
            <v>0</v>
          </cell>
          <cell r="AO237">
            <v>878.4</v>
          </cell>
          <cell r="AP237">
            <v>0</v>
          </cell>
        </row>
        <row r="238">
          <cell r="AE238">
            <v>2</v>
          </cell>
          <cell r="AF238" t="str">
            <v>Transport des participants</v>
          </cell>
          <cell r="AG238">
            <v>1</v>
          </cell>
          <cell r="AH238">
            <v>0</v>
          </cell>
          <cell r="AI238">
            <v>5400</v>
          </cell>
          <cell r="AJ238">
            <v>0</v>
          </cell>
          <cell r="AK238">
            <v>0</v>
          </cell>
          <cell r="AL238">
            <v>5400</v>
          </cell>
          <cell r="AM238">
            <v>3240</v>
          </cell>
          <cell r="AN238">
            <v>0</v>
          </cell>
          <cell r="AO238">
            <v>2160</v>
          </cell>
          <cell r="AP238">
            <v>0</v>
          </cell>
        </row>
        <row r="239">
          <cell r="AE239" t="str">
            <v>3.2.6</v>
          </cell>
          <cell r="AF239" t="str">
            <v>Constituer de façon paritaire et  former les membres du comité d'hygiene sur la gestion des activités, hygiène et assainissement, la PCI (Prevention contre les infections), le Genre et la prévention des VBG et AES</v>
          </cell>
          <cell r="AG239">
            <v>1</v>
          </cell>
          <cell r="AH239">
            <v>0</v>
          </cell>
          <cell r="AI239">
            <v>57617.5</v>
          </cell>
          <cell r="AJ239">
            <v>0</v>
          </cell>
          <cell r="AK239">
            <v>0</v>
          </cell>
          <cell r="AL239">
            <v>57617.5</v>
          </cell>
          <cell r="AM239">
            <v>30328.5</v>
          </cell>
          <cell r="AN239">
            <v>0</v>
          </cell>
          <cell r="AO239">
            <v>27289</v>
          </cell>
          <cell r="AP239">
            <v>0</v>
          </cell>
        </row>
        <row r="240">
          <cell r="AE240">
            <v>1</v>
          </cell>
          <cell r="AF240" t="str">
            <v xml:space="preserve">Restauration des participants à la formation </v>
          </cell>
          <cell r="AG240">
            <v>1</v>
          </cell>
          <cell r="AH240">
            <v>0</v>
          </cell>
          <cell r="AI240">
            <v>4284</v>
          </cell>
          <cell r="AJ240">
            <v>0</v>
          </cell>
          <cell r="AK240">
            <v>0</v>
          </cell>
          <cell r="AL240">
            <v>4284</v>
          </cell>
          <cell r="AM240">
            <v>2562</v>
          </cell>
          <cell r="AN240">
            <v>0</v>
          </cell>
          <cell r="AO240">
            <v>1722</v>
          </cell>
          <cell r="AP240">
            <v>0</v>
          </cell>
        </row>
        <row r="241">
          <cell r="AE241">
            <v>2</v>
          </cell>
          <cell r="AF241" t="str">
            <v>Doter les comité d'hygiène des kits PCI</v>
          </cell>
          <cell r="AG241">
            <v>1</v>
          </cell>
          <cell r="AH241">
            <v>0</v>
          </cell>
          <cell r="AI241">
            <v>3937.5</v>
          </cell>
          <cell r="AJ241">
            <v>0</v>
          </cell>
          <cell r="AK241">
            <v>0</v>
          </cell>
          <cell r="AL241">
            <v>3937.5</v>
          </cell>
          <cell r="AM241">
            <v>2362.5</v>
          </cell>
          <cell r="AN241">
            <v>0</v>
          </cell>
          <cell r="AO241">
            <v>1575</v>
          </cell>
          <cell r="AP241">
            <v>0</v>
          </cell>
        </row>
        <row r="242">
          <cell r="AE242">
            <v>3</v>
          </cell>
          <cell r="AF242" t="str">
            <v xml:space="preserve">Location salle </v>
          </cell>
          <cell r="AG242">
            <v>1</v>
          </cell>
          <cell r="AH242">
            <v>0</v>
          </cell>
          <cell r="AI242">
            <v>1500</v>
          </cell>
          <cell r="AJ242">
            <v>0</v>
          </cell>
          <cell r="AK242">
            <v>0</v>
          </cell>
          <cell r="AL242">
            <v>1500</v>
          </cell>
          <cell r="AM242">
            <v>900</v>
          </cell>
          <cell r="AN242">
            <v>0</v>
          </cell>
          <cell r="AO242">
            <v>600</v>
          </cell>
          <cell r="AP242">
            <v>0</v>
          </cell>
        </row>
        <row r="243">
          <cell r="AE243">
            <v>4</v>
          </cell>
          <cell r="AF243" t="str">
            <v>Transport des participants</v>
          </cell>
          <cell r="AG243">
            <v>1</v>
          </cell>
          <cell r="AH243">
            <v>0</v>
          </cell>
          <cell r="AI243">
            <v>5000</v>
          </cell>
          <cell r="AJ243">
            <v>0</v>
          </cell>
          <cell r="AK243">
            <v>0</v>
          </cell>
          <cell r="AL243">
            <v>5000</v>
          </cell>
          <cell r="AM243">
            <v>3000</v>
          </cell>
          <cell r="AN243">
            <v>0</v>
          </cell>
          <cell r="AO243">
            <v>2000</v>
          </cell>
          <cell r="AP243">
            <v>0</v>
          </cell>
        </row>
        <row r="244">
          <cell r="AE244">
            <v>5</v>
          </cell>
          <cell r="AF244" t="str">
            <v>Mission de suivi-Supervision et coordination par les equipes de la DPS Goma</v>
          </cell>
          <cell r="AG244">
            <v>1</v>
          </cell>
          <cell r="AH244">
            <v>0</v>
          </cell>
          <cell r="AI244">
            <v>4704</v>
          </cell>
          <cell r="AJ244">
            <v>0</v>
          </cell>
          <cell r="AK244">
            <v>0</v>
          </cell>
          <cell r="AL244">
            <v>4704</v>
          </cell>
          <cell r="AM244">
            <v>2688</v>
          </cell>
          <cell r="AN244">
            <v>0</v>
          </cell>
          <cell r="AO244">
            <v>2016</v>
          </cell>
          <cell r="AP244">
            <v>0</v>
          </cell>
        </row>
        <row r="245">
          <cell r="AE245">
            <v>6</v>
          </cell>
          <cell r="AF245" t="str">
            <v>Mission de suivi-Supervision et coordination par les equipes des zones de sante de Rwanguba et de Nyiragongo</v>
          </cell>
          <cell r="AG245">
            <v>1</v>
          </cell>
          <cell r="AH245">
            <v>0</v>
          </cell>
          <cell r="AI245">
            <v>24192</v>
          </cell>
          <cell r="AJ245">
            <v>0</v>
          </cell>
          <cell r="AK245">
            <v>0</v>
          </cell>
          <cell r="AL245">
            <v>24192</v>
          </cell>
          <cell r="AM245">
            <v>12096</v>
          </cell>
          <cell r="AN245">
            <v>0</v>
          </cell>
          <cell r="AO245">
            <v>12096</v>
          </cell>
          <cell r="AP245">
            <v>0</v>
          </cell>
        </row>
        <row r="246">
          <cell r="AE246">
            <v>7</v>
          </cell>
          <cell r="AF246" t="str">
            <v xml:space="preserve">Carburant pour le vehicule de la DPS  lors des mission dans les  BCZ et fosa  et Villages </v>
          </cell>
          <cell r="AG246">
            <v>1</v>
          </cell>
          <cell r="AH246">
            <v>0</v>
          </cell>
          <cell r="AI246">
            <v>3360</v>
          </cell>
          <cell r="AJ246">
            <v>0</v>
          </cell>
          <cell r="AK246">
            <v>0</v>
          </cell>
          <cell r="AL246">
            <v>3360</v>
          </cell>
          <cell r="AM246">
            <v>1680</v>
          </cell>
          <cell r="AN246">
            <v>0</v>
          </cell>
          <cell r="AO246">
            <v>1680</v>
          </cell>
          <cell r="AP246">
            <v>0</v>
          </cell>
        </row>
        <row r="247">
          <cell r="AE247">
            <v>8</v>
          </cell>
          <cell r="AF247" t="str">
            <v xml:space="preserve">Carburant pour les Motos des BCZ de Rwanguba et de Rutshuru   lors des mission dans les FOSA  et villages </v>
          </cell>
          <cell r="AG247">
            <v>1</v>
          </cell>
          <cell r="AH247">
            <v>0</v>
          </cell>
          <cell r="AI247">
            <v>10640</v>
          </cell>
          <cell r="AJ247">
            <v>0</v>
          </cell>
          <cell r="AK247">
            <v>0</v>
          </cell>
          <cell r="AL247">
            <v>10640</v>
          </cell>
          <cell r="AM247">
            <v>5040</v>
          </cell>
          <cell r="AN247">
            <v>0</v>
          </cell>
          <cell r="AO247">
            <v>5600</v>
          </cell>
          <cell r="AP247">
            <v>0</v>
          </cell>
        </row>
        <row r="248">
          <cell r="AE248" t="str">
            <v>Plateforme 4</v>
          </cell>
          <cell r="AF248" t="str">
            <v>COMMUNAUTE</v>
          </cell>
          <cell r="AG248">
            <v>0.98088645097739391</v>
          </cell>
          <cell r="AH248">
            <v>1.9113549022606122E-2</v>
          </cell>
          <cell r="AI248">
            <v>3677387.1677156175</v>
          </cell>
          <cell r="AJ248">
            <v>0</v>
          </cell>
          <cell r="AK248">
            <v>71657.549999999988</v>
          </cell>
          <cell r="AL248">
            <v>3749044.7177156173</v>
          </cell>
          <cell r="AM248">
            <v>1773232.63</v>
          </cell>
          <cell r="AN248">
            <v>0</v>
          </cell>
          <cell r="AO248">
            <v>1904154.5377156176</v>
          </cell>
          <cell r="AP248">
            <v>0</v>
          </cell>
        </row>
        <row r="249">
          <cell r="AE249" t="str">
            <v>4.1.1</v>
          </cell>
          <cell r="AF249" t="str">
            <v>Redynamiser /mettre en place des CAC, en veillant à leur composition paritaire des membres élus</v>
          </cell>
          <cell r="AG249">
            <v>1</v>
          </cell>
          <cell r="AH249">
            <v>0</v>
          </cell>
          <cell r="AI249">
            <v>27290</v>
          </cell>
          <cell r="AJ249">
            <v>0</v>
          </cell>
          <cell r="AK249">
            <v>0</v>
          </cell>
          <cell r="AL249">
            <v>27290</v>
          </cell>
          <cell r="AM249">
            <v>12865</v>
          </cell>
          <cell r="AN249">
            <v>0</v>
          </cell>
          <cell r="AO249">
            <v>14425</v>
          </cell>
          <cell r="AP249">
            <v>0</v>
          </cell>
        </row>
        <row r="250">
          <cell r="AE250">
            <v>1</v>
          </cell>
          <cell r="AF250" t="str">
            <v>Frais de transport des APAs/influenceurs lors des investitures</v>
          </cell>
          <cell r="AG250">
            <v>1</v>
          </cell>
          <cell r="AH250">
            <v>0</v>
          </cell>
          <cell r="AI250">
            <v>6055</v>
          </cell>
          <cell r="AJ250">
            <v>0</v>
          </cell>
          <cell r="AK250">
            <v>0</v>
          </cell>
          <cell r="AL250">
            <v>6055</v>
          </cell>
          <cell r="AM250">
            <v>2435</v>
          </cell>
          <cell r="AN250">
            <v>0</v>
          </cell>
          <cell r="AO250">
            <v>3620</v>
          </cell>
          <cell r="AP250">
            <v>0</v>
          </cell>
        </row>
        <row r="251">
          <cell r="AE251">
            <v>2</v>
          </cell>
          <cell r="AF251" t="str">
            <v xml:space="preserve">Location salle dans chaque AS pour l'investiture </v>
          </cell>
          <cell r="AG251">
            <v>1</v>
          </cell>
          <cell r="AH251">
            <v>0</v>
          </cell>
          <cell r="AI251">
            <v>1550</v>
          </cell>
          <cell r="AJ251">
            <v>0</v>
          </cell>
          <cell r="AK251">
            <v>0</v>
          </cell>
          <cell r="AL251">
            <v>1550</v>
          </cell>
          <cell r="AM251">
            <v>750</v>
          </cell>
          <cell r="AN251">
            <v>0</v>
          </cell>
          <cell r="AO251">
            <v>800</v>
          </cell>
          <cell r="AP251">
            <v>0</v>
          </cell>
        </row>
        <row r="252">
          <cell r="AE252">
            <v>4</v>
          </cell>
          <cell r="AF252" t="str">
            <v>Motivation des crieurs lors de sensibilisations</v>
          </cell>
          <cell r="AG252">
            <v>1</v>
          </cell>
          <cell r="AH252">
            <v>0</v>
          </cell>
          <cell r="AI252">
            <v>2875</v>
          </cell>
          <cell r="AJ252">
            <v>0</v>
          </cell>
          <cell r="AK252">
            <v>0</v>
          </cell>
          <cell r="AL252">
            <v>2875</v>
          </cell>
          <cell r="AM252">
            <v>1415</v>
          </cell>
          <cell r="AN252">
            <v>0</v>
          </cell>
          <cell r="AO252">
            <v>1460</v>
          </cell>
          <cell r="AP252">
            <v>0</v>
          </cell>
        </row>
        <row r="253">
          <cell r="AE253">
            <v>5</v>
          </cell>
          <cell r="AF253" t="str">
            <v>Achat megaphones pour sensibilisation</v>
          </cell>
          <cell r="AG253">
            <v>1</v>
          </cell>
          <cell r="AH253">
            <v>0</v>
          </cell>
          <cell r="AI253">
            <v>15875</v>
          </cell>
          <cell r="AJ253">
            <v>0</v>
          </cell>
          <cell r="AK253">
            <v>0</v>
          </cell>
          <cell r="AL253">
            <v>15875</v>
          </cell>
          <cell r="AM253">
            <v>7825</v>
          </cell>
          <cell r="AN253">
            <v>0</v>
          </cell>
          <cell r="AO253">
            <v>8050</v>
          </cell>
          <cell r="AP253">
            <v>0</v>
          </cell>
        </row>
        <row r="254">
          <cell r="AE254">
            <v>6</v>
          </cell>
          <cell r="AF254" t="str">
            <v>Achat pile pour megaphone des crieurs qui vont sensibilisé pour la participation à AV</v>
          </cell>
          <cell r="AG254">
            <v>1</v>
          </cell>
          <cell r="AH254">
            <v>0</v>
          </cell>
          <cell r="AI254">
            <v>935</v>
          </cell>
          <cell r="AJ254">
            <v>0</v>
          </cell>
          <cell r="AK254">
            <v>0</v>
          </cell>
          <cell r="AL254">
            <v>935</v>
          </cell>
          <cell r="AM254">
            <v>440</v>
          </cell>
          <cell r="AN254">
            <v>0</v>
          </cell>
          <cell r="AO254">
            <v>495</v>
          </cell>
          <cell r="AP254">
            <v>0</v>
          </cell>
        </row>
        <row r="255">
          <cell r="AE255" t="str">
            <v>4.1.2</v>
          </cell>
          <cell r="AF255" t="str">
            <v>Former les facilitateurs locaux sur la dynamique communautaire</v>
          </cell>
          <cell r="AG255">
            <v>1</v>
          </cell>
          <cell r="AH255">
            <v>0</v>
          </cell>
          <cell r="AI255">
            <v>128135</v>
          </cell>
          <cell r="AJ255">
            <v>0</v>
          </cell>
          <cell r="AK255">
            <v>0</v>
          </cell>
          <cell r="AL255">
            <v>128135</v>
          </cell>
          <cell r="AM255">
            <v>34311.5</v>
          </cell>
          <cell r="AN255">
            <v>0</v>
          </cell>
          <cell r="AO255">
            <v>93823.5</v>
          </cell>
          <cell r="AP255">
            <v>0</v>
          </cell>
        </row>
        <row r="256">
          <cell r="AE256">
            <v>1</v>
          </cell>
          <cell r="AF256" t="str">
            <v>Pause café à Nyiragongo et à Rwanguba</v>
          </cell>
          <cell r="AG256">
            <v>1</v>
          </cell>
          <cell r="AH256">
            <v>0</v>
          </cell>
          <cell r="AI256">
            <v>5550</v>
          </cell>
          <cell r="AJ256">
            <v>0</v>
          </cell>
          <cell r="AK256">
            <v>0</v>
          </cell>
          <cell r="AL256">
            <v>5550</v>
          </cell>
          <cell r="AM256">
            <v>1600</v>
          </cell>
          <cell r="AN256">
            <v>0</v>
          </cell>
          <cell r="AO256">
            <v>3950</v>
          </cell>
          <cell r="AP256">
            <v>0</v>
          </cell>
        </row>
        <row r="257">
          <cell r="AE257">
            <v>2</v>
          </cell>
          <cell r="AF257" t="str">
            <v>Pause repas à Nyiragongo et à Rwanguba</v>
          </cell>
          <cell r="AG257">
            <v>1</v>
          </cell>
          <cell r="AH257">
            <v>0</v>
          </cell>
          <cell r="AI257">
            <v>14275</v>
          </cell>
          <cell r="AJ257">
            <v>0</v>
          </cell>
          <cell r="AK257">
            <v>0</v>
          </cell>
          <cell r="AL257">
            <v>14275</v>
          </cell>
          <cell r="AM257">
            <v>4000</v>
          </cell>
          <cell r="AN257">
            <v>0</v>
          </cell>
          <cell r="AO257">
            <v>10275</v>
          </cell>
          <cell r="AP257">
            <v>0</v>
          </cell>
        </row>
        <row r="258">
          <cell r="AE258">
            <v>3</v>
          </cell>
          <cell r="AF258" t="str">
            <v>Frais de facilitation</v>
          </cell>
          <cell r="AG258">
            <v>1</v>
          </cell>
          <cell r="AH258">
            <v>0</v>
          </cell>
          <cell r="AI258">
            <v>3250</v>
          </cell>
          <cell r="AJ258">
            <v>0</v>
          </cell>
          <cell r="AK258">
            <v>0</v>
          </cell>
          <cell r="AL258">
            <v>3250</v>
          </cell>
          <cell r="AM258">
            <v>875</v>
          </cell>
          <cell r="AN258">
            <v>0</v>
          </cell>
          <cell r="AO258">
            <v>2375</v>
          </cell>
          <cell r="AP258">
            <v>0</v>
          </cell>
        </row>
        <row r="259">
          <cell r="AE259">
            <v>4</v>
          </cell>
          <cell r="AF259" t="str">
            <v xml:space="preserve">Location salle </v>
          </cell>
          <cell r="AG259">
            <v>1</v>
          </cell>
          <cell r="AH259">
            <v>0</v>
          </cell>
          <cell r="AI259">
            <v>6500</v>
          </cell>
          <cell r="AJ259">
            <v>0</v>
          </cell>
          <cell r="AK259">
            <v>0</v>
          </cell>
          <cell r="AL259">
            <v>6500</v>
          </cell>
          <cell r="AM259">
            <v>1750</v>
          </cell>
          <cell r="AN259">
            <v>0</v>
          </cell>
          <cell r="AO259">
            <v>4750</v>
          </cell>
          <cell r="AP259">
            <v>0</v>
          </cell>
        </row>
        <row r="260">
          <cell r="AE260">
            <v>5</v>
          </cell>
          <cell r="AF260" t="str">
            <v>Frais de transport des participant à Nyiragongo et Rwanguba</v>
          </cell>
          <cell r="AG260">
            <v>1</v>
          </cell>
          <cell r="AH260">
            <v>0</v>
          </cell>
          <cell r="AI260">
            <v>12600</v>
          </cell>
          <cell r="AJ260">
            <v>0</v>
          </cell>
          <cell r="AK260">
            <v>0</v>
          </cell>
          <cell r="AL260">
            <v>12600</v>
          </cell>
          <cell r="AM260">
            <v>3275</v>
          </cell>
          <cell r="AN260">
            <v>0</v>
          </cell>
          <cell r="AO260">
            <v>9325</v>
          </cell>
          <cell r="AP260">
            <v>0</v>
          </cell>
        </row>
        <row r="261">
          <cell r="AE261">
            <v>6</v>
          </cell>
          <cell r="AF261" t="str">
            <v>Fournitures (Kit -Stylos et blocs notes)</v>
          </cell>
          <cell r="AG261">
            <v>1</v>
          </cell>
          <cell r="AH261">
            <v>0</v>
          </cell>
          <cell r="AI261">
            <v>1260</v>
          </cell>
          <cell r="AJ261">
            <v>0</v>
          </cell>
          <cell r="AK261">
            <v>0</v>
          </cell>
          <cell r="AL261">
            <v>1260</v>
          </cell>
          <cell r="AM261">
            <v>327.5</v>
          </cell>
          <cell r="AN261">
            <v>0</v>
          </cell>
          <cell r="AO261">
            <v>932.5</v>
          </cell>
          <cell r="AP261">
            <v>0</v>
          </cell>
        </row>
        <row r="262">
          <cell r="AE262">
            <v>7</v>
          </cell>
          <cell r="AF262" t="str">
            <v>Prime des facilitateurs locaux pour mois d'accompagnement des activités de mise en œuvre de la dynamique communautaire</v>
          </cell>
          <cell r="AG262">
            <v>1</v>
          </cell>
          <cell r="AH262">
            <v>0</v>
          </cell>
          <cell r="AI262">
            <v>84700</v>
          </cell>
          <cell r="AJ262">
            <v>0</v>
          </cell>
          <cell r="AK262">
            <v>0</v>
          </cell>
          <cell r="AL262">
            <v>84700</v>
          </cell>
          <cell r="AM262">
            <v>22484</v>
          </cell>
          <cell r="AN262">
            <v>0</v>
          </cell>
          <cell r="AO262">
            <v>62216</v>
          </cell>
          <cell r="AP262">
            <v>0</v>
          </cell>
        </row>
        <row r="263">
          <cell r="AE263" t="str">
            <v>4.1.3</v>
          </cell>
          <cell r="AF263" t="str">
            <v xml:space="preserve">Former les membres des CAC sur la dynamique communautaire </v>
          </cell>
          <cell r="AG263">
            <v>1</v>
          </cell>
          <cell r="AH263">
            <v>0</v>
          </cell>
          <cell r="AI263">
            <v>585345</v>
          </cell>
          <cell r="AJ263">
            <v>0</v>
          </cell>
          <cell r="AK263">
            <v>0</v>
          </cell>
          <cell r="AL263">
            <v>585345</v>
          </cell>
          <cell r="AM263">
            <v>260700</v>
          </cell>
          <cell r="AN263">
            <v>0</v>
          </cell>
          <cell r="AO263">
            <v>324645</v>
          </cell>
          <cell r="AP263">
            <v>0</v>
          </cell>
        </row>
        <row r="264">
          <cell r="AE264">
            <v>1</v>
          </cell>
          <cell r="AF264" t="str">
            <v>Pause café à Nyiragongo et à Rwanguba</v>
          </cell>
          <cell r="AG264">
            <v>1</v>
          </cell>
          <cell r="AH264">
            <v>0</v>
          </cell>
          <cell r="AI264">
            <v>79130</v>
          </cell>
          <cell r="AJ264">
            <v>0</v>
          </cell>
          <cell r="AK264">
            <v>0</v>
          </cell>
          <cell r="AL264">
            <v>79130</v>
          </cell>
          <cell r="AM264">
            <v>35660</v>
          </cell>
          <cell r="AN264">
            <v>0</v>
          </cell>
          <cell r="AO264">
            <v>43470</v>
          </cell>
          <cell r="AP264">
            <v>0</v>
          </cell>
        </row>
        <row r="265">
          <cell r="AE265">
            <v>2</v>
          </cell>
          <cell r="AF265" t="str">
            <v>Pause repas à Nyiragongo et à Rwanguba</v>
          </cell>
          <cell r="AG265">
            <v>1</v>
          </cell>
          <cell r="AH265">
            <v>0</v>
          </cell>
          <cell r="AI265">
            <v>197825</v>
          </cell>
          <cell r="AJ265">
            <v>0</v>
          </cell>
          <cell r="AK265">
            <v>0</v>
          </cell>
          <cell r="AL265">
            <v>197825</v>
          </cell>
          <cell r="AM265">
            <v>89150</v>
          </cell>
          <cell r="AN265">
            <v>0</v>
          </cell>
          <cell r="AO265">
            <v>108675</v>
          </cell>
          <cell r="AP265">
            <v>0</v>
          </cell>
        </row>
        <row r="266">
          <cell r="AE266">
            <v>3</v>
          </cell>
          <cell r="AF266" t="str">
            <v xml:space="preserve">Location salle </v>
          </cell>
          <cell r="AG266">
            <v>1</v>
          </cell>
          <cell r="AH266">
            <v>0</v>
          </cell>
          <cell r="AI266">
            <v>94250</v>
          </cell>
          <cell r="AJ266">
            <v>0</v>
          </cell>
          <cell r="AK266">
            <v>0</v>
          </cell>
          <cell r="AL266">
            <v>94250</v>
          </cell>
          <cell r="AM266">
            <v>42500</v>
          </cell>
          <cell r="AN266">
            <v>0</v>
          </cell>
          <cell r="AO266">
            <v>51750</v>
          </cell>
          <cell r="AP266">
            <v>0</v>
          </cell>
        </row>
        <row r="267">
          <cell r="AE267">
            <v>4</v>
          </cell>
          <cell r="AF267" t="str">
            <v>Frais de transport des participants</v>
          </cell>
          <cell r="AG267">
            <v>1</v>
          </cell>
          <cell r="AH267">
            <v>0</v>
          </cell>
          <cell r="AI267">
            <v>188400</v>
          </cell>
          <cell r="AJ267">
            <v>0</v>
          </cell>
          <cell r="AK267">
            <v>0</v>
          </cell>
          <cell r="AL267">
            <v>188400</v>
          </cell>
          <cell r="AM267">
            <v>84900</v>
          </cell>
          <cell r="AN267">
            <v>0</v>
          </cell>
          <cell r="AO267">
            <v>103500</v>
          </cell>
          <cell r="AP267">
            <v>0</v>
          </cell>
        </row>
        <row r="268">
          <cell r="AE268">
            <v>5</v>
          </cell>
          <cell r="AF268" t="str">
            <v>Fournitures (Kit -Stylos ,carnet,Crayon et gomme en boite et taille crayon)</v>
          </cell>
          <cell r="AG268">
            <v>1</v>
          </cell>
          <cell r="AH268">
            <v>0</v>
          </cell>
          <cell r="AI268">
            <v>25740</v>
          </cell>
          <cell r="AJ268">
            <v>0</v>
          </cell>
          <cell r="AK268">
            <v>0</v>
          </cell>
          <cell r="AL268">
            <v>25740</v>
          </cell>
          <cell r="AM268">
            <v>8490</v>
          </cell>
          <cell r="AN268">
            <v>0</v>
          </cell>
          <cell r="AO268">
            <v>17250</v>
          </cell>
          <cell r="AP268">
            <v>0</v>
          </cell>
        </row>
        <row r="269">
          <cell r="AE269" t="str">
            <v>4.1.4</v>
          </cell>
          <cell r="AF269" t="str">
            <v>Appuyer le fonctionnement des cellules d’animation communautaire (CAC)</v>
          </cell>
          <cell r="AG269">
            <v>0.99264775618721646</v>
          </cell>
          <cell r="AH269">
            <v>7.352243812783584E-3</v>
          </cell>
          <cell r="AI269">
            <v>673174.31771561771</v>
          </cell>
          <cell r="AJ269">
            <v>0</v>
          </cell>
          <cell r="AK269">
            <v>4986</v>
          </cell>
          <cell r="AL269">
            <v>678160.31771561771</v>
          </cell>
          <cell r="AM269">
            <v>289726.7</v>
          </cell>
          <cell r="AN269">
            <v>0</v>
          </cell>
          <cell r="AO269">
            <v>383447.6177156177</v>
          </cell>
          <cell r="AP269">
            <v>0</v>
          </cell>
        </row>
        <row r="270">
          <cell r="AE270">
            <v>1</v>
          </cell>
          <cell r="AF270" t="str">
            <v>Appui Frais fonctionnement CAC</v>
          </cell>
          <cell r="AG270">
            <v>1</v>
          </cell>
          <cell r="AH270">
            <v>0</v>
          </cell>
          <cell r="AI270">
            <v>115000</v>
          </cell>
          <cell r="AJ270">
            <v>0</v>
          </cell>
          <cell r="AK270">
            <v>0</v>
          </cell>
          <cell r="AL270">
            <v>115000</v>
          </cell>
          <cell r="AM270">
            <v>56600</v>
          </cell>
          <cell r="AN270">
            <v>0</v>
          </cell>
          <cell r="AO270">
            <v>58400</v>
          </cell>
          <cell r="AP270">
            <v>0</v>
          </cell>
        </row>
        <row r="271">
          <cell r="AE271">
            <v>2</v>
          </cell>
          <cell r="AF271" t="str">
            <v>Prime de performance en faveur des CAC pour organisation de depistage et referencement des enfants nécessitant une prise en charge nutritionnelle aux CS</v>
          </cell>
          <cell r="AG271">
            <v>1</v>
          </cell>
          <cell r="AH271">
            <v>0</v>
          </cell>
          <cell r="AI271">
            <v>105215.61771561771</v>
          </cell>
          <cell r="AJ271">
            <v>0</v>
          </cell>
          <cell r="AK271">
            <v>0</v>
          </cell>
          <cell r="AL271">
            <v>105215.61771561771</v>
          </cell>
          <cell r="AM271">
            <v>56600</v>
          </cell>
          <cell r="AN271">
            <v>0</v>
          </cell>
          <cell r="AO271">
            <v>48615.617715617715</v>
          </cell>
          <cell r="AP271">
            <v>0</v>
          </cell>
        </row>
        <row r="272">
          <cell r="AE272">
            <v>3</v>
          </cell>
          <cell r="AF272" t="str">
            <v>Frais d'impression t-shirt pour l'organisation de jeux meilleure CAC-CAC modèle-CAC Performant</v>
          </cell>
          <cell r="AI272">
            <v>144144</v>
          </cell>
          <cell r="AJ272">
            <v>0</v>
          </cell>
          <cell r="AK272">
            <v>0</v>
          </cell>
          <cell r="AL272">
            <v>144144</v>
          </cell>
          <cell r="AM272">
            <v>47544</v>
          </cell>
          <cell r="AN272">
            <v>0</v>
          </cell>
          <cell r="AO272">
            <v>96600</v>
          </cell>
          <cell r="AP272">
            <v>0</v>
          </cell>
        </row>
        <row r="273">
          <cell r="AE273">
            <v>4</v>
          </cell>
          <cell r="AF273" t="str">
            <v>Achat des imprimentes performante pour l'impression des fiches de rapportage des CAC</v>
          </cell>
          <cell r="AG273">
            <v>1</v>
          </cell>
          <cell r="AH273">
            <v>0</v>
          </cell>
          <cell r="AI273">
            <v>7200</v>
          </cell>
          <cell r="AJ273">
            <v>0</v>
          </cell>
          <cell r="AK273">
            <v>0</v>
          </cell>
          <cell r="AL273">
            <v>7200</v>
          </cell>
          <cell r="AM273">
            <v>4800</v>
          </cell>
          <cell r="AN273">
            <v>0</v>
          </cell>
          <cell r="AO273">
            <v>2400</v>
          </cell>
          <cell r="AP273">
            <v>0</v>
          </cell>
        </row>
        <row r="274">
          <cell r="AE274">
            <v>5</v>
          </cell>
          <cell r="AF274" t="str">
            <v>Achat Rame de papier pour impression des fiches de rapportage des CAC</v>
          </cell>
          <cell r="AG274">
            <v>1</v>
          </cell>
          <cell r="AH274">
            <v>0</v>
          </cell>
          <cell r="AI274">
            <v>6554.7</v>
          </cell>
          <cell r="AJ274">
            <v>0</v>
          </cell>
          <cell r="AK274">
            <v>0</v>
          </cell>
          <cell r="AL274">
            <v>6554.7</v>
          </cell>
          <cell r="AM274">
            <v>5474.7</v>
          </cell>
          <cell r="AN274">
            <v>0</v>
          </cell>
          <cell r="AO274">
            <v>1080</v>
          </cell>
          <cell r="AP274">
            <v>0</v>
          </cell>
        </row>
        <row r="275">
          <cell r="AE275">
            <v>6</v>
          </cell>
          <cell r="AF275" t="str">
            <v xml:space="preserve">Cartouche pour imprimante </v>
          </cell>
          <cell r="AG275">
            <v>1</v>
          </cell>
          <cell r="AH275">
            <v>0</v>
          </cell>
          <cell r="AI275">
            <v>65520</v>
          </cell>
          <cell r="AJ275">
            <v>0</v>
          </cell>
          <cell r="AK275">
            <v>0</v>
          </cell>
          <cell r="AL275">
            <v>65520</v>
          </cell>
          <cell r="AM275">
            <v>18720</v>
          </cell>
          <cell r="AN275">
            <v>0</v>
          </cell>
          <cell r="AO275">
            <v>46800</v>
          </cell>
          <cell r="AP275">
            <v>0</v>
          </cell>
        </row>
        <row r="276">
          <cell r="AE276">
            <v>7</v>
          </cell>
          <cell r="AF276" t="str">
            <v>Banderole lors des activités</v>
          </cell>
          <cell r="AG276">
            <v>1</v>
          </cell>
          <cell r="AH276">
            <v>0</v>
          </cell>
          <cell r="AI276">
            <v>1550</v>
          </cell>
          <cell r="AJ276">
            <v>0</v>
          </cell>
          <cell r="AK276">
            <v>0</v>
          </cell>
          <cell r="AL276">
            <v>1550</v>
          </cell>
          <cell r="AM276">
            <v>750</v>
          </cell>
          <cell r="AN276">
            <v>0</v>
          </cell>
          <cell r="AO276">
            <v>800</v>
          </cell>
          <cell r="AP276">
            <v>0</v>
          </cell>
        </row>
        <row r="277">
          <cell r="AE277">
            <v>8</v>
          </cell>
          <cell r="AF277" t="str">
            <v>Impression lacoste pour les superviseurs de proximités</v>
          </cell>
          <cell r="AG277">
            <v>1</v>
          </cell>
          <cell r="AH277">
            <v>0</v>
          </cell>
          <cell r="AI277">
            <v>2000</v>
          </cell>
          <cell r="AJ277">
            <v>0</v>
          </cell>
          <cell r="AK277">
            <v>0</v>
          </cell>
          <cell r="AL277">
            <v>2000</v>
          </cell>
          <cell r="AM277">
            <v>1000</v>
          </cell>
          <cell r="AN277">
            <v>0</v>
          </cell>
          <cell r="AO277">
            <v>1000</v>
          </cell>
          <cell r="AP277">
            <v>0</v>
          </cell>
        </row>
        <row r="278">
          <cell r="AE278">
            <v>9</v>
          </cell>
          <cell r="AF278" t="str">
            <v>Bottes pour les membres de CAC</v>
          </cell>
          <cell r="AG278">
            <v>1</v>
          </cell>
          <cell r="AH278">
            <v>0</v>
          </cell>
          <cell r="AI278">
            <v>72072</v>
          </cell>
          <cell r="AJ278">
            <v>0</v>
          </cell>
          <cell r="AK278">
            <v>0</v>
          </cell>
          <cell r="AL278">
            <v>72072</v>
          </cell>
          <cell r="AM278">
            <v>23772</v>
          </cell>
          <cell r="AN278">
            <v>0</v>
          </cell>
          <cell r="AO278">
            <v>48300</v>
          </cell>
          <cell r="AP278">
            <v>0</v>
          </cell>
        </row>
        <row r="279">
          <cell r="AF279" t="str">
            <v xml:space="preserve">Staff </v>
          </cell>
          <cell r="AJ279">
            <v>0</v>
          </cell>
          <cell r="AL279">
            <v>0</v>
          </cell>
          <cell r="AM279">
            <v>0</v>
          </cell>
          <cell r="AN279">
            <v>0</v>
          </cell>
          <cell r="AO279">
            <v>0</v>
          </cell>
          <cell r="AP279">
            <v>0</v>
          </cell>
        </row>
        <row r="280">
          <cell r="AE280">
            <v>10</v>
          </cell>
          <cell r="AF280" t="str">
            <v>Coordonateur des interventions C4D</v>
          </cell>
          <cell r="AG280">
            <v>0.84721456150027574</v>
          </cell>
          <cell r="AH280">
            <v>0.1527854384997242</v>
          </cell>
          <cell r="AI280">
            <v>27648</v>
          </cell>
          <cell r="AJ280">
            <v>0</v>
          </cell>
          <cell r="AK280">
            <v>4986</v>
          </cell>
          <cell r="AL280">
            <v>32634</v>
          </cell>
          <cell r="AM280">
            <v>11331</v>
          </cell>
          <cell r="AN280">
            <v>0</v>
          </cell>
          <cell r="AO280">
            <v>16317</v>
          </cell>
          <cell r="AP280">
            <v>0</v>
          </cell>
        </row>
        <row r="281">
          <cell r="AE281">
            <v>11</v>
          </cell>
          <cell r="AF281" t="str">
            <v>Assistants suivi et évaluation (zonale)</v>
          </cell>
          <cell r="AG281">
            <v>1</v>
          </cell>
          <cell r="AH281">
            <v>0</v>
          </cell>
          <cell r="AI281">
            <v>40356</v>
          </cell>
          <cell r="AJ281">
            <v>0</v>
          </cell>
          <cell r="AK281">
            <v>0</v>
          </cell>
          <cell r="AL281">
            <v>40356</v>
          </cell>
          <cell r="AM281">
            <v>20178</v>
          </cell>
          <cell r="AN281">
            <v>0</v>
          </cell>
          <cell r="AO281">
            <v>20178</v>
          </cell>
          <cell r="AP281">
            <v>0</v>
          </cell>
        </row>
        <row r="282">
          <cell r="AE282">
            <v>12</v>
          </cell>
          <cell r="AF282" t="str">
            <v>Salaire du Comptable du bureau de Rutshuru</v>
          </cell>
          <cell r="AG282">
            <v>1</v>
          </cell>
          <cell r="AH282">
            <v>0</v>
          </cell>
          <cell r="AI282">
            <v>20178</v>
          </cell>
          <cell r="AJ282">
            <v>0</v>
          </cell>
          <cell r="AK282">
            <v>0</v>
          </cell>
          <cell r="AL282">
            <v>20178</v>
          </cell>
          <cell r="AM282">
            <v>10089</v>
          </cell>
          <cell r="AN282">
            <v>0</v>
          </cell>
          <cell r="AO282">
            <v>10089</v>
          </cell>
          <cell r="AP282">
            <v>0</v>
          </cell>
        </row>
        <row r="283">
          <cell r="AE283">
            <v>13</v>
          </cell>
          <cell r="AF283" t="str">
            <v>Superviseurs de Zone</v>
          </cell>
          <cell r="AG283">
            <v>1</v>
          </cell>
          <cell r="AH283">
            <v>0</v>
          </cell>
          <cell r="AI283">
            <v>40356</v>
          </cell>
          <cell r="AJ283">
            <v>0</v>
          </cell>
          <cell r="AK283">
            <v>0</v>
          </cell>
          <cell r="AL283">
            <v>40356</v>
          </cell>
          <cell r="AM283">
            <v>20178</v>
          </cell>
          <cell r="AN283">
            <v>0</v>
          </cell>
          <cell r="AO283">
            <v>20178</v>
          </cell>
          <cell r="AP283">
            <v>0</v>
          </cell>
        </row>
        <row r="284">
          <cell r="AE284">
            <v>14</v>
          </cell>
          <cell r="AF284" t="str">
            <v>Salaire des Assistants logisticiens (Zonaux/Junior)</v>
          </cell>
          <cell r="AG284">
            <v>1</v>
          </cell>
          <cell r="AH284">
            <v>0</v>
          </cell>
          <cell r="AI284">
            <v>25380</v>
          </cell>
          <cell r="AJ284">
            <v>0</v>
          </cell>
          <cell r="AK284">
            <v>0</v>
          </cell>
          <cell r="AL284">
            <v>25380</v>
          </cell>
          <cell r="AM284">
            <v>12690</v>
          </cell>
          <cell r="AN284">
            <v>0</v>
          </cell>
          <cell r="AO284">
            <v>12690</v>
          </cell>
          <cell r="AP284">
            <v>0</v>
          </cell>
        </row>
        <row r="285">
          <cell r="AE285" t="str">
            <v>4.1.5</v>
          </cell>
          <cell r="AF285" t="str">
            <v>Organiser des réunions d’auto-évaluation par les membres de nouvelles CAC au tour de l’Autorité locale de base</v>
          </cell>
          <cell r="AG285">
            <v>1</v>
          </cell>
          <cell r="AH285">
            <v>0</v>
          </cell>
          <cell r="AI285">
            <v>63210</v>
          </cell>
          <cell r="AJ285">
            <v>0</v>
          </cell>
          <cell r="AK285">
            <v>0</v>
          </cell>
          <cell r="AL285">
            <v>63210</v>
          </cell>
          <cell r="AM285">
            <v>25032</v>
          </cell>
          <cell r="AN285">
            <v>0</v>
          </cell>
          <cell r="AO285">
            <v>38178</v>
          </cell>
          <cell r="AP285">
            <v>0</v>
          </cell>
        </row>
        <row r="286">
          <cell r="AE286">
            <v>1</v>
          </cell>
          <cell r="AF286" t="str">
            <v>Frais de pause-café (casse-croute) des participants</v>
          </cell>
          <cell r="AG286">
            <v>1</v>
          </cell>
          <cell r="AH286">
            <v>0</v>
          </cell>
          <cell r="AI286">
            <v>18060</v>
          </cell>
          <cell r="AJ286">
            <v>0</v>
          </cell>
          <cell r="AK286">
            <v>0</v>
          </cell>
          <cell r="AL286">
            <v>18060</v>
          </cell>
          <cell r="AM286">
            <v>7152</v>
          </cell>
          <cell r="AN286">
            <v>0</v>
          </cell>
          <cell r="AO286">
            <v>10908</v>
          </cell>
          <cell r="AP286">
            <v>0</v>
          </cell>
        </row>
        <row r="287">
          <cell r="AE287">
            <v>2</v>
          </cell>
          <cell r="AF287" t="str">
            <v xml:space="preserve">Frais de transport des participants à la réunion </v>
          </cell>
          <cell r="AG287">
            <v>1</v>
          </cell>
          <cell r="AH287">
            <v>0</v>
          </cell>
          <cell r="AI287">
            <v>45150</v>
          </cell>
          <cell r="AJ287">
            <v>0</v>
          </cell>
          <cell r="AK287">
            <v>0</v>
          </cell>
          <cell r="AL287">
            <v>45150</v>
          </cell>
          <cell r="AM287">
            <v>17880</v>
          </cell>
          <cell r="AN287">
            <v>0</v>
          </cell>
          <cell r="AO287">
            <v>27270</v>
          </cell>
          <cell r="AP287">
            <v>0</v>
          </cell>
        </row>
        <row r="288">
          <cell r="AE288" t="str">
            <v>4.1.6</v>
          </cell>
          <cell r="AF288" t="str">
            <v>Accompagner et Mettre en place des clubs d'écoute communautaire dans les CAC</v>
          </cell>
          <cell r="AG288">
            <v>1</v>
          </cell>
          <cell r="AH288">
            <v>0</v>
          </cell>
          <cell r="AI288">
            <v>21450</v>
          </cell>
          <cell r="AJ288">
            <v>0</v>
          </cell>
          <cell r="AK288">
            <v>0</v>
          </cell>
          <cell r="AL288">
            <v>21450</v>
          </cell>
          <cell r="AM288">
            <v>7075</v>
          </cell>
          <cell r="AN288">
            <v>0</v>
          </cell>
          <cell r="AO288">
            <v>14375</v>
          </cell>
          <cell r="AP288">
            <v>0</v>
          </cell>
        </row>
        <row r="289">
          <cell r="AE289">
            <v>1</v>
          </cell>
          <cell r="AF289" t="str">
            <v>Achat radios solaires</v>
          </cell>
          <cell r="AG289">
            <v>1</v>
          </cell>
          <cell r="AH289">
            <v>0</v>
          </cell>
          <cell r="AI289">
            <v>21450</v>
          </cell>
          <cell r="AJ289">
            <v>0</v>
          </cell>
          <cell r="AK289">
            <v>0</v>
          </cell>
          <cell r="AL289">
            <v>21450</v>
          </cell>
          <cell r="AM289">
            <v>7075</v>
          </cell>
          <cell r="AN289">
            <v>0</v>
          </cell>
          <cell r="AO289">
            <v>14375</v>
          </cell>
          <cell r="AP289">
            <v>0</v>
          </cell>
        </row>
        <row r="290">
          <cell r="AE290" t="str">
            <v>4.1.7</v>
          </cell>
          <cell r="AF290" t="str">
            <v>Organiser le Dénombrement, le Diagnostic communautaire et élaborer les Plan d’actions communautaire Multisectoriels</v>
          </cell>
          <cell r="AG290">
            <v>1</v>
          </cell>
          <cell r="AH290">
            <v>0</v>
          </cell>
          <cell r="AI290">
            <v>307174</v>
          </cell>
          <cell r="AJ290">
            <v>0</v>
          </cell>
          <cell r="AK290">
            <v>0</v>
          </cell>
          <cell r="AL290">
            <v>307174</v>
          </cell>
          <cell r="AM290">
            <v>101324</v>
          </cell>
          <cell r="AN290">
            <v>0</v>
          </cell>
          <cell r="AO290">
            <v>205850</v>
          </cell>
          <cell r="AP290">
            <v>0</v>
          </cell>
        </row>
        <row r="291">
          <cell r="AE291">
            <v>1</v>
          </cell>
          <cell r="AF291" t="str">
            <v>Pause-café en faveur de participants à l'élaboration des Plan d’actions communautaire et seance de diagnostique communautaire</v>
          </cell>
          <cell r="AG291">
            <v>1</v>
          </cell>
          <cell r="AH291">
            <v>0</v>
          </cell>
          <cell r="AI291">
            <v>41184</v>
          </cell>
          <cell r="AJ291">
            <v>0</v>
          </cell>
          <cell r="AK291">
            <v>0</v>
          </cell>
          <cell r="AL291">
            <v>41184</v>
          </cell>
          <cell r="AM291">
            <v>13584</v>
          </cell>
          <cell r="AN291">
            <v>0</v>
          </cell>
          <cell r="AO291">
            <v>27600</v>
          </cell>
          <cell r="AP291">
            <v>0</v>
          </cell>
        </row>
        <row r="292">
          <cell r="AE292">
            <v>2</v>
          </cell>
          <cell r="AF292" t="str">
            <v>Pause-repas en faveur de participants à l'élaboration des Plan d’actions communautaire et seance de diagnostique communautaire</v>
          </cell>
          <cell r="AG292">
            <v>1</v>
          </cell>
          <cell r="AH292">
            <v>0</v>
          </cell>
          <cell r="AI292">
            <v>102960</v>
          </cell>
          <cell r="AJ292">
            <v>0</v>
          </cell>
          <cell r="AK292">
            <v>0</v>
          </cell>
          <cell r="AL292">
            <v>102960</v>
          </cell>
          <cell r="AM292">
            <v>33960</v>
          </cell>
          <cell r="AN292">
            <v>0</v>
          </cell>
          <cell r="AO292">
            <v>69000</v>
          </cell>
          <cell r="AP292">
            <v>0</v>
          </cell>
        </row>
        <row r="293">
          <cell r="AE293">
            <v>3</v>
          </cell>
          <cell r="AF293" t="str">
            <v>Frais de transport des participants à l'élaboration des Plan d’actions communautaire et seance de diagnostique communautaire</v>
          </cell>
          <cell r="AG293">
            <v>1</v>
          </cell>
          <cell r="AH293">
            <v>0</v>
          </cell>
          <cell r="AI293">
            <v>102960</v>
          </cell>
          <cell r="AJ293">
            <v>0</v>
          </cell>
          <cell r="AK293">
            <v>0</v>
          </cell>
          <cell r="AL293">
            <v>102960</v>
          </cell>
          <cell r="AM293">
            <v>33960</v>
          </cell>
          <cell r="AN293">
            <v>0</v>
          </cell>
          <cell r="AO293">
            <v>69000</v>
          </cell>
          <cell r="AP293">
            <v>0</v>
          </cell>
        </row>
        <row r="294">
          <cell r="AE294">
            <v>4</v>
          </cell>
          <cell r="AF294" t="str">
            <v xml:space="preserve">Location salle  lors de l'élaboration de plan d'action communautaire </v>
          </cell>
          <cell r="AG294">
            <v>1</v>
          </cell>
          <cell r="AH294">
            <v>0</v>
          </cell>
          <cell r="AI294">
            <v>25750</v>
          </cell>
          <cell r="AJ294">
            <v>0</v>
          </cell>
          <cell r="AK294">
            <v>0</v>
          </cell>
          <cell r="AL294">
            <v>25750</v>
          </cell>
          <cell r="AM294">
            <v>8500</v>
          </cell>
          <cell r="AN294">
            <v>0</v>
          </cell>
          <cell r="AO294">
            <v>17250</v>
          </cell>
          <cell r="AP294">
            <v>0</v>
          </cell>
        </row>
        <row r="295">
          <cell r="AE295">
            <v>6</v>
          </cell>
          <cell r="AF295" t="str">
            <v xml:space="preserve">Carnet de données de dénombrement </v>
          </cell>
          <cell r="AI295">
            <v>34320</v>
          </cell>
          <cell r="AJ295">
            <v>0</v>
          </cell>
          <cell r="AK295">
            <v>0</v>
          </cell>
          <cell r="AL295">
            <v>34320</v>
          </cell>
          <cell r="AM295">
            <v>11320</v>
          </cell>
          <cell r="AN295">
            <v>0</v>
          </cell>
          <cell r="AO295">
            <v>23000</v>
          </cell>
          <cell r="AP295">
            <v>0</v>
          </cell>
        </row>
        <row r="296">
          <cell r="AE296" t="str">
            <v>4.2.1</v>
          </cell>
          <cell r="AF296" t="str">
            <v>Contribuer à la formation des facilitateurs locaux en Nutrition à assise communautaire (NAC) dans les AS suplemenaires NUTRITION et non ciblés par C4D</v>
          </cell>
          <cell r="AG296">
            <v>1</v>
          </cell>
          <cell r="AH296">
            <v>0</v>
          </cell>
          <cell r="AI296">
            <v>9207</v>
          </cell>
          <cell r="AJ296">
            <v>0</v>
          </cell>
          <cell r="AK296">
            <v>0</v>
          </cell>
          <cell r="AL296">
            <v>9207</v>
          </cell>
          <cell r="AM296">
            <v>9207</v>
          </cell>
          <cell r="AN296">
            <v>0</v>
          </cell>
          <cell r="AO296">
            <v>0</v>
          </cell>
          <cell r="AP296">
            <v>0</v>
          </cell>
        </row>
        <row r="297">
          <cell r="AE297">
            <v>1</v>
          </cell>
          <cell r="AF297" t="str">
            <v>Pause café</v>
          </cell>
          <cell r="AG297">
            <v>1</v>
          </cell>
          <cell r="AH297">
            <v>0</v>
          </cell>
          <cell r="AI297">
            <v>1152</v>
          </cell>
          <cell r="AJ297">
            <v>0</v>
          </cell>
          <cell r="AK297">
            <v>0</v>
          </cell>
          <cell r="AL297">
            <v>1152</v>
          </cell>
          <cell r="AM297">
            <v>1152</v>
          </cell>
          <cell r="AN297">
            <v>0</v>
          </cell>
          <cell r="AO297">
            <v>0</v>
          </cell>
          <cell r="AP297">
            <v>0</v>
          </cell>
        </row>
        <row r="298">
          <cell r="AE298">
            <v>2</v>
          </cell>
          <cell r="AF298" t="str">
            <v>Pause repas</v>
          </cell>
          <cell r="AG298">
            <v>1</v>
          </cell>
          <cell r="AH298">
            <v>0</v>
          </cell>
          <cell r="AI298">
            <v>2880</v>
          </cell>
          <cell r="AJ298">
            <v>0</v>
          </cell>
          <cell r="AK298">
            <v>0</v>
          </cell>
          <cell r="AL298">
            <v>2880</v>
          </cell>
          <cell r="AM298">
            <v>2880</v>
          </cell>
          <cell r="AN298">
            <v>0</v>
          </cell>
          <cell r="AO298">
            <v>0</v>
          </cell>
          <cell r="AP298">
            <v>0</v>
          </cell>
        </row>
        <row r="299">
          <cell r="AE299">
            <v>3</v>
          </cell>
          <cell r="AF299" t="str">
            <v>Location salle</v>
          </cell>
          <cell r="AG299">
            <v>1</v>
          </cell>
          <cell r="AH299">
            <v>0</v>
          </cell>
          <cell r="AI299">
            <v>1300</v>
          </cell>
          <cell r="AJ299">
            <v>0</v>
          </cell>
          <cell r="AK299">
            <v>0</v>
          </cell>
          <cell r="AL299">
            <v>1300</v>
          </cell>
          <cell r="AM299">
            <v>1300</v>
          </cell>
          <cell r="AN299">
            <v>0</v>
          </cell>
          <cell r="AO299">
            <v>0</v>
          </cell>
          <cell r="AP299">
            <v>0</v>
          </cell>
        </row>
        <row r="300">
          <cell r="AE300">
            <v>4</v>
          </cell>
          <cell r="AF300" t="str">
            <v>Transport des participants</v>
          </cell>
          <cell r="AG300">
            <v>1</v>
          </cell>
          <cell r="AH300">
            <v>0</v>
          </cell>
          <cell r="AI300">
            <v>2580</v>
          </cell>
          <cell r="AJ300">
            <v>0</v>
          </cell>
          <cell r="AK300">
            <v>0</v>
          </cell>
          <cell r="AL300">
            <v>2580</v>
          </cell>
          <cell r="AM300">
            <v>2580</v>
          </cell>
          <cell r="AN300">
            <v>0</v>
          </cell>
          <cell r="AO300">
            <v>0</v>
          </cell>
          <cell r="AP300">
            <v>0</v>
          </cell>
        </row>
        <row r="301">
          <cell r="AE301">
            <v>5</v>
          </cell>
          <cell r="AF301" t="str">
            <v>Emolument formateurs</v>
          </cell>
          <cell r="AG301">
            <v>1</v>
          </cell>
          <cell r="AH301">
            <v>0</v>
          </cell>
          <cell r="AI301">
            <v>650</v>
          </cell>
          <cell r="AJ301">
            <v>0</v>
          </cell>
          <cell r="AK301">
            <v>0</v>
          </cell>
          <cell r="AL301">
            <v>650</v>
          </cell>
          <cell r="AM301">
            <v>650</v>
          </cell>
          <cell r="AN301">
            <v>0</v>
          </cell>
          <cell r="AO301">
            <v>0</v>
          </cell>
          <cell r="AP301">
            <v>0</v>
          </cell>
        </row>
        <row r="302">
          <cell r="AE302">
            <v>6</v>
          </cell>
          <cell r="AF302" t="str">
            <v>Kits participants</v>
          </cell>
          <cell r="AG302">
            <v>1</v>
          </cell>
          <cell r="AH302">
            <v>0</v>
          </cell>
          <cell r="AI302">
            <v>645</v>
          </cell>
          <cell r="AJ302">
            <v>0</v>
          </cell>
          <cell r="AK302">
            <v>0</v>
          </cell>
          <cell r="AL302">
            <v>645</v>
          </cell>
          <cell r="AM302">
            <v>645</v>
          </cell>
          <cell r="AN302">
            <v>0</v>
          </cell>
          <cell r="AO302">
            <v>0</v>
          </cell>
          <cell r="AP302">
            <v>0</v>
          </cell>
        </row>
        <row r="303">
          <cell r="AE303" t="str">
            <v>4.2.2</v>
          </cell>
          <cell r="AF303" t="str">
            <v>Contribuer à la formation des RECO  sur la PCIMA, la NAC, le Genre et la prévention des VBG et AES dans les AS suplemenaires NUTRITION</v>
          </cell>
          <cell r="AG303">
            <v>1</v>
          </cell>
          <cell r="AH303">
            <v>0</v>
          </cell>
          <cell r="AI303">
            <v>45806</v>
          </cell>
          <cell r="AJ303">
            <v>0</v>
          </cell>
          <cell r="AK303">
            <v>0</v>
          </cell>
          <cell r="AL303">
            <v>45806</v>
          </cell>
          <cell r="AM303">
            <v>45806</v>
          </cell>
          <cell r="AN303">
            <v>0</v>
          </cell>
          <cell r="AO303">
            <v>0</v>
          </cell>
          <cell r="AP303">
            <v>0</v>
          </cell>
        </row>
        <row r="304">
          <cell r="AE304">
            <v>1</v>
          </cell>
          <cell r="AF304" t="str">
            <v xml:space="preserve">Pause café </v>
          </cell>
          <cell r="AG304">
            <v>1</v>
          </cell>
          <cell r="AH304">
            <v>0</v>
          </cell>
          <cell r="AI304">
            <v>5716</v>
          </cell>
          <cell r="AJ304">
            <v>0</v>
          </cell>
          <cell r="AK304">
            <v>0</v>
          </cell>
          <cell r="AL304">
            <v>5716</v>
          </cell>
          <cell r="AM304">
            <v>5716</v>
          </cell>
          <cell r="AN304">
            <v>0</v>
          </cell>
          <cell r="AO304">
            <v>0</v>
          </cell>
          <cell r="AP304">
            <v>0</v>
          </cell>
        </row>
        <row r="305">
          <cell r="AE305">
            <v>2</v>
          </cell>
          <cell r="AF305" t="str">
            <v xml:space="preserve">Pause repas  </v>
          </cell>
          <cell r="AG305">
            <v>1</v>
          </cell>
          <cell r="AH305">
            <v>0</v>
          </cell>
          <cell r="AI305">
            <v>14290</v>
          </cell>
          <cell r="AJ305">
            <v>0</v>
          </cell>
          <cell r="AK305">
            <v>0</v>
          </cell>
          <cell r="AL305">
            <v>14290</v>
          </cell>
          <cell r="AM305">
            <v>14290</v>
          </cell>
          <cell r="AN305">
            <v>0</v>
          </cell>
          <cell r="AO305">
            <v>0</v>
          </cell>
          <cell r="AP305">
            <v>0</v>
          </cell>
        </row>
        <row r="306">
          <cell r="AE306">
            <v>3</v>
          </cell>
          <cell r="AF306" t="str">
            <v>Location salle</v>
          </cell>
          <cell r="AG306">
            <v>1</v>
          </cell>
          <cell r="AH306">
            <v>0</v>
          </cell>
          <cell r="AI306">
            <v>6450</v>
          </cell>
          <cell r="AJ306">
            <v>0</v>
          </cell>
          <cell r="AK306">
            <v>0</v>
          </cell>
          <cell r="AL306">
            <v>6450</v>
          </cell>
          <cell r="AM306">
            <v>6450</v>
          </cell>
          <cell r="AN306">
            <v>0</v>
          </cell>
          <cell r="AO306">
            <v>0</v>
          </cell>
          <cell r="AP306">
            <v>0</v>
          </cell>
        </row>
        <row r="307">
          <cell r="AE307">
            <v>4</v>
          </cell>
          <cell r="AF307" t="str">
            <v>Transport des participants</v>
          </cell>
          <cell r="AG307">
            <v>1</v>
          </cell>
          <cell r="AH307">
            <v>0</v>
          </cell>
          <cell r="AI307">
            <v>12900</v>
          </cell>
          <cell r="AJ307">
            <v>0</v>
          </cell>
          <cell r="AK307">
            <v>0</v>
          </cell>
          <cell r="AL307">
            <v>12900</v>
          </cell>
          <cell r="AM307">
            <v>12900</v>
          </cell>
          <cell r="AN307">
            <v>0</v>
          </cell>
          <cell r="AO307">
            <v>0</v>
          </cell>
          <cell r="AP307">
            <v>0</v>
          </cell>
        </row>
        <row r="308">
          <cell r="AE308">
            <v>5</v>
          </cell>
          <cell r="AF308" t="str">
            <v>Kit participants</v>
          </cell>
          <cell r="AG308">
            <v>1</v>
          </cell>
          <cell r="AH308">
            <v>0</v>
          </cell>
          <cell r="AI308">
            <v>6450</v>
          </cell>
          <cell r="AJ308">
            <v>0</v>
          </cell>
          <cell r="AK308">
            <v>0</v>
          </cell>
          <cell r="AL308">
            <v>6450</v>
          </cell>
          <cell r="AM308">
            <v>6450</v>
          </cell>
          <cell r="AN308">
            <v>0</v>
          </cell>
          <cell r="AO308">
            <v>0</v>
          </cell>
          <cell r="AP308">
            <v>0</v>
          </cell>
        </row>
        <row r="309">
          <cell r="AE309" t="str">
            <v>4.2.3</v>
          </cell>
          <cell r="AF309" t="str">
            <v>Contribuer à l'organisation de dénombrement, diagnostic communautaire et élaboration de plan d'action communautaire</v>
          </cell>
          <cell r="AG309">
            <v>1</v>
          </cell>
          <cell r="AH309">
            <v>0</v>
          </cell>
          <cell r="AI309">
            <v>51600</v>
          </cell>
          <cell r="AJ309">
            <v>0</v>
          </cell>
          <cell r="AK309">
            <v>0</v>
          </cell>
          <cell r="AL309">
            <v>51600</v>
          </cell>
          <cell r="AM309">
            <v>51600</v>
          </cell>
          <cell r="AN309">
            <v>0</v>
          </cell>
          <cell r="AO309">
            <v>0</v>
          </cell>
          <cell r="AP309">
            <v>0</v>
          </cell>
        </row>
        <row r="310">
          <cell r="AF310" t="str">
            <v>Denombrement dans les 16 AS non ciblées par C4D durant l'année 1</v>
          </cell>
          <cell r="AJ310">
            <v>0</v>
          </cell>
          <cell r="AL310">
            <v>0</v>
          </cell>
          <cell r="AM310">
            <v>0</v>
          </cell>
          <cell r="AN310">
            <v>0</v>
          </cell>
          <cell r="AO310">
            <v>0</v>
          </cell>
          <cell r="AP310">
            <v>0</v>
          </cell>
        </row>
        <row r="311">
          <cell r="AE311">
            <v>1</v>
          </cell>
          <cell r="AF311" t="str">
            <v>Reprodution carnets de denombrement NUTRITION dans les villages non ciblé par la C4D l'année 1 (258 Villages non ciblées l'année 1)</v>
          </cell>
          <cell r="AI311">
            <v>2580</v>
          </cell>
          <cell r="AJ311">
            <v>0</v>
          </cell>
          <cell r="AK311">
            <v>0</v>
          </cell>
          <cell r="AL311">
            <v>2580</v>
          </cell>
          <cell r="AM311">
            <v>2580</v>
          </cell>
          <cell r="AN311">
            <v>0</v>
          </cell>
          <cell r="AO311">
            <v>0</v>
          </cell>
          <cell r="AP311">
            <v>0</v>
          </cell>
        </row>
        <row r="312">
          <cell r="AF312" t="str">
            <v>Diagnostic communautaire dans les 16 AS non ciblées par C4D durant l'année 1</v>
          </cell>
          <cell r="AJ312">
            <v>0</v>
          </cell>
          <cell r="AL312">
            <v>0</v>
          </cell>
          <cell r="AM312">
            <v>0</v>
          </cell>
          <cell r="AN312">
            <v>0</v>
          </cell>
          <cell r="AO312">
            <v>0</v>
          </cell>
          <cell r="AP312">
            <v>0</v>
          </cell>
        </row>
        <row r="313">
          <cell r="AE313">
            <v>2</v>
          </cell>
          <cell r="AF313" t="str">
            <v>Pause café des participants pendant les focus groupe pour poser le diagnostic specifique NUTRITION dans les villages non ciblé par la C4D l'année 1</v>
          </cell>
          <cell r="AG313">
            <v>1</v>
          </cell>
          <cell r="AH313">
            <v>0</v>
          </cell>
          <cell r="AI313">
            <v>5160</v>
          </cell>
          <cell r="AJ313">
            <v>0</v>
          </cell>
          <cell r="AK313">
            <v>0</v>
          </cell>
          <cell r="AL313">
            <v>5160</v>
          </cell>
          <cell r="AM313">
            <v>5160</v>
          </cell>
          <cell r="AN313">
            <v>0</v>
          </cell>
          <cell r="AO313">
            <v>0</v>
          </cell>
          <cell r="AP313">
            <v>0</v>
          </cell>
        </row>
        <row r="314">
          <cell r="AE314">
            <v>3</v>
          </cell>
          <cell r="AF314" t="str">
            <v>Pause repas des participants pendant les focus groupe pour poser le diagnostic et priorites sectorielles</v>
          </cell>
          <cell r="AG314">
            <v>1</v>
          </cell>
          <cell r="AH314">
            <v>0</v>
          </cell>
          <cell r="AI314">
            <v>12900</v>
          </cell>
          <cell r="AJ314">
            <v>0</v>
          </cell>
          <cell r="AK314">
            <v>0</v>
          </cell>
          <cell r="AL314">
            <v>12900</v>
          </cell>
          <cell r="AM314">
            <v>12900</v>
          </cell>
          <cell r="AN314">
            <v>0</v>
          </cell>
          <cell r="AO314">
            <v>0</v>
          </cell>
          <cell r="AP314">
            <v>0</v>
          </cell>
        </row>
        <row r="315">
          <cell r="AF315" t="str">
            <v>Elaboration de plans d'actions communautaires nutrition dans les 16 AS non ciblées par C4D durant l'année 1</v>
          </cell>
          <cell r="AJ315">
            <v>0</v>
          </cell>
          <cell r="AL315">
            <v>0</v>
          </cell>
          <cell r="AM315">
            <v>0</v>
          </cell>
          <cell r="AN315">
            <v>0</v>
          </cell>
          <cell r="AO315">
            <v>0</v>
          </cell>
          <cell r="AP315">
            <v>0</v>
          </cell>
        </row>
        <row r="316">
          <cell r="AE316">
            <v>4</v>
          </cell>
          <cell r="AF316" t="str">
            <v>Transport des participants lors de l'elaboration de PAC</v>
          </cell>
          <cell r="AG316">
            <v>1</v>
          </cell>
          <cell r="AH316">
            <v>0</v>
          </cell>
          <cell r="AI316">
            <v>12900</v>
          </cell>
          <cell r="AJ316">
            <v>0</v>
          </cell>
          <cell r="AK316">
            <v>0</v>
          </cell>
          <cell r="AL316">
            <v>12900</v>
          </cell>
          <cell r="AM316">
            <v>12900</v>
          </cell>
          <cell r="AN316">
            <v>0</v>
          </cell>
          <cell r="AO316">
            <v>0</v>
          </cell>
          <cell r="AP316">
            <v>0</v>
          </cell>
        </row>
        <row r="317">
          <cell r="AE317">
            <v>5</v>
          </cell>
          <cell r="AF317" t="str">
            <v>Pause café et Pause repas des participants pendant l'elaboration de PAC</v>
          </cell>
          <cell r="AG317">
            <v>1</v>
          </cell>
          <cell r="AH317">
            <v>0</v>
          </cell>
          <cell r="AI317">
            <v>18060</v>
          </cell>
          <cell r="AJ317">
            <v>0</v>
          </cell>
          <cell r="AK317">
            <v>0</v>
          </cell>
          <cell r="AL317">
            <v>18060</v>
          </cell>
          <cell r="AM317">
            <v>18060</v>
          </cell>
          <cell r="AN317">
            <v>0</v>
          </cell>
          <cell r="AO317">
            <v>0</v>
          </cell>
          <cell r="AP317">
            <v>0</v>
          </cell>
        </row>
        <row r="318">
          <cell r="AE318" t="str">
            <v>4.2.4</v>
          </cell>
          <cell r="AF318" t="str">
            <v>Renforcer la promotion de l’alimentation du nouveau-né et du jeune enfant (ANJE) comme partie intégrante des PFE dans tous les points de contacts, notamment dans la communauté (Visites à domicile, groupe de soutien, discussions communautaires, Organisations à base communautaire, Associations paysannes, etc.)</v>
          </cell>
          <cell r="AG318">
            <v>0.99768781336758794</v>
          </cell>
          <cell r="AH318">
            <v>2.3121866324120497E-3</v>
          </cell>
          <cell r="AI318">
            <v>240772</v>
          </cell>
          <cell r="AJ318">
            <v>0</v>
          </cell>
          <cell r="AK318">
            <v>558</v>
          </cell>
          <cell r="AL318">
            <v>241330</v>
          </cell>
          <cell r="AM318">
            <v>118541</v>
          </cell>
          <cell r="AN318">
            <v>0</v>
          </cell>
          <cell r="AO318">
            <v>122231</v>
          </cell>
          <cell r="AP318">
            <v>0</v>
          </cell>
        </row>
        <row r="319">
          <cell r="AE319">
            <v>1</v>
          </cell>
          <cell r="AF319" t="str">
            <v>Reproduction des Boites à images ANJE en francais et en langue locale</v>
          </cell>
          <cell r="AI319">
            <v>172500</v>
          </cell>
          <cell r="AJ319">
            <v>0</v>
          </cell>
          <cell r="AK319">
            <v>0</v>
          </cell>
          <cell r="AL319">
            <v>172500</v>
          </cell>
          <cell r="AM319">
            <v>84900</v>
          </cell>
          <cell r="AN319">
            <v>0</v>
          </cell>
          <cell r="AO319">
            <v>87600</v>
          </cell>
          <cell r="AP319">
            <v>0</v>
          </cell>
        </row>
        <row r="320">
          <cell r="AE320">
            <v>2</v>
          </cell>
          <cell r="AF320" t="str">
            <v>Reproduction  des outils ANJE (Formulaire de collecte et Registre ANJE)</v>
          </cell>
          <cell r="AI320">
            <v>28750</v>
          </cell>
          <cell r="AJ320">
            <v>0</v>
          </cell>
          <cell r="AK320">
            <v>0</v>
          </cell>
          <cell r="AL320">
            <v>28750</v>
          </cell>
          <cell r="AM320">
            <v>14150</v>
          </cell>
          <cell r="AN320">
            <v>0</v>
          </cell>
          <cell r="AO320">
            <v>14600</v>
          </cell>
          <cell r="AP320">
            <v>0</v>
          </cell>
        </row>
        <row r="321">
          <cell r="AE321">
            <v>3</v>
          </cell>
          <cell r="AF321" t="str">
            <v>Posters avec messages ANJE en francais et en langue locale</v>
          </cell>
          <cell r="AI321">
            <v>5750</v>
          </cell>
          <cell r="AJ321">
            <v>0</v>
          </cell>
          <cell r="AK321">
            <v>0</v>
          </cell>
          <cell r="AL321">
            <v>5750</v>
          </cell>
          <cell r="AM321">
            <v>2830</v>
          </cell>
          <cell r="AN321">
            <v>0</v>
          </cell>
          <cell r="AO321">
            <v>2920</v>
          </cell>
          <cell r="AP321">
            <v>0</v>
          </cell>
        </row>
        <row r="322">
          <cell r="AE322">
            <v>4</v>
          </cell>
          <cell r="AF322" t="str">
            <v>Depliants avec message sur ANJE en langue locale</v>
          </cell>
          <cell r="AI322">
            <v>28750</v>
          </cell>
          <cell r="AJ322">
            <v>0</v>
          </cell>
          <cell r="AK322">
            <v>0</v>
          </cell>
          <cell r="AL322">
            <v>28750</v>
          </cell>
          <cell r="AM322">
            <v>14150</v>
          </cell>
          <cell r="AN322">
            <v>0</v>
          </cell>
          <cell r="AO322">
            <v>14600</v>
          </cell>
          <cell r="AP322">
            <v>0</v>
          </cell>
        </row>
        <row r="323">
          <cell r="AE323">
            <v>5</v>
          </cell>
          <cell r="AF323" t="str">
            <v>Sketch sur ANJE dans les points chauds (Marché, Eglises…..)</v>
          </cell>
          <cell r="AG323">
            <v>0.9</v>
          </cell>
          <cell r="AH323">
            <v>0.1</v>
          </cell>
          <cell r="AI323">
            <v>5022</v>
          </cell>
          <cell r="AJ323">
            <v>0</v>
          </cell>
          <cell r="AK323">
            <v>558</v>
          </cell>
          <cell r="AL323">
            <v>5580</v>
          </cell>
          <cell r="AM323">
            <v>2511</v>
          </cell>
          <cell r="AN323">
            <v>0</v>
          </cell>
          <cell r="AO323">
            <v>2511</v>
          </cell>
          <cell r="AP323">
            <v>0</v>
          </cell>
        </row>
        <row r="324">
          <cell r="AE324" t="str">
            <v>4.2.5</v>
          </cell>
          <cell r="AF324" t="str">
            <v>Mise en place et animation des groupes de soutien ANJE (au niveau communautaire)</v>
          </cell>
          <cell r="AG324">
            <v>0.9</v>
          </cell>
          <cell r="AH324">
            <v>0.1</v>
          </cell>
          <cell r="AI324">
            <v>309060</v>
          </cell>
          <cell r="AJ324">
            <v>0</v>
          </cell>
          <cell r="AK324">
            <v>34340</v>
          </cell>
          <cell r="AL324">
            <v>343400</v>
          </cell>
          <cell r="AM324">
            <v>154530</v>
          </cell>
          <cell r="AN324">
            <v>0</v>
          </cell>
          <cell r="AO324">
            <v>154530</v>
          </cell>
          <cell r="AP324">
            <v>0</v>
          </cell>
        </row>
        <row r="325">
          <cell r="AE325">
            <v>1</v>
          </cell>
          <cell r="AF325" t="str">
            <v>Achat des ustensciles de cuisine et autres materiels (casserole, plats, cuilleres,bassine, gobelets…etc)</v>
          </cell>
          <cell r="AG325">
            <v>0.9</v>
          </cell>
          <cell r="AH325">
            <v>0.1</v>
          </cell>
          <cell r="AI325">
            <v>145440</v>
          </cell>
          <cell r="AJ325">
            <v>0</v>
          </cell>
          <cell r="AK325">
            <v>16160</v>
          </cell>
          <cell r="AL325">
            <v>161600</v>
          </cell>
          <cell r="AM325">
            <v>72720</v>
          </cell>
          <cell r="AN325">
            <v>0</v>
          </cell>
          <cell r="AO325">
            <v>72720</v>
          </cell>
          <cell r="AP325">
            <v>0</v>
          </cell>
        </row>
        <row r="326">
          <cell r="AE326">
            <v>2</v>
          </cell>
          <cell r="AF326" t="str">
            <v>Achat d'aliments locaux selon les résultats de l'inventaire et l'ammelioration des recettes</v>
          </cell>
          <cell r="AG326">
            <v>0.9</v>
          </cell>
          <cell r="AH326">
            <v>0.1</v>
          </cell>
          <cell r="AI326">
            <v>163620</v>
          </cell>
          <cell r="AJ326">
            <v>0</v>
          </cell>
          <cell r="AK326">
            <v>18180</v>
          </cell>
          <cell r="AL326">
            <v>181800</v>
          </cell>
          <cell r="AM326">
            <v>81810</v>
          </cell>
          <cell r="AN326">
            <v>0</v>
          </cell>
          <cell r="AO326">
            <v>81810</v>
          </cell>
          <cell r="AP326">
            <v>0</v>
          </cell>
        </row>
        <row r="327">
          <cell r="AE327" t="str">
            <v>4.2.6</v>
          </cell>
          <cell r="AF327" t="str">
            <v>Accompagner la réalisation des réunions mensuelles de monitorage pour suivre et évaluer chaque mois les indicateurs clés de la NAC à tous les niveaux des organes communautaires (CODESA, CAC)</v>
          </cell>
          <cell r="AG327">
            <v>0.9</v>
          </cell>
          <cell r="AH327">
            <v>0.1</v>
          </cell>
          <cell r="AI327">
            <v>74520</v>
          </cell>
          <cell r="AJ327">
            <v>0</v>
          </cell>
          <cell r="AK327">
            <v>8280</v>
          </cell>
          <cell r="AL327">
            <v>82800</v>
          </cell>
          <cell r="AM327">
            <v>25434</v>
          </cell>
          <cell r="AN327">
            <v>0</v>
          </cell>
          <cell r="AO327">
            <v>49086</v>
          </cell>
          <cell r="AP327">
            <v>0</v>
          </cell>
        </row>
        <row r="328">
          <cell r="AE328">
            <v>1</v>
          </cell>
          <cell r="AF328" t="str">
            <v xml:space="preserve">Appui (Collation)  aux reunions de monitorage au niveau CODESA </v>
          </cell>
          <cell r="AG328">
            <v>0.9</v>
          </cell>
          <cell r="AH328">
            <v>0.1</v>
          </cell>
          <cell r="AI328">
            <v>34749</v>
          </cell>
          <cell r="AJ328">
            <v>0</v>
          </cell>
          <cell r="AK328">
            <v>3861</v>
          </cell>
          <cell r="AL328">
            <v>38610</v>
          </cell>
          <cell r="AM328">
            <v>11461.5</v>
          </cell>
          <cell r="AN328">
            <v>0</v>
          </cell>
          <cell r="AO328">
            <v>23287.5</v>
          </cell>
          <cell r="AP328">
            <v>0</v>
          </cell>
        </row>
        <row r="329">
          <cell r="AE329">
            <v>2</v>
          </cell>
          <cell r="AF329" t="str">
            <v>Remboursement  Transport aux participants aux reunions de monitorage au niveau CODESA</v>
          </cell>
          <cell r="AG329">
            <v>0.9</v>
          </cell>
          <cell r="AH329">
            <v>0.1</v>
          </cell>
          <cell r="AI329">
            <v>34749</v>
          </cell>
          <cell r="AJ329">
            <v>0</v>
          </cell>
          <cell r="AK329">
            <v>3861</v>
          </cell>
          <cell r="AL329">
            <v>38610</v>
          </cell>
          <cell r="AM329">
            <v>11461.5</v>
          </cell>
          <cell r="AN329">
            <v>0</v>
          </cell>
          <cell r="AO329">
            <v>23287.5</v>
          </cell>
          <cell r="AP329">
            <v>0</v>
          </cell>
        </row>
        <row r="330">
          <cell r="AE330">
            <v>3</v>
          </cell>
          <cell r="AF330" t="str">
            <v>Fournitures (Stylo, carnets, flip chart, maqueurs, papier collant) réunions au niveau de CODESA</v>
          </cell>
          <cell r="AG330">
            <v>0.9</v>
          </cell>
          <cell r="AH330">
            <v>0.1</v>
          </cell>
          <cell r="AI330">
            <v>5022</v>
          </cell>
          <cell r="AJ330">
            <v>0</v>
          </cell>
          <cell r="AK330">
            <v>558</v>
          </cell>
          <cell r="AL330">
            <v>5580</v>
          </cell>
          <cell r="AM330">
            <v>2511</v>
          </cell>
          <cell r="AN330">
            <v>0</v>
          </cell>
          <cell r="AO330">
            <v>2511</v>
          </cell>
          <cell r="AP330">
            <v>0</v>
          </cell>
        </row>
        <row r="331">
          <cell r="AE331" t="str">
            <v>4.2.7</v>
          </cell>
          <cell r="AF331" t="str">
            <v>Accompagner la réalisation des réunions mensuelles de monitorage pour suivre et évaluer chaque mois les indicateurs clés de la NAC à tous les niveaux des organes communautaires (CODESA, CAC)</v>
          </cell>
          <cell r="AG331">
            <v>0.9</v>
          </cell>
          <cell r="AH331">
            <v>0.1</v>
          </cell>
          <cell r="AI331">
            <v>158571</v>
          </cell>
          <cell r="AJ331">
            <v>0</v>
          </cell>
          <cell r="AK331">
            <v>17619</v>
          </cell>
          <cell r="AL331">
            <v>176190</v>
          </cell>
          <cell r="AM331">
            <v>78282</v>
          </cell>
          <cell r="AN331">
            <v>0</v>
          </cell>
          <cell r="AO331">
            <v>80289</v>
          </cell>
          <cell r="AP331">
            <v>0</v>
          </cell>
        </row>
        <row r="332">
          <cell r="AE332">
            <v>1</v>
          </cell>
          <cell r="AF332" t="str">
            <v>Appui aux groupe de soutien ANJE pour le depistage actif et autres activites communautaires dans les villages à travers les AGR</v>
          </cell>
          <cell r="AG332">
            <v>0.9</v>
          </cell>
          <cell r="AH332">
            <v>0.1</v>
          </cell>
          <cell r="AI332">
            <v>51750</v>
          </cell>
          <cell r="AJ332">
            <v>0</v>
          </cell>
          <cell r="AK332">
            <v>5750</v>
          </cell>
          <cell r="AL332">
            <v>57500</v>
          </cell>
          <cell r="AM332">
            <v>25470</v>
          </cell>
          <cell r="AN332">
            <v>0</v>
          </cell>
          <cell r="AO332">
            <v>26280</v>
          </cell>
          <cell r="AP332">
            <v>0</v>
          </cell>
        </row>
        <row r="333">
          <cell r="AE333">
            <v>2</v>
          </cell>
          <cell r="AF333" t="str">
            <v>Achat des fournitures pour les membres de GS ANJE (cahier de depistage, sac,  stylo…)</v>
          </cell>
          <cell r="AG333">
            <v>0.9</v>
          </cell>
          <cell r="AH333">
            <v>0.1</v>
          </cell>
          <cell r="AI333">
            <v>103500</v>
          </cell>
          <cell r="AJ333">
            <v>0</v>
          </cell>
          <cell r="AK333">
            <v>11500</v>
          </cell>
          <cell r="AL333">
            <v>115000</v>
          </cell>
          <cell r="AM333">
            <v>50940</v>
          </cell>
          <cell r="AN333">
            <v>0</v>
          </cell>
          <cell r="AO333">
            <v>52560</v>
          </cell>
          <cell r="AP333">
            <v>0</v>
          </cell>
        </row>
        <row r="334">
          <cell r="AE334">
            <v>3</v>
          </cell>
          <cell r="AF334" t="str">
            <v>Appui au transport des cas referencés qui sont au dela de 5 km du CS</v>
          </cell>
          <cell r="AG334">
            <v>0.9</v>
          </cell>
          <cell r="AH334">
            <v>0.1</v>
          </cell>
          <cell r="AI334">
            <v>3321</v>
          </cell>
          <cell r="AJ334">
            <v>0</v>
          </cell>
          <cell r="AK334">
            <v>369</v>
          </cell>
          <cell r="AL334">
            <v>3690</v>
          </cell>
          <cell r="AM334">
            <v>1872</v>
          </cell>
          <cell r="AN334">
            <v>0</v>
          </cell>
          <cell r="AO334">
            <v>1449</v>
          </cell>
          <cell r="AP334">
            <v>0</v>
          </cell>
        </row>
        <row r="335">
          <cell r="AE335" t="str">
            <v>4.3.1</v>
          </cell>
          <cell r="AF335" t="str">
            <v>Renforcer les capacités de 160 leaders communautaires et relais communautaires sur l'éducation à la paix et la mise en place de comités de paix/médiation pour le règlement pacifique des conflits locaux, le Genre et la prévention des VBG et AES</v>
          </cell>
          <cell r="AG335">
            <v>0.9</v>
          </cell>
          <cell r="AH335">
            <v>0.1</v>
          </cell>
          <cell r="AI335">
            <v>11340</v>
          </cell>
          <cell r="AJ335">
            <v>0</v>
          </cell>
          <cell r="AK335">
            <v>1260</v>
          </cell>
          <cell r="AL335">
            <v>12600</v>
          </cell>
          <cell r="AM335">
            <v>5670</v>
          </cell>
          <cell r="AN335">
            <v>0</v>
          </cell>
          <cell r="AO335">
            <v>5670</v>
          </cell>
          <cell r="AP335">
            <v>0</v>
          </cell>
        </row>
        <row r="336">
          <cell r="AF336" t="str">
            <v>Identifier les leaders et relais communautaires comme participants à la session de formation</v>
          </cell>
          <cell r="AJ336">
            <v>0</v>
          </cell>
          <cell r="AL336">
            <v>0</v>
          </cell>
          <cell r="AM336">
            <v>0</v>
          </cell>
          <cell r="AN336">
            <v>0</v>
          </cell>
          <cell r="AO336">
            <v>0</v>
          </cell>
          <cell r="AP336">
            <v>0</v>
          </cell>
        </row>
        <row r="337">
          <cell r="AE337">
            <v>1</v>
          </cell>
          <cell r="AF337" t="str">
            <v>Identifier les leaders et relais communautaires dans 20 communitées ciblees</v>
          </cell>
          <cell r="AI337">
            <v>0</v>
          </cell>
          <cell r="AJ337">
            <v>0</v>
          </cell>
          <cell r="AK337">
            <v>0</v>
          </cell>
          <cell r="AL337">
            <v>0</v>
          </cell>
          <cell r="AM337">
            <v>0</v>
          </cell>
          <cell r="AN337">
            <v>0</v>
          </cell>
          <cell r="AO337">
            <v>0</v>
          </cell>
          <cell r="AP337">
            <v>0</v>
          </cell>
        </row>
        <row r="338">
          <cell r="AF338" t="str">
            <v>Former les leaders et relais communautaires aux modules de consolidation de la paix et de médiation communautaire.</v>
          </cell>
          <cell r="AJ338">
            <v>0</v>
          </cell>
          <cell r="AL338">
            <v>0</v>
          </cell>
          <cell r="AM338">
            <v>0</v>
          </cell>
          <cell r="AN338">
            <v>0</v>
          </cell>
          <cell r="AO338">
            <v>0</v>
          </cell>
          <cell r="AP338">
            <v>0</v>
          </cell>
        </row>
        <row r="339">
          <cell r="AE339">
            <v>2</v>
          </cell>
          <cell r="AF339" t="str">
            <v>Lieu de formation</v>
          </cell>
          <cell r="AG339">
            <v>0.9</v>
          </cell>
          <cell r="AH339">
            <v>0.1</v>
          </cell>
          <cell r="AI339">
            <v>540</v>
          </cell>
          <cell r="AJ339">
            <v>0</v>
          </cell>
          <cell r="AK339">
            <v>60</v>
          </cell>
          <cell r="AL339">
            <v>600</v>
          </cell>
          <cell r="AM339">
            <v>270</v>
          </cell>
          <cell r="AN339">
            <v>0</v>
          </cell>
          <cell r="AO339">
            <v>270</v>
          </cell>
          <cell r="AP339">
            <v>0</v>
          </cell>
        </row>
        <row r="340">
          <cell r="AE340">
            <v>3</v>
          </cell>
          <cell r="AF340" t="str">
            <v>Repas</v>
          </cell>
          <cell r="AG340">
            <v>0.9</v>
          </cell>
          <cell r="AH340">
            <v>0.1</v>
          </cell>
          <cell r="AI340">
            <v>2160</v>
          </cell>
          <cell r="AJ340">
            <v>0</v>
          </cell>
          <cell r="AK340">
            <v>240</v>
          </cell>
          <cell r="AL340">
            <v>2400</v>
          </cell>
          <cell r="AM340">
            <v>1080</v>
          </cell>
          <cell r="AN340">
            <v>0</v>
          </cell>
          <cell r="AO340">
            <v>1080</v>
          </cell>
          <cell r="AP340">
            <v>0</v>
          </cell>
        </row>
        <row r="341">
          <cell r="AE341">
            <v>4</v>
          </cell>
          <cell r="AF341" t="str">
            <v>Fournitures de formation</v>
          </cell>
          <cell r="AG341">
            <v>0.9</v>
          </cell>
          <cell r="AH341">
            <v>0.1</v>
          </cell>
          <cell r="AI341">
            <v>360</v>
          </cell>
          <cell r="AJ341">
            <v>0</v>
          </cell>
          <cell r="AK341">
            <v>40</v>
          </cell>
          <cell r="AL341">
            <v>400</v>
          </cell>
          <cell r="AM341">
            <v>180</v>
          </cell>
          <cell r="AN341">
            <v>0</v>
          </cell>
          <cell r="AO341">
            <v>180</v>
          </cell>
          <cell r="AP341">
            <v>0</v>
          </cell>
        </row>
        <row r="342">
          <cell r="AE342">
            <v>5</v>
          </cell>
          <cell r="AF342" t="str">
            <v>Transport</v>
          </cell>
          <cell r="AG342">
            <v>0.9</v>
          </cell>
          <cell r="AH342">
            <v>0.1</v>
          </cell>
          <cell r="AI342">
            <v>2160</v>
          </cell>
          <cell r="AJ342">
            <v>0</v>
          </cell>
          <cell r="AK342">
            <v>240</v>
          </cell>
          <cell r="AL342">
            <v>2400</v>
          </cell>
          <cell r="AM342">
            <v>1080</v>
          </cell>
          <cell r="AN342">
            <v>0</v>
          </cell>
          <cell r="AO342">
            <v>1080</v>
          </cell>
          <cell r="AP342">
            <v>0</v>
          </cell>
        </row>
        <row r="343">
          <cell r="AE343">
            <v>6</v>
          </cell>
          <cell r="AF343" t="str">
            <v>Impression des modules de formation</v>
          </cell>
          <cell r="AG343">
            <v>0.9</v>
          </cell>
          <cell r="AH343">
            <v>0.1</v>
          </cell>
          <cell r="AI343">
            <v>720</v>
          </cell>
          <cell r="AJ343">
            <v>0</v>
          </cell>
          <cell r="AK343">
            <v>80</v>
          </cell>
          <cell r="AL343">
            <v>800</v>
          </cell>
          <cell r="AM343">
            <v>360</v>
          </cell>
          <cell r="AN343">
            <v>0</v>
          </cell>
          <cell r="AO343">
            <v>360</v>
          </cell>
          <cell r="AP343">
            <v>0</v>
          </cell>
        </row>
        <row r="344">
          <cell r="AF344" t="str">
            <v>Mettre en place des comités communautaires de gestion des conflits</v>
          </cell>
          <cell r="AJ344">
            <v>0</v>
          </cell>
          <cell r="AL344">
            <v>0</v>
          </cell>
          <cell r="AM344">
            <v>0</v>
          </cell>
          <cell r="AN344">
            <v>0</v>
          </cell>
          <cell r="AO344">
            <v>0</v>
          </cell>
          <cell r="AP344">
            <v>0</v>
          </cell>
        </row>
        <row r="345">
          <cell r="AE345">
            <v>7</v>
          </cell>
          <cell r="AF345" t="str">
            <v>Soutenir les comités dans l'analyse des conflits et les plans de consolidation de la paix pour leurs communautés.</v>
          </cell>
          <cell r="AG345">
            <v>0.9</v>
          </cell>
          <cell r="AH345">
            <v>0.1</v>
          </cell>
          <cell r="AI345">
            <v>1800</v>
          </cell>
          <cell r="AJ345">
            <v>0</v>
          </cell>
          <cell r="AK345">
            <v>200</v>
          </cell>
          <cell r="AL345">
            <v>2000</v>
          </cell>
          <cell r="AM345">
            <v>900</v>
          </cell>
          <cell r="AN345">
            <v>0</v>
          </cell>
          <cell r="AO345">
            <v>900</v>
          </cell>
          <cell r="AP345">
            <v>0</v>
          </cell>
        </row>
        <row r="346">
          <cell r="AE346">
            <v>8</v>
          </cell>
          <cell r="AF346" t="str">
            <v>Soutenir les comités dans leurs efforts de médiation au sein des communautés.</v>
          </cell>
          <cell r="AG346">
            <v>0.9</v>
          </cell>
          <cell r="AH346">
            <v>0.1</v>
          </cell>
          <cell r="AI346">
            <v>1800</v>
          </cell>
          <cell r="AJ346">
            <v>0</v>
          </cell>
          <cell r="AK346">
            <v>200</v>
          </cell>
          <cell r="AL346">
            <v>2000</v>
          </cell>
          <cell r="AM346">
            <v>900</v>
          </cell>
          <cell r="AN346">
            <v>0</v>
          </cell>
          <cell r="AO346">
            <v>900</v>
          </cell>
          <cell r="AP346">
            <v>0</v>
          </cell>
        </row>
        <row r="347">
          <cell r="AE347">
            <v>9</v>
          </cell>
          <cell r="AF347" t="str">
            <v>Soutenir les comités dans l'organisation de dialogues communautaires mensuels</v>
          </cell>
          <cell r="AG347">
            <v>0.9</v>
          </cell>
          <cell r="AH347">
            <v>0.1</v>
          </cell>
          <cell r="AI347">
            <v>1800</v>
          </cell>
          <cell r="AJ347">
            <v>0</v>
          </cell>
          <cell r="AK347">
            <v>200</v>
          </cell>
          <cell r="AL347">
            <v>2000</v>
          </cell>
          <cell r="AM347">
            <v>900</v>
          </cell>
          <cell r="AN347">
            <v>0</v>
          </cell>
          <cell r="AO347">
            <v>900</v>
          </cell>
          <cell r="AP347">
            <v>0</v>
          </cell>
        </row>
        <row r="348">
          <cell r="AE348" t="str">
            <v>4.4.1</v>
          </cell>
          <cell r="AF348" t="str">
            <v>Améliorer l'accès à l'eau potable dans les communautés (protection des sources d'eau potable, construction/réhabilitation des mini réseaux communautaires d'eau, réalisation des mini réseaux gravitaires d'eau potable), en prenant en compte les besoins spécifiques des femmes et des filles</v>
          </cell>
          <cell r="AG348">
            <v>1</v>
          </cell>
          <cell r="AH348">
            <v>0</v>
          </cell>
          <cell r="AI348">
            <v>499125.9</v>
          </cell>
          <cell r="AJ348">
            <v>0</v>
          </cell>
          <cell r="AK348">
            <v>0</v>
          </cell>
          <cell r="AL348">
            <v>499125.9</v>
          </cell>
          <cell r="AM348">
            <v>314927.18</v>
          </cell>
          <cell r="AN348">
            <v>0</v>
          </cell>
          <cell r="AO348">
            <v>184198.72</v>
          </cell>
          <cell r="AP348">
            <v>0</v>
          </cell>
        </row>
        <row r="349">
          <cell r="AE349">
            <v>1</v>
          </cell>
          <cell r="AF349" t="str">
            <v xml:space="preserve">Aménager les sources simples </v>
          </cell>
          <cell r="AG349">
            <v>1</v>
          </cell>
          <cell r="AH349">
            <v>0</v>
          </cell>
          <cell r="AI349">
            <v>33115.5</v>
          </cell>
          <cell r="AJ349">
            <v>0</v>
          </cell>
          <cell r="AK349">
            <v>0</v>
          </cell>
          <cell r="AL349">
            <v>33115.5</v>
          </cell>
          <cell r="AM349">
            <v>18397.5</v>
          </cell>
          <cell r="AN349">
            <v>0</v>
          </cell>
          <cell r="AO349">
            <v>14718</v>
          </cell>
          <cell r="AP349">
            <v>0</v>
          </cell>
        </row>
        <row r="350">
          <cell r="AE350">
            <v>2</v>
          </cell>
          <cell r="AF350" t="str">
            <v xml:space="preserve">Réhabiliter les sources simples </v>
          </cell>
          <cell r="AG350">
            <v>1</v>
          </cell>
          <cell r="AH350">
            <v>0</v>
          </cell>
          <cell r="AI350">
            <v>10800</v>
          </cell>
          <cell r="AJ350">
            <v>0</v>
          </cell>
          <cell r="AK350">
            <v>0</v>
          </cell>
          <cell r="AL350">
            <v>10800</v>
          </cell>
          <cell r="AM350">
            <v>6000</v>
          </cell>
          <cell r="AN350">
            <v>0</v>
          </cell>
          <cell r="AO350">
            <v>4800</v>
          </cell>
          <cell r="AP350">
            <v>0</v>
          </cell>
        </row>
        <row r="351">
          <cell r="AE351">
            <v>3</v>
          </cell>
          <cell r="AF351" t="str">
            <v xml:space="preserve">Raccordement sur les adductions de MDF et  REGIDESO </v>
          </cell>
          <cell r="AG351">
            <v>1</v>
          </cell>
          <cell r="AH351">
            <v>0</v>
          </cell>
          <cell r="AI351">
            <v>160005</v>
          </cell>
          <cell r="AJ351">
            <v>0</v>
          </cell>
          <cell r="AK351">
            <v>0</v>
          </cell>
          <cell r="AL351">
            <v>160005</v>
          </cell>
          <cell r="AM351">
            <v>96003</v>
          </cell>
          <cell r="AN351">
            <v>0</v>
          </cell>
          <cell r="AO351">
            <v>64002</v>
          </cell>
          <cell r="AP351">
            <v>0</v>
          </cell>
        </row>
        <row r="352">
          <cell r="AE352">
            <v>4</v>
          </cell>
          <cell r="AF352" t="str">
            <v>Contruire les portes des latrines au niveau des complexes agricoles</v>
          </cell>
          <cell r="AG352">
            <v>1</v>
          </cell>
          <cell r="AH352">
            <v>0</v>
          </cell>
          <cell r="AI352">
            <v>44370</v>
          </cell>
          <cell r="AJ352">
            <v>0</v>
          </cell>
          <cell r="AK352">
            <v>0</v>
          </cell>
          <cell r="AL352">
            <v>44370</v>
          </cell>
          <cell r="AM352">
            <v>23664</v>
          </cell>
          <cell r="AN352">
            <v>0</v>
          </cell>
          <cell r="AO352">
            <v>20706</v>
          </cell>
          <cell r="AP352">
            <v>0</v>
          </cell>
        </row>
        <row r="353">
          <cell r="AE353">
            <v>5</v>
          </cell>
          <cell r="AF353" t="str">
            <v>Contruire les portes des douches au niveau des complexes agricoles</v>
          </cell>
          <cell r="AG353">
            <v>1</v>
          </cell>
          <cell r="AH353">
            <v>0</v>
          </cell>
          <cell r="AI353">
            <v>32249.4</v>
          </cell>
          <cell r="AJ353">
            <v>0</v>
          </cell>
          <cell r="AK353">
            <v>0</v>
          </cell>
          <cell r="AL353">
            <v>32249.4</v>
          </cell>
          <cell r="AM353">
            <v>17199.68</v>
          </cell>
          <cell r="AN353">
            <v>0</v>
          </cell>
          <cell r="AO353">
            <v>15049.720000000001</v>
          </cell>
          <cell r="AP353">
            <v>0</v>
          </cell>
        </row>
        <row r="354">
          <cell r="AE354">
            <v>6</v>
          </cell>
          <cell r="AF354" t="str">
            <v>Contruire les portes des latrines au niveau des marchès</v>
          </cell>
          <cell r="AG354">
            <v>1</v>
          </cell>
          <cell r="AH354">
            <v>0</v>
          </cell>
          <cell r="AI354">
            <v>147900</v>
          </cell>
          <cell r="AJ354">
            <v>0</v>
          </cell>
          <cell r="AK354">
            <v>0</v>
          </cell>
          <cell r="AL354">
            <v>147900</v>
          </cell>
          <cell r="AM354">
            <v>110925</v>
          </cell>
          <cell r="AN354">
            <v>0</v>
          </cell>
          <cell r="AO354">
            <v>36975</v>
          </cell>
          <cell r="AP354">
            <v>0</v>
          </cell>
        </row>
        <row r="355">
          <cell r="AE355">
            <v>7</v>
          </cell>
          <cell r="AF355" t="str">
            <v>Contruire les portes des latrines au niveau des centres d'alphabétisation</v>
          </cell>
          <cell r="AG355">
            <v>1</v>
          </cell>
          <cell r="AH355">
            <v>0</v>
          </cell>
          <cell r="AI355">
            <v>50286</v>
          </cell>
          <cell r="AJ355">
            <v>0</v>
          </cell>
          <cell r="AK355">
            <v>0</v>
          </cell>
          <cell r="AL355">
            <v>50286</v>
          </cell>
          <cell r="AM355">
            <v>32538</v>
          </cell>
          <cell r="AN355">
            <v>0</v>
          </cell>
          <cell r="AO355">
            <v>17748</v>
          </cell>
          <cell r="AP355">
            <v>0</v>
          </cell>
        </row>
        <row r="356">
          <cell r="AE356">
            <v>8</v>
          </cell>
          <cell r="AF356" t="str">
            <v xml:space="preserve">Location camion de transport et matériaux </v>
          </cell>
          <cell r="AG356">
            <v>1</v>
          </cell>
          <cell r="AH356">
            <v>0</v>
          </cell>
          <cell r="AI356">
            <v>15000</v>
          </cell>
          <cell r="AJ356">
            <v>0</v>
          </cell>
          <cell r="AK356">
            <v>0</v>
          </cell>
          <cell r="AL356">
            <v>15000</v>
          </cell>
          <cell r="AM356">
            <v>7500</v>
          </cell>
          <cell r="AN356">
            <v>0</v>
          </cell>
          <cell r="AO356">
            <v>7500</v>
          </cell>
          <cell r="AP356">
            <v>0</v>
          </cell>
        </row>
        <row r="357">
          <cell r="AE357">
            <v>9</v>
          </cell>
          <cell r="AF357" t="str">
            <v>Manutention  chargement et déchargement</v>
          </cell>
          <cell r="AG357">
            <v>1</v>
          </cell>
          <cell r="AH357">
            <v>0</v>
          </cell>
          <cell r="AI357">
            <v>5400</v>
          </cell>
          <cell r="AJ357">
            <v>0</v>
          </cell>
          <cell r="AK357">
            <v>0</v>
          </cell>
          <cell r="AL357">
            <v>5400</v>
          </cell>
          <cell r="AM357">
            <v>2700</v>
          </cell>
          <cell r="AN357">
            <v>0</v>
          </cell>
          <cell r="AO357">
            <v>2700</v>
          </cell>
          <cell r="AP357">
            <v>0</v>
          </cell>
        </row>
        <row r="358">
          <cell r="AE358" t="str">
            <v>4.4.2</v>
          </cell>
          <cell r="AF358" t="str">
            <v>Accompagner les ménages dans les activités d'assainissement familial en particulier la construction des latrines familiales, la gestion des déchets ménagers, en prenant en compte les besoins spécifiques des femmes et des filles</v>
          </cell>
          <cell r="AG358">
            <v>1</v>
          </cell>
          <cell r="AH358">
            <v>0</v>
          </cell>
          <cell r="AI358">
            <v>9720</v>
          </cell>
          <cell r="AJ358">
            <v>0</v>
          </cell>
          <cell r="AK358">
            <v>0</v>
          </cell>
          <cell r="AL358">
            <v>9720</v>
          </cell>
          <cell r="AM358">
            <v>4860</v>
          </cell>
          <cell r="AN358">
            <v>0</v>
          </cell>
          <cell r="AO358">
            <v>4860</v>
          </cell>
          <cell r="AP358">
            <v>0</v>
          </cell>
        </row>
        <row r="359">
          <cell r="AE359">
            <v>1</v>
          </cell>
          <cell r="AF359" t="str">
            <v>Appui aux communautés pour l'octroi des kits de cresement des latrines familliales</v>
          </cell>
          <cell r="AG359">
            <v>1</v>
          </cell>
          <cell r="AH359">
            <v>0</v>
          </cell>
          <cell r="AI359">
            <v>9720</v>
          </cell>
          <cell r="AJ359">
            <v>0</v>
          </cell>
          <cell r="AK359">
            <v>0</v>
          </cell>
          <cell r="AL359">
            <v>9720</v>
          </cell>
          <cell r="AM359">
            <v>4860</v>
          </cell>
          <cell r="AN359">
            <v>0</v>
          </cell>
          <cell r="AO359">
            <v>4860</v>
          </cell>
          <cell r="AP359">
            <v>0</v>
          </cell>
        </row>
        <row r="360">
          <cell r="AE360" t="str">
            <v>4.4.3</v>
          </cell>
          <cell r="AF360" t="str">
            <v>Accompagner les ménages dans les activités de maintenance et durabilité du statut assaini de l'hygiene (lavage des mains, hygiène familiale, puisage, transport et utilisations d'eau potable…)</v>
          </cell>
          <cell r="AG360">
            <v>1</v>
          </cell>
          <cell r="AH360">
            <v>0</v>
          </cell>
          <cell r="AI360">
            <v>17100</v>
          </cell>
          <cell r="AJ360">
            <v>0</v>
          </cell>
          <cell r="AK360">
            <v>0</v>
          </cell>
          <cell r="AL360">
            <v>17100</v>
          </cell>
          <cell r="AM360">
            <v>8550</v>
          </cell>
          <cell r="AN360">
            <v>0</v>
          </cell>
          <cell r="AO360">
            <v>8550</v>
          </cell>
          <cell r="AP360">
            <v>0</v>
          </cell>
        </row>
        <row r="361">
          <cell r="AE361">
            <v>1</v>
          </cell>
          <cell r="AF361" t="str">
            <v>Megaphones+ piles</v>
          </cell>
          <cell r="AG361">
            <v>1</v>
          </cell>
          <cell r="AH361">
            <v>0</v>
          </cell>
          <cell r="AI361">
            <v>2100</v>
          </cell>
          <cell r="AJ361">
            <v>0</v>
          </cell>
          <cell r="AK361">
            <v>0</v>
          </cell>
          <cell r="AL361">
            <v>2100</v>
          </cell>
          <cell r="AM361">
            <v>1050</v>
          </cell>
          <cell r="AN361">
            <v>0</v>
          </cell>
          <cell r="AO361">
            <v>1050</v>
          </cell>
          <cell r="AP361">
            <v>0</v>
          </cell>
        </row>
        <row r="362">
          <cell r="AE362">
            <v>2</v>
          </cell>
          <cell r="AF362" t="str">
            <v>Banderole avec message clé sur l'EHA et COVID 19</v>
          </cell>
          <cell r="AG362">
            <v>1</v>
          </cell>
          <cell r="AH362">
            <v>0</v>
          </cell>
          <cell r="AI362">
            <v>15000</v>
          </cell>
          <cell r="AJ362">
            <v>0</v>
          </cell>
          <cell r="AK362">
            <v>0</v>
          </cell>
          <cell r="AL362">
            <v>15000</v>
          </cell>
          <cell r="AM362">
            <v>7500</v>
          </cell>
          <cell r="AN362">
            <v>0</v>
          </cell>
          <cell r="AO362">
            <v>7500</v>
          </cell>
          <cell r="AP362">
            <v>0</v>
          </cell>
        </row>
        <row r="363">
          <cell r="AE363" t="str">
            <v>4.4.4</v>
          </cell>
          <cell r="AF363" t="str">
            <v xml:space="preserve">Organiser des focus groupes avec des représentantes des femmes et filles des communautés bénéficiaires pour bien prendre en compte leurs perspectives et leurs éventuels besoins spécifiques dans la mise en œuvre des services WASH  </v>
          </cell>
          <cell r="AG363">
            <v>1</v>
          </cell>
          <cell r="AH363">
            <v>0</v>
          </cell>
          <cell r="AI363">
            <v>11578</v>
          </cell>
          <cell r="AJ363">
            <v>0</v>
          </cell>
          <cell r="AK363">
            <v>0</v>
          </cell>
          <cell r="AL363">
            <v>11578</v>
          </cell>
          <cell r="AM363">
            <v>5056</v>
          </cell>
          <cell r="AN363">
            <v>0</v>
          </cell>
          <cell r="AO363">
            <v>6522</v>
          </cell>
          <cell r="AP363">
            <v>0</v>
          </cell>
        </row>
        <row r="364">
          <cell r="AE364">
            <v>2</v>
          </cell>
          <cell r="AF364" t="str">
            <v>Pause café</v>
          </cell>
          <cell r="AG364">
            <v>1</v>
          </cell>
          <cell r="AH364">
            <v>0</v>
          </cell>
          <cell r="AI364">
            <v>5278</v>
          </cell>
          <cell r="AJ364">
            <v>0</v>
          </cell>
          <cell r="AK364">
            <v>0</v>
          </cell>
          <cell r="AL364">
            <v>5278</v>
          </cell>
          <cell r="AM364">
            <v>1456</v>
          </cell>
          <cell r="AN364">
            <v>0</v>
          </cell>
          <cell r="AO364">
            <v>3822</v>
          </cell>
          <cell r="AP364">
            <v>0</v>
          </cell>
        </row>
        <row r="365">
          <cell r="AE365">
            <v>3</v>
          </cell>
          <cell r="AF365" t="str">
            <v>Transport des participants</v>
          </cell>
          <cell r="AG365">
            <v>1</v>
          </cell>
          <cell r="AH365">
            <v>0</v>
          </cell>
          <cell r="AI365">
            <v>6300</v>
          </cell>
          <cell r="AJ365">
            <v>0</v>
          </cell>
          <cell r="AK365">
            <v>0</v>
          </cell>
          <cell r="AL365">
            <v>6300</v>
          </cell>
          <cell r="AM365">
            <v>3600</v>
          </cell>
          <cell r="AN365">
            <v>0</v>
          </cell>
          <cell r="AO365">
            <v>2700</v>
          </cell>
          <cell r="AP365">
            <v>0</v>
          </cell>
        </row>
        <row r="366">
          <cell r="AE366" t="str">
            <v>4.4.5</v>
          </cell>
          <cell r="AF366" t="str">
            <v>Constituer de façon paritaire et former les membres des comités du village sur la gestion de l'environnement assaini de facon globale dans le vilage (Gestion et maintenance des ponts d'eau, suvi de l'assainissement familiale, et  le programme de l'hygiene communautaires et personelle)</v>
          </cell>
          <cell r="AG366">
            <v>1</v>
          </cell>
          <cell r="AH366">
            <v>0</v>
          </cell>
          <cell r="AI366">
            <v>73706</v>
          </cell>
          <cell r="AJ366">
            <v>0</v>
          </cell>
          <cell r="AK366">
            <v>0</v>
          </cell>
          <cell r="AL366">
            <v>73706</v>
          </cell>
          <cell r="AM366">
            <v>37853</v>
          </cell>
          <cell r="AN366">
            <v>0</v>
          </cell>
          <cell r="AO366">
            <v>35853</v>
          </cell>
          <cell r="AP366">
            <v>0</v>
          </cell>
        </row>
        <row r="367">
          <cell r="AE367">
            <v>1</v>
          </cell>
          <cell r="AF367" t="str">
            <v>Fourniture de  formation</v>
          </cell>
          <cell r="AG367">
            <v>1</v>
          </cell>
          <cell r="AH367">
            <v>0</v>
          </cell>
          <cell r="AI367">
            <v>1050</v>
          </cell>
          <cell r="AJ367">
            <v>0</v>
          </cell>
          <cell r="AK367">
            <v>0</v>
          </cell>
          <cell r="AL367">
            <v>1050</v>
          </cell>
          <cell r="AM367">
            <v>525</v>
          </cell>
          <cell r="AN367">
            <v>0</v>
          </cell>
          <cell r="AO367">
            <v>525</v>
          </cell>
          <cell r="AP367">
            <v>0</v>
          </cell>
        </row>
        <row r="368">
          <cell r="AE368">
            <v>2</v>
          </cell>
          <cell r="AF368" t="str">
            <v>Resstauration+pause café</v>
          </cell>
          <cell r="AG368">
            <v>1</v>
          </cell>
          <cell r="AH368">
            <v>0</v>
          </cell>
          <cell r="AI368">
            <v>18816</v>
          </cell>
          <cell r="AJ368">
            <v>0</v>
          </cell>
          <cell r="AK368">
            <v>0</v>
          </cell>
          <cell r="AL368">
            <v>18816</v>
          </cell>
          <cell r="AM368">
            <v>9408</v>
          </cell>
          <cell r="AN368">
            <v>0</v>
          </cell>
          <cell r="AO368">
            <v>9408</v>
          </cell>
          <cell r="AP368">
            <v>0</v>
          </cell>
        </row>
        <row r="369">
          <cell r="AE369">
            <v>3</v>
          </cell>
          <cell r="AF369" t="str">
            <v>Location salle</v>
          </cell>
          <cell r="AG369">
            <v>1</v>
          </cell>
          <cell r="AH369">
            <v>0</v>
          </cell>
          <cell r="AI369">
            <v>3000</v>
          </cell>
          <cell r="AJ369">
            <v>0</v>
          </cell>
          <cell r="AK369">
            <v>0</v>
          </cell>
          <cell r="AL369">
            <v>3000</v>
          </cell>
          <cell r="AM369">
            <v>1500</v>
          </cell>
          <cell r="AN369">
            <v>0</v>
          </cell>
          <cell r="AO369">
            <v>1500</v>
          </cell>
          <cell r="AP369">
            <v>0</v>
          </cell>
        </row>
        <row r="370">
          <cell r="AE370">
            <v>4</v>
          </cell>
          <cell r="AF370" t="str">
            <v>Transport des participants</v>
          </cell>
          <cell r="AG370">
            <v>1</v>
          </cell>
          <cell r="AH370">
            <v>0</v>
          </cell>
          <cell r="AI370">
            <v>12840</v>
          </cell>
          <cell r="AJ370">
            <v>0</v>
          </cell>
          <cell r="AK370">
            <v>0</v>
          </cell>
          <cell r="AL370">
            <v>12840</v>
          </cell>
          <cell r="AM370">
            <v>6420</v>
          </cell>
          <cell r="AN370">
            <v>0</v>
          </cell>
          <cell r="AO370">
            <v>6420</v>
          </cell>
          <cell r="AP370">
            <v>0</v>
          </cell>
        </row>
        <row r="371">
          <cell r="AE371">
            <v>5</v>
          </cell>
          <cell r="AF371" t="str">
            <v>Mission de supervision pour les 3 personnes Caritas (1 chef de projet, 2 superviseurs techniques;</v>
          </cell>
          <cell r="AG371">
            <v>1</v>
          </cell>
          <cell r="AH371">
            <v>0</v>
          </cell>
          <cell r="AI371">
            <v>38000</v>
          </cell>
          <cell r="AJ371">
            <v>0</v>
          </cell>
          <cell r="AK371">
            <v>0</v>
          </cell>
          <cell r="AL371">
            <v>38000</v>
          </cell>
          <cell r="AM371">
            <v>20000</v>
          </cell>
          <cell r="AN371">
            <v>0</v>
          </cell>
          <cell r="AO371">
            <v>18000</v>
          </cell>
          <cell r="AP371">
            <v>0</v>
          </cell>
        </row>
        <row r="372">
          <cell r="AE372" t="str">
            <v>4.4.6</v>
          </cell>
          <cell r="AF372" t="str">
            <v>Organiser dans les ZS les journees evementielles dans le secteur d'EHA avec les Villages des zones de sante rurales de RWANGUBA et Nyiragongo</v>
          </cell>
          <cell r="AG372">
            <v>1</v>
          </cell>
          <cell r="AH372">
            <v>0</v>
          </cell>
          <cell r="AI372">
            <v>3200</v>
          </cell>
          <cell r="AJ372">
            <v>0</v>
          </cell>
          <cell r="AK372">
            <v>0</v>
          </cell>
          <cell r="AL372">
            <v>3200</v>
          </cell>
          <cell r="AM372">
            <v>1000</v>
          </cell>
          <cell r="AN372">
            <v>0</v>
          </cell>
          <cell r="AO372">
            <v>2200</v>
          </cell>
          <cell r="AP372">
            <v>0</v>
          </cell>
        </row>
        <row r="373">
          <cell r="AF373" t="str">
            <v>Célébration de la Journée mondiale de l'eau dans la zone de sante de Rwanguba et Nyiragongo:  JME: 22 Mars 2023</v>
          </cell>
          <cell r="AJ373">
            <v>0</v>
          </cell>
          <cell r="AL373">
            <v>0</v>
          </cell>
          <cell r="AM373">
            <v>0</v>
          </cell>
          <cell r="AN373">
            <v>0</v>
          </cell>
          <cell r="AO373">
            <v>0</v>
          </cell>
          <cell r="AP373">
            <v>0</v>
          </cell>
        </row>
        <row r="374">
          <cell r="AE374">
            <v>1</v>
          </cell>
          <cell r="AF374" t="str">
            <v>Reproduction des banderolles VA/CSA</v>
          </cell>
          <cell r="AG374">
            <v>1</v>
          </cell>
          <cell r="AH374">
            <v>0</v>
          </cell>
          <cell r="AI374">
            <v>400</v>
          </cell>
          <cell r="AJ374">
            <v>0</v>
          </cell>
          <cell r="AK374">
            <v>0</v>
          </cell>
          <cell r="AL374">
            <v>400</v>
          </cell>
          <cell r="AM374">
            <v>0</v>
          </cell>
          <cell r="AN374">
            <v>0</v>
          </cell>
          <cell r="AO374">
            <v>400</v>
          </cell>
          <cell r="AP374">
            <v>0</v>
          </cell>
        </row>
        <row r="375">
          <cell r="AE375">
            <v>2</v>
          </cell>
          <cell r="AF375" t="str">
            <v>Location équipement de sonorisation</v>
          </cell>
          <cell r="AG375">
            <v>1</v>
          </cell>
          <cell r="AH375">
            <v>0</v>
          </cell>
          <cell r="AI375">
            <v>150</v>
          </cell>
          <cell r="AJ375">
            <v>0</v>
          </cell>
          <cell r="AK375">
            <v>0</v>
          </cell>
          <cell r="AL375">
            <v>150</v>
          </cell>
          <cell r="AM375">
            <v>0</v>
          </cell>
          <cell r="AN375">
            <v>0</v>
          </cell>
          <cell r="AO375">
            <v>150</v>
          </cell>
          <cell r="AP375">
            <v>0</v>
          </cell>
        </row>
        <row r="376">
          <cell r="AE376">
            <v>3</v>
          </cell>
          <cell r="AF376" t="str">
            <v>Organisation des jeux concours avec remise des prix aux CS sur la connaissance des notions basiques de la PCI par les prestataires des soins.</v>
          </cell>
          <cell r="AG376">
            <v>1</v>
          </cell>
          <cell r="AH376">
            <v>0</v>
          </cell>
          <cell r="AI376">
            <v>650</v>
          </cell>
          <cell r="AJ376">
            <v>0</v>
          </cell>
          <cell r="AK376">
            <v>0</v>
          </cell>
          <cell r="AL376">
            <v>650</v>
          </cell>
          <cell r="AM376">
            <v>0</v>
          </cell>
          <cell r="AN376">
            <v>0</v>
          </cell>
          <cell r="AO376">
            <v>650</v>
          </cell>
          <cell r="AP376">
            <v>0</v>
          </cell>
        </row>
        <row r="377">
          <cell r="AE377">
            <v>4</v>
          </cell>
          <cell r="AF377" t="str">
            <v>Organisation des jeux concours avec remise des prix aux villages sur la connaissance des notions basiques de la conservation et l'utilisation de l'eau propre dans les village.</v>
          </cell>
          <cell r="AI377">
            <v>0</v>
          </cell>
          <cell r="AJ377">
            <v>0</v>
          </cell>
          <cell r="AK377">
            <v>0</v>
          </cell>
          <cell r="AL377">
            <v>0</v>
          </cell>
          <cell r="AM377">
            <v>0</v>
          </cell>
          <cell r="AN377">
            <v>0</v>
          </cell>
          <cell r="AO377">
            <v>0</v>
          </cell>
          <cell r="AP377">
            <v>0</v>
          </cell>
        </row>
        <row r="378">
          <cell r="AF378" t="str">
            <v xml:space="preserve">Célébration de la Journée mondiale des toilettes: 19 nov 2022 et 19 nov 2023 dans la ZS Nyiragongo et Rwanguba/ Aire de sante </v>
          </cell>
          <cell r="AJ378">
            <v>0</v>
          </cell>
          <cell r="AL378">
            <v>0</v>
          </cell>
          <cell r="AM378">
            <v>0</v>
          </cell>
          <cell r="AN378">
            <v>0</v>
          </cell>
          <cell r="AO378">
            <v>0</v>
          </cell>
          <cell r="AP378">
            <v>0</v>
          </cell>
        </row>
        <row r="379">
          <cell r="AE379">
            <v>5</v>
          </cell>
          <cell r="AF379" t="str">
            <v>Reproduction des banderolles VA/CSA</v>
          </cell>
          <cell r="AG379">
            <v>1</v>
          </cell>
          <cell r="AH379">
            <v>0</v>
          </cell>
          <cell r="AI379">
            <v>400</v>
          </cell>
          <cell r="AJ379">
            <v>0</v>
          </cell>
          <cell r="AK379">
            <v>0</v>
          </cell>
          <cell r="AL379">
            <v>400</v>
          </cell>
          <cell r="AM379">
            <v>200</v>
          </cell>
          <cell r="AN379">
            <v>0</v>
          </cell>
          <cell r="AO379">
            <v>200</v>
          </cell>
          <cell r="AP379">
            <v>0</v>
          </cell>
        </row>
        <row r="380">
          <cell r="AE380">
            <v>6</v>
          </cell>
          <cell r="AF380" t="str">
            <v>Location équipement de sonorisation</v>
          </cell>
          <cell r="AG380">
            <v>1</v>
          </cell>
          <cell r="AH380">
            <v>0</v>
          </cell>
          <cell r="AI380">
            <v>300</v>
          </cell>
          <cell r="AJ380">
            <v>0</v>
          </cell>
          <cell r="AK380">
            <v>0</v>
          </cell>
          <cell r="AL380">
            <v>300</v>
          </cell>
          <cell r="AM380">
            <v>150</v>
          </cell>
          <cell r="AN380">
            <v>0</v>
          </cell>
          <cell r="AO380">
            <v>150</v>
          </cell>
          <cell r="AP380">
            <v>0</v>
          </cell>
        </row>
        <row r="381">
          <cell r="AE381">
            <v>7</v>
          </cell>
          <cell r="AF381" t="str">
            <v>Organisation des jeux concours avec remise des prix aux CS sur la connaissance des notions basiques de la PCI par les prestataires des soins.</v>
          </cell>
          <cell r="AG381">
            <v>1</v>
          </cell>
          <cell r="AH381">
            <v>0</v>
          </cell>
          <cell r="AI381">
            <v>1300</v>
          </cell>
          <cell r="AJ381">
            <v>0</v>
          </cell>
          <cell r="AK381">
            <v>0</v>
          </cell>
          <cell r="AL381">
            <v>1300</v>
          </cell>
          <cell r="AM381">
            <v>650</v>
          </cell>
          <cell r="AN381">
            <v>0</v>
          </cell>
          <cell r="AO381">
            <v>650</v>
          </cell>
          <cell r="AP381">
            <v>0</v>
          </cell>
        </row>
        <row r="382">
          <cell r="AE382">
            <v>8</v>
          </cell>
          <cell r="AF382" t="str">
            <v>Location équipement de sonorisation</v>
          </cell>
          <cell r="AI382">
            <v>0</v>
          </cell>
          <cell r="AJ382">
            <v>0</v>
          </cell>
          <cell r="AK382">
            <v>0</v>
          </cell>
          <cell r="AL382">
            <v>0</v>
          </cell>
          <cell r="AM382">
            <v>0</v>
          </cell>
          <cell r="AN382">
            <v>0</v>
          </cell>
          <cell r="AO382">
            <v>0</v>
          </cell>
          <cell r="AP382">
            <v>0</v>
          </cell>
        </row>
        <row r="383">
          <cell r="AE383">
            <v>9</v>
          </cell>
          <cell r="AF383" t="str">
            <v>Organisation des jeux concours avec remise des prix aux villages sur la connaissance des notions basiques critiques de lavage des mains dans les villages.</v>
          </cell>
          <cell r="AI383">
            <v>0</v>
          </cell>
          <cell r="AJ383">
            <v>0</v>
          </cell>
          <cell r="AK383">
            <v>0</v>
          </cell>
          <cell r="AL383">
            <v>0</v>
          </cell>
          <cell r="AM383">
            <v>0</v>
          </cell>
          <cell r="AN383">
            <v>0</v>
          </cell>
          <cell r="AO383">
            <v>0</v>
          </cell>
          <cell r="AP383">
            <v>0</v>
          </cell>
        </row>
        <row r="384">
          <cell r="AE384" t="str">
            <v>4.4.7</v>
          </cell>
          <cell r="AF384" t="str">
            <v>Enrichir les plans d'actions communautaires des CAC dans les villages ciblés par WASH avec les membres des comités d'eau et organiser les activités de sensibilisation de masse et inter personnelle sur les voies de transmission des maladies diarrhéiques et les moyens de prévention (sensibilisation de masse et inter personnelle)</v>
          </cell>
          <cell r="AG384">
            <v>1</v>
          </cell>
          <cell r="AH384">
            <v>0</v>
          </cell>
          <cell r="AI384">
            <v>106528</v>
          </cell>
          <cell r="AJ384">
            <v>0</v>
          </cell>
          <cell r="AK384">
            <v>0</v>
          </cell>
          <cell r="AL384">
            <v>106528</v>
          </cell>
          <cell r="AM384">
            <v>53264</v>
          </cell>
          <cell r="AN384">
            <v>0</v>
          </cell>
          <cell r="AO384">
            <v>53264</v>
          </cell>
          <cell r="AP384">
            <v>0</v>
          </cell>
        </row>
        <row r="385">
          <cell r="AE385">
            <v>1</v>
          </cell>
          <cell r="AF385" t="str">
            <v>Fourniture de  formation lors de l'enrichissement des activités de communication des PAC des CAC des villages ciblées par WASH</v>
          </cell>
          <cell r="AG385">
            <v>1</v>
          </cell>
          <cell r="AH385">
            <v>0</v>
          </cell>
          <cell r="AI385">
            <v>2400</v>
          </cell>
          <cell r="AJ385">
            <v>0</v>
          </cell>
          <cell r="AK385">
            <v>0</v>
          </cell>
          <cell r="AL385">
            <v>2400</v>
          </cell>
          <cell r="AM385">
            <v>1200</v>
          </cell>
          <cell r="AN385">
            <v>0</v>
          </cell>
          <cell r="AO385">
            <v>1200</v>
          </cell>
          <cell r="AP385">
            <v>0</v>
          </cell>
        </row>
        <row r="386">
          <cell r="AE386">
            <v>2</v>
          </cell>
          <cell r="AF386" t="str">
            <v>Resstauration+pause café lors de l'enrichisement des activités de communication des PAC des CAC des villages ciblées par WASH</v>
          </cell>
          <cell r="AG386">
            <v>1</v>
          </cell>
          <cell r="AH386">
            <v>0</v>
          </cell>
          <cell r="AI386">
            <v>6888</v>
          </cell>
          <cell r="AJ386">
            <v>0</v>
          </cell>
          <cell r="AK386">
            <v>0</v>
          </cell>
          <cell r="AL386">
            <v>6888</v>
          </cell>
          <cell r="AM386">
            <v>3444</v>
          </cell>
          <cell r="AN386">
            <v>0</v>
          </cell>
          <cell r="AO386">
            <v>3444</v>
          </cell>
          <cell r="AP386">
            <v>0</v>
          </cell>
        </row>
        <row r="387">
          <cell r="AE387">
            <v>3</v>
          </cell>
          <cell r="AF387" t="str">
            <v>Location salle lors de l'enrichisement des activités de communication des PAC des CAC des villages ciblées par WASH</v>
          </cell>
          <cell r="AG387">
            <v>1</v>
          </cell>
          <cell r="AH387">
            <v>0</v>
          </cell>
          <cell r="AI387">
            <v>2400</v>
          </cell>
          <cell r="AJ387">
            <v>0</v>
          </cell>
          <cell r="AK387">
            <v>0</v>
          </cell>
          <cell r="AL387">
            <v>2400</v>
          </cell>
          <cell r="AM387">
            <v>1200</v>
          </cell>
          <cell r="AN387">
            <v>0</v>
          </cell>
          <cell r="AO387">
            <v>1200</v>
          </cell>
          <cell r="AP387">
            <v>0</v>
          </cell>
        </row>
        <row r="388">
          <cell r="AE388">
            <v>4</v>
          </cell>
          <cell r="AF388" t="str">
            <v>Transport des participants lors de l'enrichisement des activités de communication des PAC des CAC des villages ciblées par WASH</v>
          </cell>
          <cell r="AG388">
            <v>1</v>
          </cell>
          <cell r="AH388">
            <v>0</v>
          </cell>
          <cell r="AI388">
            <v>4840</v>
          </cell>
          <cell r="AJ388">
            <v>0</v>
          </cell>
          <cell r="AK388">
            <v>0</v>
          </cell>
          <cell r="AL388">
            <v>4840</v>
          </cell>
          <cell r="AM388">
            <v>2420</v>
          </cell>
          <cell r="AN388">
            <v>0</v>
          </cell>
          <cell r="AO388">
            <v>2420</v>
          </cell>
          <cell r="AP388">
            <v>0</v>
          </cell>
        </row>
        <row r="389">
          <cell r="AE389">
            <v>5</v>
          </cell>
          <cell r="AF389" t="str">
            <v>Banderole avec message clé sur l'EHA et COVID 19</v>
          </cell>
          <cell r="AG389">
            <v>1</v>
          </cell>
          <cell r="AH389">
            <v>0</v>
          </cell>
          <cell r="AI389">
            <v>30000</v>
          </cell>
          <cell r="AJ389">
            <v>0</v>
          </cell>
          <cell r="AK389">
            <v>0</v>
          </cell>
          <cell r="AL389">
            <v>30000</v>
          </cell>
          <cell r="AM389">
            <v>15000</v>
          </cell>
          <cell r="AN389">
            <v>0</v>
          </cell>
          <cell r="AO389">
            <v>15000</v>
          </cell>
          <cell r="AP389">
            <v>0</v>
          </cell>
        </row>
        <row r="390">
          <cell r="AE390">
            <v>6</v>
          </cell>
          <cell r="AF390" t="str">
            <v>Affiche  portant des messages clé sur l'EHA à mettre dans les écoles,église,FOSA,entrepot ,marchés,…</v>
          </cell>
          <cell r="AG390">
            <v>1</v>
          </cell>
          <cell r="AH390">
            <v>0</v>
          </cell>
          <cell r="AI390">
            <v>60000</v>
          </cell>
          <cell r="AJ390">
            <v>0</v>
          </cell>
          <cell r="AK390">
            <v>0</v>
          </cell>
          <cell r="AL390">
            <v>60000</v>
          </cell>
          <cell r="AM390">
            <v>30000</v>
          </cell>
          <cell r="AN390">
            <v>0</v>
          </cell>
          <cell r="AO390">
            <v>30000</v>
          </cell>
          <cell r="AP390">
            <v>0</v>
          </cell>
        </row>
        <row r="391">
          <cell r="AE391">
            <v>7</v>
          </cell>
          <cell r="AF391" t="str">
            <v>Megaphone+ piles</v>
          </cell>
          <cell r="AI391">
            <v>0</v>
          </cell>
          <cell r="AJ391">
            <v>0</v>
          </cell>
          <cell r="AK391">
            <v>0</v>
          </cell>
          <cell r="AL391">
            <v>0</v>
          </cell>
          <cell r="AM391">
            <v>0</v>
          </cell>
          <cell r="AN391">
            <v>0</v>
          </cell>
          <cell r="AO391">
            <v>0</v>
          </cell>
          <cell r="AP391">
            <v>0</v>
          </cell>
        </row>
        <row r="392">
          <cell r="AE392" t="str">
            <v>4.5.1</v>
          </cell>
          <cell r="AF392" t="str">
            <v>Former les Journalistes Points Focaux (JPF) et Appuyer les Radios communautaires pour la production et diffusion des formats radiophoniques sur les PFE et la communication en appui à la gestion des urgences au niveau communautaire dans les secteurs WASH, EDUCATION et NUTRITION.</v>
          </cell>
          <cell r="AG392">
            <v>1</v>
          </cell>
          <cell r="AH392">
            <v>0</v>
          </cell>
          <cell r="AI392">
            <v>84434</v>
          </cell>
          <cell r="AJ392">
            <v>0</v>
          </cell>
          <cell r="AK392">
            <v>0</v>
          </cell>
          <cell r="AL392">
            <v>84434</v>
          </cell>
          <cell r="AM392">
            <v>42217</v>
          </cell>
          <cell r="AN392">
            <v>0</v>
          </cell>
          <cell r="AO392">
            <v>42217</v>
          </cell>
          <cell r="AP392">
            <v>0</v>
          </cell>
        </row>
        <row r="393">
          <cell r="AE393">
            <v>1</v>
          </cell>
          <cell r="AF393" t="str">
            <v xml:space="preserve">Pause café </v>
          </cell>
          <cell r="AG393">
            <v>1</v>
          </cell>
          <cell r="AH393">
            <v>0</v>
          </cell>
          <cell r="AI393">
            <v>342</v>
          </cell>
          <cell r="AJ393">
            <v>0</v>
          </cell>
          <cell r="AK393">
            <v>0</v>
          </cell>
          <cell r="AL393">
            <v>342</v>
          </cell>
          <cell r="AM393">
            <v>171</v>
          </cell>
          <cell r="AN393">
            <v>0</v>
          </cell>
          <cell r="AO393">
            <v>171</v>
          </cell>
          <cell r="AP393">
            <v>0</v>
          </cell>
        </row>
        <row r="394">
          <cell r="AE394">
            <v>2</v>
          </cell>
          <cell r="AF394" t="str">
            <v xml:space="preserve">Pause repas </v>
          </cell>
          <cell r="AG394">
            <v>1</v>
          </cell>
          <cell r="AH394">
            <v>0</v>
          </cell>
          <cell r="AI394">
            <v>912</v>
          </cell>
          <cell r="AJ394">
            <v>0</v>
          </cell>
          <cell r="AK394">
            <v>0</v>
          </cell>
          <cell r="AL394">
            <v>912</v>
          </cell>
          <cell r="AM394">
            <v>456</v>
          </cell>
          <cell r="AN394">
            <v>0</v>
          </cell>
          <cell r="AO394">
            <v>456</v>
          </cell>
          <cell r="AP394">
            <v>0</v>
          </cell>
        </row>
        <row r="395">
          <cell r="AE395">
            <v>3</v>
          </cell>
          <cell r="AF395" t="str">
            <v>Frais de facilitation</v>
          </cell>
          <cell r="AG395">
            <v>1</v>
          </cell>
          <cell r="AH395">
            <v>0</v>
          </cell>
          <cell r="AI395">
            <v>300</v>
          </cell>
          <cell r="AJ395">
            <v>0</v>
          </cell>
          <cell r="AK395">
            <v>0</v>
          </cell>
          <cell r="AL395">
            <v>300</v>
          </cell>
          <cell r="AM395">
            <v>150</v>
          </cell>
          <cell r="AN395">
            <v>0</v>
          </cell>
          <cell r="AO395">
            <v>150</v>
          </cell>
          <cell r="AP395">
            <v>0</v>
          </cell>
        </row>
        <row r="396">
          <cell r="AE396">
            <v>4</v>
          </cell>
          <cell r="AF396" t="str">
            <v xml:space="preserve">Location salle </v>
          </cell>
          <cell r="AG396">
            <v>1</v>
          </cell>
          <cell r="AH396">
            <v>0</v>
          </cell>
          <cell r="AI396">
            <v>300</v>
          </cell>
          <cell r="AJ396">
            <v>0</v>
          </cell>
          <cell r="AK396">
            <v>0</v>
          </cell>
          <cell r="AL396">
            <v>300</v>
          </cell>
          <cell r="AM396">
            <v>150</v>
          </cell>
          <cell r="AN396">
            <v>0</v>
          </cell>
          <cell r="AO396">
            <v>150</v>
          </cell>
          <cell r="AP396">
            <v>0</v>
          </cell>
        </row>
        <row r="397">
          <cell r="AE397">
            <v>5</v>
          </cell>
          <cell r="AF397" t="str">
            <v xml:space="preserve">Frais de transport des participant de NYIRAGONGO </v>
          </cell>
          <cell r="AG397">
            <v>1</v>
          </cell>
          <cell r="AH397">
            <v>0</v>
          </cell>
          <cell r="AI397">
            <v>180</v>
          </cell>
          <cell r="AJ397">
            <v>0</v>
          </cell>
          <cell r="AK397">
            <v>0</v>
          </cell>
          <cell r="AL397">
            <v>180</v>
          </cell>
          <cell r="AM397">
            <v>90</v>
          </cell>
          <cell r="AN397">
            <v>0</v>
          </cell>
          <cell r="AO397">
            <v>90</v>
          </cell>
          <cell r="AP397">
            <v>0</v>
          </cell>
        </row>
        <row r="398">
          <cell r="AE398">
            <v>6</v>
          </cell>
          <cell r="AF398" t="str">
            <v>DSA en faveur des journalistes en provenance de RWANGUBA vers GOMA</v>
          </cell>
          <cell r="AG398">
            <v>1</v>
          </cell>
          <cell r="AH398">
            <v>0</v>
          </cell>
          <cell r="AI398">
            <v>2560</v>
          </cell>
          <cell r="AJ398">
            <v>0</v>
          </cell>
          <cell r="AK398">
            <v>0</v>
          </cell>
          <cell r="AL398">
            <v>2560</v>
          </cell>
          <cell r="AM398">
            <v>1280</v>
          </cell>
          <cell r="AN398">
            <v>0</v>
          </cell>
          <cell r="AO398">
            <v>1280</v>
          </cell>
          <cell r="AP398">
            <v>0</v>
          </cell>
        </row>
        <row r="399">
          <cell r="AE399">
            <v>7</v>
          </cell>
          <cell r="AF399" t="str">
            <v>Frais de transport aller et retour des 10 participants en provenance de RWANGUBA vers GOMA</v>
          </cell>
          <cell r="AG399">
            <v>1</v>
          </cell>
          <cell r="AH399">
            <v>0</v>
          </cell>
          <cell r="AI399">
            <v>800</v>
          </cell>
          <cell r="AJ399">
            <v>0</v>
          </cell>
          <cell r="AK399">
            <v>0</v>
          </cell>
          <cell r="AL399">
            <v>800</v>
          </cell>
          <cell r="AM399">
            <v>400</v>
          </cell>
          <cell r="AN399">
            <v>0</v>
          </cell>
          <cell r="AO399">
            <v>400</v>
          </cell>
          <cell r="AP399">
            <v>0</v>
          </cell>
        </row>
        <row r="400">
          <cell r="AE400">
            <v>8</v>
          </cell>
          <cell r="AF400" t="str">
            <v>Fournitures (Kit -Stylos et blocs notes)</v>
          </cell>
          <cell r="AG400">
            <v>1</v>
          </cell>
          <cell r="AH400">
            <v>0</v>
          </cell>
          <cell r="AI400">
            <v>80</v>
          </cell>
          <cell r="AJ400">
            <v>0</v>
          </cell>
          <cell r="AK400">
            <v>0</v>
          </cell>
          <cell r="AL400">
            <v>80</v>
          </cell>
          <cell r="AM400">
            <v>40</v>
          </cell>
          <cell r="AN400">
            <v>0</v>
          </cell>
          <cell r="AO400">
            <v>40</v>
          </cell>
          <cell r="AP400">
            <v>0</v>
          </cell>
        </row>
        <row r="401">
          <cell r="AE401">
            <v>9</v>
          </cell>
          <cell r="AF401" t="str">
            <v>Appui au fonctionnement des radios communautaires</v>
          </cell>
          <cell r="AG401">
            <v>1</v>
          </cell>
          <cell r="AH401">
            <v>0</v>
          </cell>
          <cell r="AI401">
            <v>43200</v>
          </cell>
          <cell r="AJ401">
            <v>0</v>
          </cell>
          <cell r="AK401">
            <v>0</v>
          </cell>
          <cell r="AL401">
            <v>43200</v>
          </cell>
          <cell r="AM401">
            <v>21600</v>
          </cell>
          <cell r="AN401">
            <v>0</v>
          </cell>
          <cell r="AO401">
            <v>21600</v>
          </cell>
          <cell r="AP401">
            <v>0</v>
          </cell>
        </row>
        <row r="402">
          <cell r="AE402">
            <v>10</v>
          </cell>
          <cell r="AF402" t="str">
            <v>Production des spots</v>
          </cell>
          <cell r="AG402">
            <v>1</v>
          </cell>
          <cell r="AH402">
            <v>0</v>
          </cell>
          <cell r="AI402">
            <v>1200</v>
          </cell>
          <cell r="AJ402">
            <v>0</v>
          </cell>
          <cell r="AK402">
            <v>0</v>
          </cell>
          <cell r="AL402">
            <v>1200</v>
          </cell>
          <cell r="AM402">
            <v>600</v>
          </cell>
          <cell r="AN402">
            <v>0</v>
          </cell>
          <cell r="AO402">
            <v>600</v>
          </cell>
          <cell r="AP402">
            <v>0</v>
          </cell>
        </row>
        <row r="403">
          <cell r="AE403">
            <v>11</v>
          </cell>
          <cell r="AF403" t="str">
            <v>Production des Magazines Réponse aux feedbacks</v>
          </cell>
          <cell r="AG403">
            <v>1</v>
          </cell>
          <cell r="AH403">
            <v>0</v>
          </cell>
          <cell r="AI403">
            <v>11520</v>
          </cell>
          <cell r="AJ403">
            <v>0</v>
          </cell>
          <cell r="AK403">
            <v>0</v>
          </cell>
          <cell r="AL403">
            <v>11520</v>
          </cell>
          <cell r="AM403">
            <v>5760</v>
          </cell>
          <cell r="AN403">
            <v>0</v>
          </cell>
          <cell r="AO403">
            <v>5760</v>
          </cell>
          <cell r="AP403">
            <v>0</v>
          </cell>
        </row>
        <row r="404">
          <cell r="AE404">
            <v>12</v>
          </cell>
          <cell r="AF404" t="str">
            <v>Production des émissions sur le WASH,l'EDUCATION,la NUTRITION et la SANTE  (PEV de routine,santé mere et enfants,réponse urgence sanitaire:cholera,VIH,covid,…)</v>
          </cell>
          <cell r="AG404">
            <v>1</v>
          </cell>
          <cell r="AH404">
            <v>0</v>
          </cell>
          <cell r="AI404">
            <v>23040</v>
          </cell>
          <cell r="AJ404">
            <v>0</v>
          </cell>
          <cell r="AK404">
            <v>0</v>
          </cell>
          <cell r="AL404">
            <v>23040</v>
          </cell>
          <cell r="AM404">
            <v>11520</v>
          </cell>
          <cell r="AN404">
            <v>0</v>
          </cell>
          <cell r="AO404">
            <v>11520</v>
          </cell>
          <cell r="AP404">
            <v>0</v>
          </cell>
        </row>
        <row r="405">
          <cell r="AE405" t="str">
            <v>4.6.1</v>
          </cell>
          <cell r="AF405" t="str">
            <v>Former les personnels des organisations partenaires impliqués dans le projet et les membres des comités intervenant dans la réalisation ou la gestion de l'intervention sur l’atténuation des risques VBG, Gender et PSEA</v>
          </cell>
          <cell r="AG405">
            <v>0.9</v>
          </cell>
          <cell r="AH405">
            <v>9.9999999999999992E-2</v>
          </cell>
          <cell r="AI405">
            <v>25831.8</v>
          </cell>
          <cell r="AJ405">
            <v>0</v>
          </cell>
          <cell r="AK405">
            <v>2870.2</v>
          </cell>
          <cell r="AL405">
            <v>28702</v>
          </cell>
          <cell r="AM405">
            <v>12915.9</v>
          </cell>
          <cell r="AN405">
            <v>0</v>
          </cell>
          <cell r="AO405">
            <v>12915.9</v>
          </cell>
          <cell r="AP405">
            <v>0</v>
          </cell>
        </row>
        <row r="406">
          <cell r="AE406">
            <v>1</v>
          </cell>
          <cell r="AF406" t="str">
            <v>PSEA, Gender and Protection advisor</v>
          </cell>
          <cell r="AG406">
            <v>0.9</v>
          </cell>
          <cell r="AH406">
            <v>0.1</v>
          </cell>
          <cell r="AI406">
            <v>24300</v>
          </cell>
          <cell r="AJ406">
            <v>0</v>
          </cell>
          <cell r="AK406">
            <v>2700</v>
          </cell>
          <cell r="AL406">
            <v>27000</v>
          </cell>
          <cell r="AM406">
            <v>12150</v>
          </cell>
          <cell r="AN406">
            <v>0</v>
          </cell>
          <cell r="AO406">
            <v>12150</v>
          </cell>
          <cell r="AP406">
            <v>0</v>
          </cell>
        </row>
        <row r="407">
          <cell r="AE407">
            <v>2</v>
          </cell>
          <cell r="AF407" t="str">
            <v>Location salle</v>
          </cell>
          <cell r="AG407">
            <v>0.9</v>
          </cell>
          <cell r="AH407">
            <v>0.1</v>
          </cell>
          <cell r="AI407">
            <v>360</v>
          </cell>
          <cell r="AJ407">
            <v>0</v>
          </cell>
          <cell r="AK407">
            <v>40</v>
          </cell>
          <cell r="AL407">
            <v>400</v>
          </cell>
          <cell r="AM407">
            <v>180</v>
          </cell>
          <cell r="AN407">
            <v>0</v>
          </cell>
          <cell r="AO407">
            <v>180</v>
          </cell>
          <cell r="AP407">
            <v>0</v>
          </cell>
        </row>
        <row r="408">
          <cell r="AE408">
            <v>3</v>
          </cell>
          <cell r="AF408" t="str">
            <v>Pause repas</v>
          </cell>
          <cell r="AG408">
            <v>0.9</v>
          </cell>
          <cell r="AH408">
            <v>0.1</v>
          </cell>
          <cell r="AI408">
            <v>837</v>
          </cell>
          <cell r="AJ408">
            <v>0</v>
          </cell>
          <cell r="AK408">
            <v>93</v>
          </cell>
          <cell r="AL408">
            <v>930</v>
          </cell>
          <cell r="AM408">
            <v>418.5</v>
          </cell>
          <cell r="AN408">
            <v>0</v>
          </cell>
          <cell r="AO408">
            <v>418.5</v>
          </cell>
          <cell r="AP408">
            <v>0</v>
          </cell>
        </row>
        <row r="409">
          <cell r="AE409">
            <v>4</v>
          </cell>
          <cell r="AF409" t="str">
            <v>Pause café</v>
          </cell>
          <cell r="AG409">
            <v>0.9</v>
          </cell>
          <cell r="AH409">
            <v>0.1</v>
          </cell>
          <cell r="AI409">
            <v>334.8</v>
          </cell>
          <cell r="AJ409">
            <v>0</v>
          </cell>
          <cell r="AK409">
            <v>37.200000000000003</v>
          </cell>
          <cell r="AL409">
            <v>372</v>
          </cell>
          <cell r="AM409">
            <v>167.4</v>
          </cell>
          <cell r="AN409">
            <v>0</v>
          </cell>
          <cell r="AO409">
            <v>167.4</v>
          </cell>
          <cell r="AP409">
            <v>0</v>
          </cell>
        </row>
        <row r="410">
          <cell r="AE410" t="str">
            <v>4.6.2</v>
          </cell>
          <cell r="AF410" t="str">
            <v>Faire signer le code de conduite sur les VBG, Gender et PSEA par les acteurs impliqués dans la gestion du projet</v>
          </cell>
          <cell r="AI410">
            <v>0</v>
          </cell>
          <cell r="AJ410">
            <v>0</v>
          </cell>
          <cell r="AK410">
            <v>0</v>
          </cell>
          <cell r="AL410">
            <v>0</v>
          </cell>
          <cell r="AM410">
            <v>0</v>
          </cell>
          <cell r="AN410">
            <v>0</v>
          </cell>
          <cell r="AO410">
            <v>0</v>
          </cell>
          <cell r="AP410">
            <v>0</v>
          </cell>
        </row>
        <row r="411">
          <cell r="AE411">
            <v>1</v>
          </cell>
          <cell r="AF411" t="str">
            <v>Faire signer le code de conduite par les parties prenantes du projet</v>
          </cell>
          <cell r="AI411">
            <v>0</v>
          </cell>
          <cell r="AJ411">
            <v>0</v>
          </cell>
          <cell r="AK411">
            <v>0</v>
          </cell>
          <cell r="AL411">
            <v>0</v>
          </cell>
          <cell r="AM411">
            <v>0</v>
          </cell>
          <cell r="AN411">
            <v>0</v>
          </cell>
          <cell r="AO411">
            <v>0</v>
          </cell>
          <cell r="AP411">
            <v>0</v>
          </cell>
        </row>
        <row r="412">
          <cell r="AE412" t="str">
            <v>4.7.1</v>
          </cell>
          <cell r="AF412" t="str">
            <v>Mettre les affiches PSEA contenant les informations sur les actes proscrites et les mécanismes de plainte dans tous les sites du projet</v>
          </cell>
          <cell r="AG412">
            <v>1</v>
          </cell>
          <cell r="AH412">
            <v>0</v>
          </cell>
          <cell r="AI412">
            <v>4040</v>
          </cell>
          <cell r="AJ412">
            <v>0</v>
          </cell>
          <cell r="AK412">
            <v>0</v>
          </cell>
          <cell r="AL412">
            <v>4040</v>
          </cell>
          <cell r="AM412">
            <v>4040</v>
          </cell>
          <cell r="AN412">
            <v>0</v>
          </cell>
          <cell r="AO412">
            <v>0</v>
          </cell>
          <cell r="AP412">
            <v>0</v>
          </cell>
        </row>
        <row r="413">
          <cell r="AE413">
            <v>1</v>
          </cell>
          <cell r="AF413" t="str">
            <v>Production des affiches</v>
          </cell>
          <cell r="AG413">
            <v>1</v>
          </cell>
          <cell r="AH413">
            <v>0</v>
          </cell>
          <cell r="AI413">
            <v>4040</v>
          </cell>
          <cell r="AJ413">
            <v>0</v>
          </cell>
          <cell r="AK413">
            <v>0</v>
          </cell>
          <cell r="AL413">
            <v>4040</v>
          </cell>
          <cell r="AM413">
            <v>4040</v>
          </cell>
          <cell r="AN413">
            <v>0</v>
          </cell>
          <cell r="AO413">
            <v>0</v>
          </cell>
          <cell r="AP413">
            <v>0</v>
          </cell>
        </row>
        <row r="414">
          <cell r="AE414" t="str">
            <v>4.7.2</v>
          </cell>
          <cell r="AF414" t="str">
            <v xml:space="preserve">Identifier ou mettre en place des mécanismes de feedback et de plainte, y compris de signalement d’exploitations et d'abus sexuels (téléphone, courriel, mécanismes communautaires surtout en personne, ou autre). </v>
          </cell>
          <cell r="AG414">
            <v>0.90000000000000013</v>
          </cell>
          <cell r="AH414">
            <v>9.9999999999999992E-2</v>
          </cell>
          <cell r="AI414">
            <v>15699.150000000001</v>
          </cell>
          <cell r="AJ414">
            <v>0</v>
          </cell>
          <cell r="AK414">
            <v>1744.35</v>
          </cell>
          <cell r="AL414">
            <v>17443.5</v>
          </cell>
          <cell r="AM414">
            <v>8560.35</v>
          </cell>
          <cell r="AN414">
            <v>0</v>
          </cell>
          <cell r="AO414">
            <v>7138.8</v>
          </cell>
          <cell r="AP414">
            <v>0</v>
          </cell>
        </row>
        <row r="415">
          <cell r="AE415">
            <v>2</v>
          </cell>
          <cell r="AF415" t="str">
            <v>Fabrication des boites à suggestions et plaintes</v>
          </cell>
          <cell r="AG415">
            <v>0.9</v>
          </cell>
          <cell r="AH415">
            <v>0.1</v>
          </cell>
          <cell r="AI415">
            <v>3636</v>
          </cell>
          <cell r="AJ415">
            <v>0</v>
          </cell>
          <cell r="AK415">
            <v>404</v>
          </cell>
          <cell r="AL415">
            <v>4040</v>
          </cell>
          <cell r="AM415">
            <v>3636</v>
          </cell>
          <cell r="AN415">
            <v>0</v>
          </cell>
          <cell r="AO415">
            <v>0</v>
          </cell>
          <cell r="AP415">
            <v>0</v>
          </cell>
        </row>
        <row r="416">
          <cell r="AE416">
            <v>3</v>
          </cell>
          <cell r="AF416" t="str">
            <v>Identification parmi les membres des CAC des points focaux VBGS dans les villages cibles/</v>
          </cell>
          <cell r="AI416">
            <v>0</v>
          </cell>
          <cell r="AJ416">
            <v>0</v>
          </cell>
          <cell r="AK416">
            <v>0</v>
          </cell>
          <cell r="AL416">
            <v>0</v>
          </cell>
          <cell r="AM416">
            <v>0</v>
          </cell>
          <cell r="AN416">
            <v>0</v>
          </cell>
          <cell r="AO416">
            <v>0</v>
          </cell>
          <cell r="AP416">
            <v>0</v>
          </cell>
        </row>
        <row r="417">
          <cell r="AE417">
            <v>4</v>
          </cell>
          <cell r="AF417" t="str">
            <v>Location salle 6</v>
          </cell>
          <cell r="AG417">
            <v>0.9</v>
          </cell>
          <cell r="AH417">
            <v>0.1</v>
          </cell>
          <cell r="AI417">
            <v>540</v>
          </cell>
          <cell r="AJ417">
            <v>0</v>
          </cell>
          <cell r="AK417">
            <v>60</v>
          </cell>
          <cell r="AL417">
            <v>600</v>
          </cell>
          <cell r="AM417">
            <v>270</v>
          </cell>
          <cell r="AN417">
            <v>0</v>
          </cell>
          <cell r="AO417">
            <v>270</v>
          </cell>
          <cell r="AP417">
            <v>0</v>
          </cell>
        </row>
        <row r="418">
          <cell r="AE418">
            <v>5</v>
          </cell>
          <cell r="AF418" t="str">
            <v>Pause repas 292</v>
          </cell>
          <cell r="AG418">
            <v>0.9</v>
          </cell>
          <cell r="AH418">
            <v>0.1</v>
          </cell>
          <cell r="AI418">
            <v>3636</v>
          </cell>
          <cell r="AJ418">
            <v>0</v>
          </cell>
          <cell r="AK418">
            <v>404</v>
          </cell>
          <cell r="AL418">
            <v>4040</v>
          </cell>
          <cell r="AM418">
            <v>1314</v>
          </cell>
          <cell r="AN418">
            <v>0</v>
          </cell>
          <cell r="AO418">
            <v>2322</v>
          </cell>
          <cell r="AP418">
            <v>0</v>
          </cell>
        </row>
        <row r="419">
          <cell r="AE419">
            <v>6</v>
          </cell>
          <cell r="AF419" t="str">
            <v>Pause café</v>
          </cell>
          <cell r="AG419">
            <v>0.9</v>
          </cell>
          <cell r="AH419">
            <v>0.10000000000000002</v>
          </cell>
          <cell r="AI419">
            <v>1454.4</v>
          </cell>
          <cell r="AJ419">
            <v>0</v>
          </cell>
          <cell r="AK419">
            <v>161.60000000000002</v>
          </cell>
          <cell r="AL419">
            <v>1616</v>
          </cell>
          <cell r="AM419">
            <v>525.6</v>
          </cell>
          <cell r="AN419">
            <v>0</v>
          </cell>
          <cell r="AO419">
            <v>928.80000000000007</v>
          </cell>
          <cell r="AP419">
            <v>0</v>
          </cell>
        </row>
        <row r="420">
          <cell r="AE420">
            <v>7</v>
          </cell>
          <cell r="AF420" t="str">
            <v>Frais de remboursement transport</v>
          </cell>
          <cell r="AG420">
            <v>0.9</v>
          </cell>
          <cell r="AH420">
            <v>0.1</v>
          </cell>
          <cell r="AI420">
            <v>3636</v>
          </cell>
          <cell r="AJ420">
            <v>0</v>
          </cell>
          <cell r="AK420">
            <v>404</v>
          </cell>
          <cell r="AL420">
            <v>4040</v>
          </cell>
          <cell r="AM420">
            <v>1314</v>
          </cell>
          <cell r="AN420">
            <v>0</v>
          </cell>
          <cell r="AO420">
            <v>2322</v>
          </cell>
          <cell r="AP420">
            <v>0</v>
          </cell>
        </row>
        <row r="421">
          <cell r="AE421">
            <v>8</v>
          </cell>
          <cell r="AF421" t="str">
            <v>frais- de facilitation 2</v>
          </cell>
          <cell r="AG421">
            <v>0.9</v>
          </cell>
          <cell r="AH421">
            <v>0.1</v>
          </cell>
          <cell r="AI421">
            <v>978.75</v>
          </cell>
          <cell r="AJ421">
            <v>0</v>
          </cell>
          <cell r="AK421">
            <v>108.75</v>
          </cell>
          <cell r="AL421">
            <v>1087.5</v>
          </cell>
          <cell r="AM421">
            <v>843.75</v>
          </cell>
          <cell r="AN421">
            <v>0</v>
          </cell>
          <cell r="AO421">
            <v>135</v>
          </cell>
          <cell r="AP421">
            <v>0</v>
          </cell>
        </row>
        <row r="422">
          <cell r="AE422">
            <v>9</v>
          </cell>
          <cell r="AF422" t="str">
            <v>Fournitures Kit</v>
          </cell>
          <cell r="AG422">
            <v>0.9</v>
          </cell>
          <cell r="AH422">
            <v>0.1</v>
          </cell>
          <cell r="AI422">
            <v>1818</v>
          </cell>
          <cell r="AJ422">
            <v>0</v>
          </cell>
          <cell r="AK422">
            <v>202</v>
          </cell>
          <cell r="AL422">
            <v>2020</v>
          </cell>
          <cell r="AM422">
            <v>657</v>
          </cell>
          <cell r="AN422">
            <v>0</v>
          </cell>
          <cell r="AO422">
            <v>1161</v>
          </cell>
          <cell r="AP422">
            <v>0</v>
          </cell>
        </row>
        <row r="423">
          <cell r="AE423" t="str">
            <v>4.7.3</v>
          </cell>
          <cell r="AF423" t="str">
            <v>Assurer une large dissémination des informations, outils de communication sur les PEAS et mécanismes de plainte disponibles auprès des bénéficiaires.</v>
          </cell>
          <cell r="AI423">
            <v>16800</v>
          </cell>
          <cell r="AJ423">
            <v>0</v>
          </cell>
          <cell r="AK423">
            <v>0</v>
          </cell>
          <cell r="AL423">
            <v>16800</v>
          </cell>
          <cell r="AM423">
            <v>8400</v>
          </cell>
          <cell r="AN423">
            <v>0</v>
          </cell>
          <cell r="AO423">
            <v>8400</v>
          </cell>
          <cell r="AP423">
            <v>0</v>
          </cell>
        </row>
        <row r="424">
          <cell r="AE424">
            <v>1</v>
          </cell>
          <cell r="AF424" t="str">
            <v>Production des spots en langue locale</v>
          </cell>
          <cell r="AG424">
            <v>1</v>
          </cell>
          <cell r="AH424">
            <v>0</v>
          </cell>
          <cell r="AI424">
            <v>8</v>
          </cell>
          <cell r="AJ424">
            <v>0</v>
          </cell>
          <cell r="AK424">
            <v>0</v>
          </cell>
          <cell r="AL424">
            <v>8</v>
          </cell>
          <cell r="AM424">
            <v>400</v>
          </cell>
          <cell r="AN424">
            <v>0</v>
          </cell>
          <cell r="AO424">
            <v>400</v>
          </cell>
          <cell r="AP424">
            <v>0</v>
          </cell>
        </row>
        <row r="425">
          <cell r="AE425">
            <v>2</v>
          </cell>
          <cell r="AF425" t="str">
            <v>Diffusion des spots</v>
          </cell>
          <cell r="AG425">
            <v>1</v>
          </cell>
          <cell r="AH425">
            <v>0</v>
          </cell>
          <cell r="AI425">
            <v>8000</v>
          </cell>
          <cell r="AJ425">
            <v>0</v>
          </cell>
          <cell r="AK425">
            <v>0</v>
          </cell>
          <cell r="AL425">
            <v>8000</v>
          </cell>
          <cell r="AM425">
            <v>4000</v>
          </cell>
          <cell r="AN425">
            <v>0</v>
          </cell>
          <cell r="AO425">
            <v>4000</v>
          </cell>
          <cell r="AP425">
            <v>0</v>
          </cell>
        </row>
        <row r="426">
          <cell r="AE426">
            <v>3</v>
          </cell>
          <cell r="AF426" t="str">
            <v>Production des depliants en langue locale</v>
          </cell>
          <cell r="AG426">
            <v>1</v>
          </cell>
          <cell r="AH426">
            <v>0</v>
          </cell>
          <cell r="AI426">
            <v>8000</v>
          </cell>
          <cell r="AJ426">
            <v>0</v>
          </cell>
          <cell r="AK426">
            <v>0</v>
          </cell>
          <cell r="AL426">
            <v>8000</v>
          </cell>
          <cell r="AM426">
            <v>4000</v>
          </cell>
          <cell r="AN426">
            <v>0</v>
          </cell>
          <cell r="AO426">
            <v>4000</v>
          </cell>
          <cell r="AP426">
            <v>0</v>
          </cell>
        </row>
        <row r="427">
          <cell r="AE427" t="str">
            <v>4.8.1</v>
          </cell>
          <cell r="AF427" t="str">
            <v>Organiser une évaluation de base dans les aires de santé ciblées par le projet pour la mise en place de l'approche Washindi</v>
          </cell>
          <cell r="AI427">
            <v>8448</v>
          </cell>
          <cell r="AJ427">
            <v>0</v>
          </cell>
          <cell r="AK427">
            <v>0</v>
          </cell>
          <cell r="AL427">
            <v>8448</v>
          </cell>
          <cell r="AM427">
            <v>4224</v>
          </cell>
          <cell r="AN427">
            <v>0</v>
          </cell>
          <cell r="AO427">
            <v>4224</v>
          </cell>
          <cell r="AP427">
            <v>0</v>
          </cell>
        </row>
        <row r="428">
          <cell r="AE428">
            <v>1</v>
          </cell>
          <cell r="AF428" t="str">
            <v xml:space="preserve">Perdiem  des enquêteurs </v>
          </cell>
          <cell r="AG428">
            <v>1</v>
          </cell>
          <cell r="AH428">
            <v>0</v>
          </cell>
          <cell r="AI428">
            <v>8</v>
          </cell>
          <cell r="AJ428">
            <v>0</v>
          </cell>
          <cell r="AK428">
            <v>0</v>
          </cell>
          <cell r="AL428">
            <v>8</v>
          </cell>
          <cell r="AM428">
            <v>1440</v>
          </cell>
          <cell r="AN428">
            <v>0</v>
          </cell>
          <cell r="AO428">
            <v>1440</v>
          </cell>
          <cell r="AP428">
            <v>0</v>
          </cell>
        </row>
        <row r="429">
          <cell r="AE429">
            <v>2</v>
          </cell>
          <cell r="AF429" t="str">
            <v xml:space="preserve">Honoraires des enquêteurs </v>
          </cell>
          <cell r="AG429">
            <v>1</v>
          </cell>
          <cell r="AH429">
            <v>0</v>
          </cell>
          <cell r="AI429">
            <v>3360</v>
          </cell>
          <cell r="AJ429">
            <v>0</v>
          </cell>
          <cell r="AK429">
            <v>0</v>
          </cell>
          <cell r="AL429">
            <v>3360</v>
          </cell>
          <cell r="AM429">
            <v>1680</v>
          </cell>
          <cell r="AN429">
            <v>0</v>
          </cell>
          <cell r="AO429">
            <v>1680</v>
          </cell>
          <cell r="AP429">
            <v>0</v>
          </cell>
        </row>
        <row r="430">
          <cell r="AE430">
            <v>3</v>
          </cell>
          <cell r="AF430" t="str">
            <v xml:space="preserve">Transport local sur le terrain des enquêteurs </v>
          </cell>
          <cell r="AG430">
            <v>1</v>
          </cell>
          <cell r="AH430">
            <v>0</v>
          </cell>
          <cell r="AI430">
            <v>1920</v>
          </cell>
          <cell r="AJ430">
            <v>0</v>
          </cell>
          <cell r="AK430">
            <v>0</v>
          </cell>
          <cell r="AL430">
            <v>1920</v>
          </cell>
          <cell r="AM430">
            <v>960</v>
          </cell>
          <cell r="AN430">
            <v>0</v>
          </cell>
          <cell r="AO430">
            <v>960</v>
          </cell>
          <cell r="AP430">
            <v>0</v>
          </cell>
        </row>
        <row r="431">
          <cell r="AE431">
            <v>4</v>
          </cell>
          <cell r="AF431" t="str">
            <v>Communication (crédits téléphoniques pour la coordination et unités Internet pour l'envoi des données)</v>
          </cell>
          <cell r="AG431">
            <v>1</v>
          </cell>
          <cell r="AH431">
            <v>0</v>
          </cell>
          <cell r="AI431">
            <v>8</v>
          </cell>
          <cell r="AJ431">
            <v>0</v>
          </cell>
          <cell r="AK431">
            <v>0</v>
          </cell>
          <cell r="AL431">
            <v>8</v>
          </cell>
          <cell r="AM431">
            <v>100</v>
          </cell>
          <cell r="AN431">
            <v>0</v>
          </cell>
          <cell r="AO431">
            <v>100</v>
          </cell>
          <cell r="AP431">
            <v>0</v>
          </cell>
        </row>
        <row r="432">
          <cell r="AE432">
            <v>5</v>
          </cell>
          <cell r="AF432" t="str">
            <v xml:space="preserve">Fournitures pédagogiques </v>
          </cell>
          <cell r="AG432">
            <v>1</v>
          </cell>
          <cell r="AH432">
            <v>0</v>
          </cell>
          <cell r="AI432">
            <v>40</v>
          </cell>
          <cell r="AJ432">
            <v>0</v>
          </cell>
          <cell r="AK432">
            <v>0</v>
          </cell>
          <cell r="AL432">
            <v>40</v>
          </cell>
          <cell r="AM432">
            <v>20</v>
          </cell>
          <cell r="AN432">
            <v>0</v>
          </cell>
          <cell r="AO432">
            <v>20</v>
          </cell>
          <cell r="AP432">
            <v>0</v>
          </cell>
        </row>
        <row r="433">
          <cell r="AE433">
            <v>6</v>
          </cell>
          <cell r="AF433" t="str">
            <v>Reprographie des outils de formation et de l'enquête</v>
          </cell>
          <cell r="AG433">
            <v>1</v>
          </cell>
          <cell r="AH433">
            <v>0</v>
          </cell>
          <cell r="AI433">
            <v>48</v>
          </cell>
          <cell r="AJ433">
            <v>0</v>
          </cell>
          <cell r="AK433">
            <v>0</v>
          </cell>
          <cell r="AL433">
            <v>48</v>
          </cell>
          <cell r="AM433">
            <v>24</v>
          </cell>
          <cell r="AN433">
            <v>0</v>
          </cell>
          <cell r="AO433">
            <v>24</v>
          </cell>
          <cell r="AP433">
            <v>0</v>
          </cell>
        </row>
        <row r="434">
          <cell r="AE434" t="str">
            <v>4.8.2</v>
          </cell>
          <cell r="AF434" t="str">
            <v>Organiser des missions d'identification des facilitateurs communautaires  autour des formations sanitaires</v>
          </cell>
          <cell r="AI434">
            <v>4220</v>
          </cell>
          <cell r="AJ434">
            <v>0</v>
          </cell>
          <cell r="AK434">
            <v>0</v>
          </cell>
          <cell r="AL434">
            <v>4220</v>
          </cell>
          <cell r="AM434">
            <v>2110</v>
          </cell>
          <cell r="AN434">
            <v>0</v>
          </cell>
          <cell r="AO434">
            <v>2110</v>
          </cell>
          <cell r="AP434">
            <v>0</v>
          </cell>
        </row>
        <row r="435">
          <cell r="AE435">
            <v>1</v>
          </cell>
          <cell r="AF435" t="str">
            <v xml:space="preserve">Perdiem équipe </v>
          </cell>
          <cell r="AG435">
            <v>1</v>
          </cell>
          <cell r="AH435">
            <v>0</v>
          </cell>
          <cell r="AI435">
            <v>8</v>
          </cell>
          <cell r="AJ435">
            <v>0</v>
          </cell>
          <cell r="AK435">
            <v>0</v>
          </cell>
          <cell r="AL435">
            <v>8</v>
          </cell>
          <cell r="AM435">
            <v>1760</v>
          </cell>
          <cell r="AN435">
            <v>0</v>
          </cell>
          <cell r="AO435">
            <v>1760</v>
          </cell>
          <cell r="AP435">
            <v>0</v>
          </cell>
        </row>
        <row r="436">
          <cell r="AE436">
            <v>2</v>
          </cell>
          <cell r="AF436" t="str">
            <v xml:space="preserve">Communication </v>
          </cell>
          <cell r="AG436">
            <v>1</v>
          </cell>
          <cell r="AH436">
            <v>0</v>
          </cell>
          <cell r="AI436">
            <v>300</v>
          </cell>
          <cell r="AJ436">
            <v>0</v>
          </cell>
          <cell r="AK436">
            <v>0</v>
          </cell>
          <cell r="AL436">
            <v>300</v>
          </cell>
          <cell r="AM436">
            <v>150</v>
          </cell>
          <cell r="AN436">
            <v>0</v>
          </cell>
          <cell r="AO436">
            <v>150</v>
          </cell>
          <cell r="AP436">
            <v>0</v>
          </cell>
        </row>
        <row r="437">
          <cell r="AE437">
            <v>3</v>
          </cell>
          <cell r="AF437" t="str">
            <v xml:space="preserve">Transport local </v>
          </cell>
          <cell r="AG437">
            <v>1</v>
          </cell>
          <cell r="AH437">
            <v>0</v>
          </cell>
          <cell r="AI437">
            <v>400</v>
          </cell>
          <cell r="AJ437">
            <v>0</v>
          </cell>
          <cell r="AK437">
            <v>0</v>
          </cell>
          <cell r="AL437">
            <v>400</v>
          </cell>
          <cell r="AM437">
            <v>200</v>
          </cell>
          <cell r="AN437">
            <v>0</v>
          </cell>
          <cell r="AO437">
            <v>200</v>
          </cell>
          <cell r="AP437">
            <v>0</v>
          </cell>
        </row>
        <row r="438">
          <cell r="AE438" t="str">
            <v>4.8.3</v>
          </cell>
          <cell r="AF438" t="str">
            <v>Organiser  une session de formation des facilitateurs communautaires sur l'approche Washindi</v>
          </cell>
          <cell r="AI438">
            <v>6837</v>
          </cell>
          <cell r="AJ438">
            <v>0</v>
          </cell>
          <cell r="AK438">
            <v>0</v>
          </cell>
          <cell r="AL438">
            <v>6837</v>
          </cell>
          <cell r="AM438">
            <v>3418.5</v>
          </cell>
          <cell r="AN438">
            <v>0</v>
          </cell>
          <cell r="AO438">
            <v>3418.5</v>
          </cell>
          <cell r="AP438">
            <v>0</v>
          </cell>
        </row>
        <row r="439">
          <cell r="AE439">
            <v>1</v>
          </cell>
          <cell r="AF439" t="str">
            <v xml:space="preserve">Location salle </v>
          </cell>
          <cell r="AG439">
            <v>1</v>
          </cell>
          <cell r="AH439">
            <v>0</v>
          </cell>
          <cell r="AI439">
            <v>8</v>
          </cell>
          <cell r="AJ439">
            <v>0</v>
          </cell>
          <cell r="AK439">
            <v>0</v>
          </cell>
          <cell r="AL439">
            <v>8</v>
          </cell>
          <cell r="AM439">
            <v>300</v>
          </cell>
          <cell r="AN439">
            <v>0</v>
          </cell>
          <cell r="AO439">
            <v>300</v>
          </cell>
          <cell r="AP439">
            <v>0</v>
          </cell>
        </row>
        <row r="440">
          <cell r="AE440">
            <v>2</v>
          </cell>
          <cell r="AF440" t="str">
            <v xml:space="preserve">Restauration Pause café </v>
          </cell>
          <cell r="AG440">
            <v>1</v>
          </cell>
          <cell r="AH440">
            <v>0</v>
          </cell>
          <cell r="AI440">
            <v>792</v>
          </cell>
          <cell r="AJ440">
            <v>0</v>
          </cell>
          <cell r="AK440">
            <v>0</v>
          </cell>
          <cell r="AL440">
            <v>792</v>
          </cell>
          <cell r="AM440">
            <v>396</v>
          </cell>
          <cell r="AN440">
            <v>0</v>
          </cell>
          <cell r="AO440">
            <v>396</v>
          </cell>
          <cell r="AP440">
            <v>0</v>
          </cell>
        </row>
        <row r="441">
          <cell r="AE441">
            <v>3</v>
          </cell>
          <cell r="AF441" t="str">
            <v>Pestauration repas midi</v>
          </cell>
          <cell r="AG441">
            <v>1</v>
          </cell>
          <cell r="AH441">
            <v>0</v>
          </cell>
          <cell r="AI441">
            <v>1980</v>
          </cell>
          <cell r="AJ441">
            <v>0</v>
          </cell>
          <cell r="AK441">
            <v>0</v>
          </cell>
          <cell r="AL441">
            <v>1980</v>
          </cell>
          <cell r="AM441">
            <v>990</v>
          </cell>
          <cell r="AN441">
            <v>0</v>
          </cell>
          <cell r="AO441">
            <v>990</v>
          </cell>
          <cell r="AP441">
            <v>0</v>
          </cell>
        </row>
        <row r="442">
          <cell r="AE442">
            <v>4</v>
          </cell>
          <cell r="AF442" t="str">
            <v xml:space="preserve">Transport des participants </v>
          </cell>
          <cell r="AG442">
            <v>1</v>
          </cell>
          <cell r="AH442">
            <v>0</v>
          </cell>
          <cell r="AI442">
            <v>8</v>
          </cell>
          <cell r="AJ442">
            <v>0</v>
          </cell>
          <cell r="AK442">
            <v>0</v>
          </cell>
          <cell r="AL442">
            <v>8</v>
          </cell>
          <cell r="AM442">
            <v>990</v>
          </cell>
          <cell r="AN442">
            <v>0</v>
          </cell>
          <cell r="AO442">
            <v>990</v>
          </cell>
          <cell r="AP442">
            <v>0</v>
          </cell>
        </row>
        <row r="443">
          <cell r="AE443">
            <v>5</v>
          </cell>
          <cell r="AF443" t="str">
            <v xml:space="preserve">Fournitures pédagogiques </v>
          </cell>
          <cell r="AG443">
            <v>1</v>
          </cell>
          <cell r="AH443">
            <v>0</v>
          </cell>
          <cell r="AI443">
            <v>165</v>
          </cell>
          <cell r="AJ443">
            <v>0</v>
          </cell>
          <cell r="AK443">
            <v>0</v>
          </cell>
          <cell r="AL443">
            <v>165</v>
          </cell>
          <cell r="AM443">
            <v>82.5</v>
          </cell>
          <cell r="AN443">
            <v>0</v>
          </cell>
          <cell r="AO443">
            <v>82.5</v>
          </cell>
          <cell r="AP443">
            <v>0</v>
          </cell>
        </row>
        <row r="444">
          <cell r="AE444">
            <v>6</v>
          </cell>
          <cell r="AF444" t="str">
            <v xml:space="preserve">Perdiem des formateurs </v>
          </cell>
          <cell r="AG444">
            <v>1</v>
          </cell>
          <cell r="AH444">
            <v>0</v>
          </cell>
          <cell r="AI444">
            <v>1320</v>
          </cell>
          <cell r="AJ444">
            <v>0</v>
          </cell>
          <cell r="AK444">
            <v>0</v>
          </cell>
          <cell r="AL444">
            <v>1320</v>
          </cell>
          <cell r="AM444">
            <v>660</v>
          </cell>
          <cell r="AN444">
            <v>0</v>
          </cell>
          <cell r="AO444">
            <v>660</v>
          </cell>
          <cell r="AP444">
            <v>0</v>
          </cell>
        </row>
        <row r="445">
          <cell r="AE445" t="str">
            <v>4.8.4</v>
          </cell>
          <cell r="AF445" t="str">
            <v>Organiser la formation des prestataires au sein des FOSA sur l'approche Washindi</v>
          </cell>
          <cell r="AI445">
            <v>2885</v>
          </cell>
          <cell r="AJ445">
            <v>0</v>
          </cell>
          <cell r="AK445">
            <v>0</v>
          </cell>
          <cell r="AL445">
            <v>2885</v>
          </cell>
          <cell r="AM445">
            <v>1442.5</v>
          </cell>
          <cell r="AN445">
            <v>0</v>
          </cell>
          <cell r="AO445">
            <v>1442.5</v>
          </cell>
          <cell r="AP445">
            <v>0</v>
          </cell>
        </row>
        <row r="446">
          <cell r="AE446">
            <v>1</v>
          </cell>
          <cell r="AF446" t="str">
            <v xml:space="preserve">Location salle </v>
          </cell>
          <cell r="AG446">
            <v>1</v>
          </cell>
          <cell r="AH446">
            <v>0</v>
          </cell>
          <cell r="AI446">
            <v>8</v>
          </cell>
          <cell r="AJ446">
            <v>0</v>
          </cell>
          <cell r="AK446">
            <v>0</v>
          </cell>
          <cell r="AL446">
            <v>8</v>
          </cell>
          <cell r="AM446">
            <v>150</v>
          </cell>
          <cell r="AN446">
            <v>0</v>
          </cell>
          <cell r="AO446">
            <v>150</v>
          </cell>
          <cell r="AP446">
            <v>0</v>
          </cell>
        </row>
        <row r="447">
          <cell r="AE447">
            <v>2</v>
          </cell>
          <cell r="AF447" t="str">
            <v xml:space="preserve">Restauration Pause café </v>
          </cell>
          <cell r="AG447">
            <v>1</v>
          </cell>
          <cell r="AH447">
            <v>0</v>
          </cell>
          <cell r="AI447">
            <v>300</v>
          </cell>
          <cell r="AJ447">
            <v>0</v>
          </cell>
          <cell r="AK447">
            <v>0</v>
          </cell>
          <cell r="AL447">
            <v>300</v>
          </cell>
          <cell r="AM447">
            <v>150</v>
          </cell>
          <cell r="AN447">
            <v>0</v>
          </cell>
          <cell r="AO447">
            <v>150</v>
          </cell>
          <cell r="AP447">
            <v>0</v>
          </cell>
        </row>
        <row r="448">
          <cell r="AE448">
            <v>3</v>
          </cell>
          <cell r="AF448" t="str">
            <v>Restauration repas midi</v>
          </cell>
          <cell r="AG448">
            <v>1</v>
          </cell>
          <cell r="AH448">
            <v>0</v>
          </cell>
          <cell r="AI448">
            <v>750</v>
          </cell>
          <cell r="AJ448">
            <v>0</v>
          </cell>
          <cell r="AK448">
            <v>0</v>
          </cell>
          <cell r="AL448">
            <v>750</v>
          </cell>
          <cell r="AM448">
            <v>375</v>
          </cell>
          <cell r="AN448">
            <v>0</v>
          </cell>
          <cell r="AO448">
            <v>375</v>
          </cell>
          <cell r="AP448">
            <v>0</v>
          </cell>
        </row>
        <row r="449">
          <cell r="AE449">
            <v>4</v>
          </cell>
          <cell r="AF449" t="str">
            <v xml:space="preserve">Transport des participants </v>
          </cell>
          <cell r="AG449">
            <v>1</v>
          </cell>
          <cell r="AH449">
            <v>0</v>
          </cell>
          <cell r="AI449">
            <v>8</v>
          </cell>
          <cell r="AJ449">
            <v>0</v>
          </cell>
          <cell r="AK449">
            <v>0</v>
          </cell>
          <cell r="AL449">
            <v>8</v>
          </cell>
          <cell r="AM449">
            <v>375</v>
          </cell>
          <cell r="AN449">
            <v>0</v>
          </cell>
          <cell r="AO449">
            <v>375</v>
          </cell>
          <cell r="AP449">
            <v>0</v>
          </cell>
        </row>
        <row r="450">
          <cell r="AE450">
            <v>5</v>
          </cell>
          <cell r="AF450" t="str">
            <v xml:space="preserve">Fournitures pédagogiques </v>
          </cell>
          <cell r="AG450">
            <v>1</v>
          </cell>
          <cell r="AH450">
            <v>0</v>
          </cell>
          <cell r="AI450">
            <v>125</v>
          </cell>
          <cell r="AJ450">
            <v>0</v>
          </cell>
          <cell r="AK450">
            <v>0</v>
          </cell>
          <cell r="AL450">
            <v>125</v>
          </cell>
          <cell r="AM450">
            <v>62.5</v>
          </cell>
          <cell r="AN450">
            <v>0</v>
          </cell>
          <cell r="AO450">
            <v>62.5</v>
          </cell>
          <cell r="AP450">
            <v>0</v>
          </cell>
        </row>
        <row r="451">
          <cell r="AE451">
            <v>6</v>
          </cell>
          <cell r="AF451" t="str">
            <v xml:space="preserve">Perdiem des formateurs </v>
          </cell>
          <cell r="AG451">
            <v>1</v>
          </cell>
          <cell r="AH451">
            <v>0</v>
          </cell>
          <cell r="AI451">
            <v>660</v>
          </cell>
          <cell r="AJ451">
            <v>0</v>
          </cell>
          <cell r="AK451">
            <v>0</v>
          </cell>
          <cell r="AL451">
            <v>660</v>
          </cell>
          <cell r="AM451">
            <v>330</v>
          </cell>
          <cell r="AN451">
            <v>0</v>
          </cell>
          <cell r="AO451">
            <v>330</v>
          </cell>
          <cell r="AP451">
            <v>0</v>
          </cell>
        </row>
        <row r="452">
          <cell r="AE452" t="str">
            <v>4.8.5</v>
          </cell>
          <cell r="AF452" t="str">
            <v>Conduire 16 séances de sensibilisations communautaires sur l'approche WASHINDI pour la transformation des normes sociales</v>
          </cell>
          <cell r="AI452">
            <v>1760</v>
          </cell>
          <cell r="AJ452">
            <v>0</v>
          </cell>
          <cell r="AK452">
            <v>0</v>
          </cell>
          <cell r="AL452">
            <v>1760</v>
          </cell>
          <cell r="AM452">
            <v>880</v>
          </cell>
          <cell r="AN452">
            <v>0</v>
          </cell>
          <cell r="AO452">
            <v>880</v>
          </cell>
          <cell r="AP452">
            <v>0</v>
          </cell>
        </row>
        <row r="453">
          <cell r="AE453">
            <v>1</v>
          </cell>
          <cell r="AF453" t="str">
            <v xml:space="preserve">Casse croute des participants </v>
          </cell>
          <cell r="AG453">
            <v>1</v>
          </cell>
          <cell r="AH453">
            <v>0</v>
          </cell>
          <cell r="AI453">
            <v>8</v>
          </cell>
          <cell r="AJ453">
            <v>0</v>
          </cell>
          <cell r="AK453">
            <v>0</v>
          </cell>
          <cell r="AL453">
            <v>8</v>
          </cell>
          <cell r="AM453">
            <v>320</v>
          </cell>
          <cell r="AN453">
            <v>0</v>
          </cell>
          <cell r="AO453">
            <v>320</v>
          </cell>
          <cell r="AP453">
            <v>0</v>
          </cell>
        </row>
        <row r="454">
          <cell r="AE454">
            <v>2</v>
          </cell>
          <cell r="AF454" t="str">
            <v xml:space="preserve">Location salle </v>
          </cell>
          <cell r="AG454">
            <v>1</v>
          </cell>
          <cell r="AH454">
            <v>0</v>
          </cell>
          <cell r="AI454">
            <v>800</v>
          </cell>
          <cell r="AJ454">
            <v>0</v>
          </cell>
          <cell r="AK454">
            <v>0</v>
          </cell>
          <cell r="AL454">
            <v>800</v>
          </cell>
          <cell r="AM454">
            <v>400</v>
          </cell>
          <cell r="AN454">
            <v>0</v>
          </cell>
          <cell r="AO454">
            <v>400</v>
          </cell>
          <cell r="AP454">
            <v>0</v>
          </cell>
        </row>
        <row r="455">
          <cell r="AE455">
            <v>3</v>
          </cell>
          <cell r="AF455" t="str">
            <v xml:space="preserve">Transport des facilitateurs </v>
          </cell>
          <cell r="AG455">
            <v>1</v>
          </cell>
          <cell r="AH455">
            <v>0</v>
          </cell>
          <cell r="AI455">
            <v>320</v>
          </cell>
          <cell r="AJ455">
            <v>0</v>
          </cell>
          <cell r="AK455">
            <v>0</v>
          </cell>
          <cell r="AL455">
            <v>320</v>
          </cell>
          <cell r="AM455">
            <v>160</v>
          </cell>
          <cell r="AN455">
            <v>0</v>
          </cell>
          <cell r="AO455">
            <v>160</v>
          </cell>
          <cell r="AP455">
            <v>0</v>
          </cell>
        </row>
        <row r="456">
          <cell r="AE456" t="str">
            <v>4.8.6</v>
          </cell>
          <cell r="AF456" t="str">
            <v>Identifier les participants et participantes aux groupes  de discussion et Mettre en place 16 groupes de discussions dont 8 pour les femmes et 8 pour les hommes</v>
          </cell>
          <cell r="AI456">
            <v>3200</v>
          </cell>
          <cell r="AJ456">
            <v>0</v>
          </cell>
          <cell r="AK456">
            <v>0</v>
          </cell>
          <cell r="AL456">
            <v>3200</v>
          </cell>
          <cell r="AM456">
            <v>1600</v>
          </cell>
          <cell r="AN456">
            <v>0</v>
          </cell>
          <cell r="AO456">
            <v>1600</v>
          </cell>
          <cell r="AP456">
            <v>0</v>
          </cell>
        </row>
        <row r="457">
          <cell r="AE457">
            <v>1</v>
          </cell>
          <cell r="AF457" t="str">
            <v xml:space="preserve">Transport des facilitateurs </v>
          </cell>
          <cell r="AG457">
            <v>1</v>
          </cell>
          <cell r="AH457">
            <v>0</v>
          </cell>
          <cell r="AI457">
            <v>8</v>
          </cell>
          <cell r="AJ457">
            <v>0</v>
          </cell>
          <cell r="AK457">
            <v>0</v>
          </cell>
          <cell r="AL457">
            <v>8</v>
          </cell>
          <cell r="AM457">
            <v>1600</v>
          </cell>
          <cell r="AN457">
            <v>0</v>
          </cell>
          <cell r="AO457">
            <v>1600</v>
          </cell>
          <cell r="AP457">
            <v>0</v>
          </cell>
        </row>
        <row r="458">
          <cell r="AE458" t="str">
            <v>4.8.7</v>
          </cell>
          <cell r="AF458" t="str">
            <v>Organiser 48 séances de discussion à travers les groupes des femmes</v>
          </cell>
          <cell r="AI458">
            <v>5760</v>
          </cell>
          <cell r="AJ458">
            <v>0</v>
          </cell>
          <cell r="AK458">
            <v>0</v>
          </cell>
          <cell r="AL458">
            <v>5760</v>
          </cell>
          <cell r="AM458">
            <v>2880</v>
          </cell>
          <cell r="AN458">
            <v>0</v>
          </cell>
          <cell r="AO458">
            <v>2880</v>
          </cell>
          <cell r="AP458">
            <v>0</v>
          </cell>
        </row>
        <row r="459">
          <cell r="AE459">
            <v>1</v>
          </cell>
          <cell r="AF459" t="str">
            <v>Casse croute des participants</v>
          </cell>
          <cell r="AG459">
            <v>1</v>
          </cell>
          <cell r="AH459">
            <v>0</v>
          </cell>
          <cell r="AI459">
            <v>8</v>
          </cell>
          <cell r="AJ459">
            <v>0</v>
          </cell>
          <cell r="AK459">
            <v>0</v>
          </cell>
          <cell r="AL459">
            <v>8</v>
          </cell>
          <cell r="AM459">
            <v>1440</v>
          </cell>
          <cell r="AN459">
            <v>0</v>
          </cell>
          <cell r="AO459">
            <v>1440</v>
          </cell>
          <cell r="AP459">
            <v>0</v>
          </cell>
        </row>
        <row r="460">
          <cell r="AE460">
            <v>2</v>
          </cell>
          <cell r="AF460" t="str">
            <v>Transport des facilitatrices</v>
          </cell>
          <cell r="AG460">
            <v>1</v>
          </cell>
          <cell r="AH460">
            <v>0</v>
          </cell>
          <cell r="AI460">
            <v>960</v>
          </cell>
          <cell r="AJ460">
            <v>0</v>
          </cell>
          <cell r="AK460">
            <v>0</v>
          </cell>
          <cell r="AL460">
            <v>960</v>
          </cell>
          <cell r="AM460">
            <v>480</v>
          </cell>
          <cell r="AN460">
            <v>0</v>
          </cell>
          <cell r="AO460">
            <v>480</v>
          </cell>
          <cell r="AP460">
            <v>0</v>
          </cell>
        </row>
        <row r="461">
          <cell r="AE461">
            <v>3</v>
          </cell>
          <cell r="AF461" t="str">
            <v>Frais de facilitation</v>
          </cell>
          <cell r="AG461">
            <v>1</v>
          </cell>
          <cell r="AH461">
            <v>0</v>
          </cell>
          <cell r="AI461">
            <v>1920</v>
          </cell>
          <cell r="AJ461">
            <v>0</v>
          </cell>
          <cell r="AK461">
            <v>0</v>
          </cell>
          <cell r="AL461">
            <v>1920</v>
          </cell>
          <cell r="AM461">
            <v>960</v>
          </cell>
          <cell r="AN461">
            <v>0</v>
          </cell>
          <cell r="AO461">
            <v>960</v>
          </cell>
          <cell r="AP461">
            <v>0</v>
          </cell>
        </row>
        <row r="462">
          <cell r="AE462" t="str">
            <v>4.8.8</v>
          </cell>
          <cell r="AF462" t="str">
            <v xml:space="preserve">Organiser 48  séances de discussion à travers les groupes des hommes </v>
          </cell>
          <cell r="AI462">
            <v>5760</v>
          </cell>
          <cell r="AJ462">
            <v>0</v>
          </cell>
          <cell r="AK462">
            <v>0</v>
          </cell>
          <cell r="AL462">
            <v>5760</v>
          </cell>
          <cell r="AM462">
            <v>2880</v>
          </cell>
          <cell r="AN462">
            <v>0</v>
          </cell>
          <cell r="AO462">
            <v>2880</v>
          </cell>
          <cell r="AP462">
            <v>0</v>
          </cell>
        </row>
        <row r="463">
          <cell r="AE463">
            <v>1</v>
          </cell>
          <cell r="AF463" t="str">
            <v>Casse croute des participants</v>
          </cell>
          <cell r="AG463">
            <v>1</v>
          </cell>
          <cell r="AH463">
            <v>0</v>
          </cell>
          <cell r="AI463">
            <v>8</v>
          </cell>
          <cell r="AJ463">
            <v>0</v>
          </cell>
          <cell r="AK463">
            <v>0</v>
          </cell>
          <cell r="AL463">
            <v>8</v>
          </cell>
          <cell r="AM463">
            <v>1440</v>
          </cell>
          <cell r="AN463">
            <v>0</v>
          </cell>
          <cell r="AO463">
            <v>1440</v>
          </cell>
          <cell r="AP463">
            <v>0</v>
          </cell>
        </row>
        <row r="464">
          <cell r="AE464">
            <v>2</v>
          </cell>
          <cell r="AF464" t="str">
            <v>Transport des facilitateurs</v>
          </cell>
          <cell r="AG464">
            <v>1</v>
          </cell>
          <cell r="AH464">
            <v>0</v>
          </cell>
          <cell r="AI464">
            <v>960</v>
          </cell>
          <cell r="AJ464">
            <v>0</v>
          </cell>
          <cell r="AK464">
            <v>0</v>
          </cell>
          <cell r="AL464">
            <v>960</v>
          </cell>
          <cell r="AM464">
            <v>480</v>
          </cell>
          <cell r="AN464">
            <v>0</v>
          </cell>
          <cell r="AO464">
            <v>480</v>
          </cell>
          <cell r="AP464">
            <v>0</v>
          </cell>
        </row>
        <row r="465">
          <cell r="AE465">
            <v>3</v>
          </cell>
          <cell r="AF465" t="str">
            <v>Frais de facilitation</v>
          </cell>
          <cell r="AG465">
            <v>1</v>
          </cell>
          <cell r="AH465">
            <v>0</v>
          </cell>
          <cell r="AI465">
            <v>1920</v>
          </cell>
          <cell r="AJ465">
            <v>0</v>
          </cell>
          <cell r="AK465">
            <v>0</v>
          </cell>
          <cell r="AL465">
            <v>1920</v>
          </cell>
          <cell r="AM465">
            <v>960</v>
          </cell>
          <cell r="AN465">
            <v>0</v>
          </cell>
          <cell r="AO465">
            <v>960</v>
          </cell>
          <cell r="AP465">
            <v>0</v>
          </cell>
        </row>
        <row r="466">
          <cell r="AE466" t="str">
            <v>4.8.9</v>
          </cell>
          <cell r="AF466" t="str">
            <v>Organiser 32 séances mixtes entre les groupes des femmes et des hommes</v>
          </cell>
          <cell r="AI466">
            <v>5760</v>
          </cell>
          <cell r="AJ466">
            <v>0</v>
          </cell>
          <cell r="AK466">
            <v>0</v>
          </cell>
          <cell r="AL466">
            <v>5760</v>
          </cell>
          <cell r="AM466">
            <v>2880</v>
          </cell>
          <cell r="AN466">
            <v>0</v>
          </cell>
          <cell r="AO466">
            <v>2880</v>
          </cell>
          <cell r="AP466">
            <v>0</v>
          </cell>
        </row>
        <row r="467">
          <cell r="AE467">
            <v>1</v>
          </cell>
          <cell r="AF467" t="str">
            <v>Casse croute des participants</v>
          </cell>
          <cell r="AG467">
            <v>1</v>
          </cell>
          <cell r="AH467">
            <v>0</v>
          </cell>
          <cell r="AI467">
            <v>8</v>
          </cell>
          <cell r="AJ467">
            <v>0</v>
          </cell>
          <cell r="AK467">
            <v>0</v>
          </cell>
          <cell r="AL467">
            <v>8</v>
          </cell>
          <cell r="AM467">
            <v>1440</v>
          </cell>
          <cell r="AN467">
            <v>0</v>
          </cell>
          <cell r="AO467">
            <v>1440</v>
          </cell>
          <cell r="AP467">
            <v>0</v>
          </cell>
        </row>
        <row r="468">
          <cell r="AE468">
            <v>2</v>
          </cell>
          <cell r="AF468" t="str">
            <v>Transport des facilitateurs/trices</v>
          </cell>
          <cell r="AG468">
            <v>1</v>
          </cell>
          <cell r="AH468">
            <v>0</v>
          </cell>
          <cell r="AI468">
            <v>960</v>
          </cell>
          <cell r="AJ468">
            <v>0</v>
          </cell>
          <cell r="AK468">
            <v>0</v>
          </cell>
          <cell r="AL468">
            <v>960</v>
          </cell>
          <cell r="AM468">
            <v>480</v>
          </cell>
          <cell r="AN468">
            <v>0</v>
          </cell>
          <cell r="AO468">
            <v>480</v>
          </cell>
          <cell r="AP468">
            <v>0</v>
          </cell>
        </row>
        <row r="469">
          <cell r="AE469">
            <v>3</v>
          </cell>
          <cell r="AF469" t="str">
            <v>Frais de facilitation</v>
          </cell>
          <cell r="AG469">
            <v>1</v>
          </cell>
          <cell r="AH469">
            <v>0</v>
          </cell>
          <cell r="AI469">
            <v>1920</v>
          </cell>
          <cell r="AJ469">
            <v>0</v>
          </cell>
          <cell r="AK469">
            <v>0</v>
          </cell>
          <cell r="AL469">
            <v>1920</v>
          </cell>
          <cell r="AM469">
            <v>960</v>
          </cell>
          <cell r="AN469">
            <v>0</v>
          </cell>
          <cell r="AO469">
            <v>960</v>
          </cell>
          <cell r="AP469">
            <v>0</v>
          </cell>
        </row>
        <row r="470">
          <cell r="AE470" t="str">
            <v>4.8.10</v>
          </cell>
          <cell r="AF470" t="str">
            <v>Appuyer  48 séances de discussion à travers les CPN, CPS</v>
          </cell>
          <cell r="AI470">
            <v>1920</v>
          </cell>
          <cell r="AJ470">
            <v>0</v>
          </cell>
          <cell r="AK470">
            <v>0</v>
          </cell>
          <cell r="AL470">
            <v>1920</v>
          </cell>
          <cell r="AM470">
            <v>960</v>
          </cell>
          <cell r="AN470">
            <v>0</v>
          </cell>
          <cell r="AO470">
            <v>960</v>
          </cell>
          <cell r="AP470">
            <v>0</v>
          </cell>
        </row>
        <row r="471">
          <cell r="AE471">
            <v>1</v>
          </cell>
          <cell r="AF471" t="str">
            <v xml:space="preserve">Transport des facilitateurs et facilitatrices </v>
          </cell>
          <cell r="AG471">
            <v>1</v>
          </cell>
          <cell r="AH471">
            <v>0</v>
          </cell>
          <cell r="AI471">
            <v>8</v>
          </cell>
          <cell r="AJ471">
            <v>0</v>
          </cell>
          <cell r="AK471">
            <v>0</v>
          </cell>
          <cell r="AL471">
            <v>8</v>
          </cell>
          <cell r="AM471">
            <v>960</v>
          </cell>
          <cell r="AN471">
            <v>0</v>
          </cell>
          <cell r="AO471">
            <v>960</v>
          </cell>
          <cell r="AP471">
            <v>0</v>
          </cell>
        </row>
        <row r="472">
          <cell r="AE472" t="str">
            <v>4.8.11</v>
          </cell>
          <cell r="AF472" t="str">
            <v>Organiser 8 ateliers de clôture des groupes de discussions communautaires/partage des témoignages de changement dans les relations hommes, femmes et socialisation des enfants filles et garçons dans les ménages bénéficiaires</v>
          </cell>
          <cell r="AI472">
            <v>18720</v>
          </cell>
          <cell r="AJ472">
            <v>0</v>
          </cell>
          <cell r="AK472">
            <v>0</v>
          </cell>
          <cell r="AL472">
            <v>18720</v>
          </cell>
          <cell r="AM472">
            <v>9360</v>
          </cell>
          <cell r="AN472">
            <v>0</v>
          </cell>
          <cell r="AO472">
            <v>9360</v>
          </cell>
          <cell r="AP472">
            <v>0</v>
          </cell>
        </row>
        <row r="473">
          <cell r="AE473">
            <v>1</v>
          </cell>
          <cell r="AF473" t="str">
            <v xml:space="preserve">Location salle </v>
          </cell>
          <cell r="AG473">
            <v>1</v>
          </cell>
          <cell r="AH473">
            <v>0</v>
          </cell>
          <cell r="AI473">
            <v>8</v>
          </cell>
          <cell r="AJ473">
            <v>0</v>
          </cell>
          <cell r="AK473">
            <v>0</v>
          </cell>
          <cell r="AL473">
            <v>8</v>
          </cell>
          <cell r="AM473">
            <v>400</v>
          </cell>
          <cell r="AN473">
            <v>0</v>
          </cell>
          <cell r="AO473">
            <v>400</v>
          </cell>
          <cell r="AP473">
            <v>0</v>
          </cell>
        </row>
        <row r="474">
          <cell r="AE474">
            <v>2</v>
          </cell>
          <cell r="AF474" t="str">
            <v xml:space="preserve">Casse croute des participants </v>
          </cell>
          <cell r="AG474">
            <v>1</v>
          </cell>
          <cell r="AH474">
            <v>0</v>
          </cell>
          <cell r="AI474">
            <v>1600</v>
          </cell>
          <cell r="AJ474">
            <v>0</v>
          </cell>
          <cell r="AK474">
            <v>0</v>
          </cell>
          <cell r="AL474">
            <v>1600</v>
          </cell>
          <cell r="AM474">
            <v>800</v>
          </cell>
          <cell r="AN474">
            <v>0</v>
          </cell>
          <cell r="AO474">
            <v>800</v>
          </cell>
          <cell r="AP474">
            <v>0</v>
          </cell>
        </row>
        <row r="475">
          <cell r="AE475">
            <v>3</v>
          </cell>
          <cell r="AF475" t="str">
            <v xml:space="preserve">Sonorisation </v>
          </cell>
          <cell r="AG475">
            <v>1</v>
          </cell>
          <cell r="AH475">
            <v>0</v>
          </cell>
          <cell r="AI475">
            <v>1280</v>
          </cell>
          <cell r="AJ475">
            <v>0</v>
          </cell>
          <cell r="AK475">
            <v>0</v>
          </cell>
          <cell r="AL475">
            <v>1280</v>
          </cell>
          <cell r="AM475">
            <v>640</v>
          </cell>
          <cell r="AN475">
            <v>0</v>
          </cell>
          <cell r="AO475">
            <v>640</v>
          </cell>
          <cell r="AP475">
            <v>0</v>
          </cell>
        </row>
        <row r="476">
          <cell r="AE476">
            <v>4</v>
          </cell>
          <cell r="AF476" t="str">
            <v xml:space="preserve">Transport des autorités locales </v>
          </cell>
          <cell r="AG476">
            <v>1</v>
          </cell>
          <cell r="AH476">
            <v>0</v>
          </cell>
          <cell r="AI476">
            <v>8</v>
          </cell>
          <cell r="AJ476">
            <v>0</v>
          </cell>
          <cell r="AK476">
            <v>0</v>
          </cell>
          <cell r="AL476">
            <v>8</v>
          </cell>
          <cell r="AM476">
            <v>800</v>
          </cell>
          <cell r="AN476">
            <v>0</v>
          </cell>
          <cell r="AO476">
            <v>800</v>
          </cell>
          <cell r="AP476">
            <v>0</v>
          </cell>
        </row>
        <row r="477">
          <cell r="AE477">
            <v>5</v>
          </cell>
          <cell r="AF477" t="str">
            <v>Communication</v>
          </cell>
          <cell r="AG477">
            <v>1</v>
          </cell>
          <cell r="AH477">
            <v>0</v>
          </cell>
          <cell r="AI477">
            <v>160</v>
          </cell>
          <cell r="AJ477">
            <v>0</v>
          </cell>
          <cell r="AK477">
            <v>0</v>
          </cell>
          <cell r="AL477">
            <v>160</v>
          </cell>
          <cell r="AM477">
            <v>80</v>
          </cell>
          <cell r="AN477">
            <v>0</v>
          </cell>
          <cell r="AO477">
            <v>80</v>
          </cell>
          <cell r="AP477">
            <v>0</v>
          </cell>
        </row>
        <row r="478">
          <cell r="AE478">
            <v>6</v>
          </cell>
          <cell r="AF478" t="str">
            <v xml:space="preserve">Distribution des invitations </v>
          </cell>
          <cell r="AG478">
            <v>1</v>
          </cell>
          <cell r="AH478">
            <v>0</v>
          </cell>
          <cell r="AI478">
            <v>480</v>
          </cell>
          <cell r="AJ478">
            <v>0</v>
          </cell>
          <cell r="AK478">
            <v>0</v>
          </cell>
          <cell r="AL478">
            <v>480</v>
          </cell>
          <cell r="AM478">
            <v>240</v>
          </cell>
          <cell r="AN478">
            <v>0</v>
          </cell>
          <cell r="AO478">
            <v>240</v>
          </cell>
          <cell r="AP478">
            <v>0</v>
          </cell>
        </row>
        <row r="479">
          <cell r="AE479">
            <v>7</v>
          </cell>
          <cell r="AF479" t="str">
            <v>Production des t-shirts pour les participants</v>
          </cell>
          <cell r="AG479">
            <v>1</v>
          </cell>
          <cell r="AH479">
            <v>0</v>
          </cell>
          <cell r="AI479">
            <v>5600</v>
          </cell>
          <cell r="AJ479">
            <v>0</v>
          </cell>
          <cell r="AK479">
            <v>0</v>
          </cell>
          <cell r="AL479">
            <v>5600</v>
          </cell>
          <cell r="AM479">
            <v>2800</v>
          </cell>
          <cell r="AN479">
            <v>0</v>
          </cell>
          <cell r="AO479">
            <v>2800</v>
          </cell>
          <cell r="AP479">
            <v>0</v>
          </cell>
        </row>
        <row r="480">
          <cell r="AE480">
            <v>8</v>
          </cell>
          <cell r="AF480" t="str">
            <v xml:space="preserve">Kits pour  les champions  et championnes </v>
          </cell>
          <cell r="AG480">
            <v>1</v>
          </cell>
          <cell r="AH480">
            <v>0</v>
          </cell>
          <cell r="AI480">
            <v>7200</v>
          </cell>
          <cell r="AJ480">
            <v>0</v>
          </cell>
          <cell r="AK480">
            <v>0</v>
          </cell>
          <cell r="AL480">
            <v>7200</v>
          </cell>
          <cell r="AM480">
            <v>3600</v>
          </cell>
          <cell r="AN480">
            <v>0</v>
          </cell>
          <cell r="AO480">
            <v>3600</v>
          </cell>
          <cell r="AP480">
            <v>0</v>
          </cell>
        </row>
        <row r="481">
          <cell r="AE481" t="str">
            <v>4.8.12</v>
          </cell>
          <cell r="AF481" t="str">
            <v>Suivi, évaluation et Apprentissage de l'approche Washindi</v>
          </cell>
          <cell r="AI481">
            <v>7100</v>
          </cell>
          <cell r="AJ481">
            <v>0</v>
          </cell>
          <cell r="AK481">
            <v>0</v>
          </cell>
          <cell r="AL481">
            <v>7100</v>
          </cell>
          <cell r="AM481">
            <v>3550</v>
          </cell>
          <cell r="AN481">
            <v>0</v>
          </cell>
          <cell r="AO481">
            <v>3550</v>
          </cell>
          <cell r="AP481">
            <v>0</v>
          </cell>
        </row>
        <row r="482">
          <cell r="AE482">
            <v>1</v>
          </cell>
          <cell r="AF482" t="str">
            <v xml:space="preserve">Transport des participants lors réunions d'apprentissage  coordination </v>
          </cell>
          <cell r="AG482">
            <v>1</v>
          </cell>
          <cell r="AH482">
            <v>0</v>
          </cell>
          <cell r="AI482">
            <v>8</v>
          </cell>
          <cell r="AJ482">
            <v>0</v>
          </cell>
          <cell r="AK482">
            <v>0</v>
          </cell>
          <cell r="AL482">
            <v>8</v>
          </cell>
          <cell r="AM482">
            <v>160</v>
          </cell>
          <cell r="AN482">
            <v>0</v>
          </cell>
          <cell r="AO482">
            <v>160</v>
          </cell>
          <cell r="AP482">
            <v>0</v>
          </cell>
        </row>
        <row r="483">
          <cell r="AE483">
            <v>2</v>
          </cell>
          <cell r="AF483" t="str">
            <v xml:space="preserve">Eau pour les participants lors réuions d'apprentissage  coordination </v>
          </cell>
          <cell r="AG483">
            <v>1</v>
          </cell>
          <cell r="AH483">
            <v>0</v>
          </cell>
          <cell r="AI483">
            <v>80</v>
          </cell>
          <cell r="AJ483">
            <v>0</v>
          </cell>
          <cell r="AK483">
            <v>0</v>
          </cell>
          <cell r="AL483">
            <v>80</v>
          </cell>
          <cell r="AM483">
            <v>40</v>
          </cell>
          <cell r="AN483">
            <v>0</v>
          </cell>
          <cell r="AO483">
            <v>40</v>
          </cell>
          <cell r="AP483">
            <v>0</v>
          </cell>
        </row>
        <row r="484">
          <cell r="AE484">
            <v>3</v>
          </cell>
          <cell r="AF484" t="str">
            <v xml:space="preserve">Transport des participants sessions d'apprentissage  communautaire </v>
          </cell>
          <cell r="AG484">
            <v>1</v>
          </cell>
          <cell r="AH484">
            <v>0</v>
          </cell>
          <cell r="AI484">
            <v>1280</v>
          </cell>
          <cell r="AJ484">
            <v>0</v>
          </cell>
          <cell r="AK484">
            <v>0</v>
          </cell>
          <cell r="AL484">
            <v>1280</v>
          </cell>
          <cell r="AM484">
            <v>640</v>
          </cell>
          <cell r="AN484">
            <v>0</v>
          </cell>
          <cell r="AO484">
            <v>640</v>
          </cell>
          <cell r="AP484">
            <v>0</v>
          </cell>
        </row>
        <row r="485">
          <cell r="AE485">
            <v>4</v>
          </cell>
          <cell r="AF485" t="str">
            <v xml:space="preserve">Monitoring communautaire </v>
          </cell>
          <cell r="AG485">
            <v>1</v>
          </cell>
          <cell r="AH485">
            <v>0</v>
          </cell>
          <cell r="AI485">
            <v>8</v>
          </cell>
          <cell r="AJ485">
            <v>0</v>
          </cell>
          <cell r="AK485">
            <v>0</v>
          </cell>
          <cell r="AL485">
            <v>8</v>
          </cell>
          <cell r="AM485">
            <v>1280</v>
          </cell>
          <cell r="AN485">
            <v>0</v>
          </cell>
          <cell r="AO485">
            <v>1280</v>
          </cell>
          <cell r="AP485">
            <v>0</v>
          </cell>
        </row>
        <row r="486">
          <cell r="AE486">
            <v>5</v>
          </cell>
          <cell r="AF486" t="str">
            <v xml:space="preserve">Perdiem équipe pour les missions de suivi et évaluation </v>
          </cell>
          <cell r="AG486">
            <v>1</v>
          </cell>
          <cell r="AH486">
            <v>0</v>
          </cell>
          <cell r="AI486">
            <v>1980</v>
          </cell>
          <cell r="AJ486">
            <v>0</v>
          </cell>
          <cell r="AK486">
            <v>0</v>
          </cell>
          <cell r="AL486">
            <v>1980</v>
          </cell>
          <cell r="AM486">
            <v>990</v>
          </cell>
          <cell r="AN486">
            <v>0</v>
          </cell>
          <cell r="AO486">
            <v>990</v>
          </cell>
          <cell r="AP486">
            <v>0</v>
          </cell>
        </row>
        <row r="487">
          <cell r="AE487">
            <v>6</v>
          </cell>
          <cell r="AF487" t="str">
            <v xml:space="preserve">Perdiem pour la collecte des données pour la production du Learning brief </v>
          </cell>
          <cell r="AG487">
            <v>1</v>
          </cell>
          <cell r="AH487">
            <v>0</v>
          </cell>
          <cell r="AI487">
            <v>880</v>
          </cell>
          <cell r="AJ487">
            <v>0</v>
          </cell>
          <cell r="AK487">
            <v>0</v>
          </cell>
          <cell r="AL487">
            <v>880</v>
          </cell>
          <cell r="AM487">
            <v>440</v>
          </cell>
          <cell r="AN487">
            <v>0</v>
          </cell>
          <cell r="AO487">
            <v>440</v>
          </cell>
          <cell r="AP487">
            <v>0</v>
          </cell>
        </row>
        <row r="488">
          <cell r="AE488" t="str">
            <v>4.8.13</v>
          </cell>
          <cell r="AF488" t="str">
            <v>Staff direct pour la mise en place de l'approche Washindi</v>
          </cell>
          <cell r="AI488">
            <v>30600</v>
          </cell>
          <cell r="AJ488">
            <v>0</v>
          </cell>
          <cell r="AK488">
            <v>0</v>
          </cell>
          <cell r="AL488">
            <v>30600</v>
          </cell>
          <cell r="AM488">
            <v>15300</v>
          </cell>
          <cell r="AN488">
            <v>0</v>
          </cell>
          <cell r="AO488">
            <v>15300</v>
          </cell>
          <cell r="AP488">
            <v>0</v>
          </cell>
        </row>
        <row r="489">
          <cell r="AE489">
            <v>1</v>
          </cell>
          <cell r="AF489" t="str">
            <v>Chargé de projet (100%)</v>
          </cell>
          <cell r="AG489">
            <v>1</v>
          </cell>
          <cell r="AH489">
            <v>0</v>
          </cell>
          <cell r="AI489">
            <v>8</v>
          </cell>
          <cell r="AJ489">
            <v>0</v>
          </cell>
          <cell r="AK489">
            <v>0</v>
          </cell>
          <cell r="AL489">
            <v>8</v>
          </cell>
          <cell r="AM489">
            <v>7200</v>
          </cell>
          <cell r="AN489">
            <v>0</v>
          </cell>
          <cell r="AO489">
            <v>7200</v>
          </cell>
          <cell r="AP489">
            <v>0</v>
          </cell>
        </row>
        <row r="490">
          <cell r="AE490">
            <v>2</v>
          </cell>
          <cell r="AF490" t="str">
            <v>Superviseurs terrain (100%)</v>
          </cell>
          <cell r="AG490">
            <v>1</v>
          </cell>
          <cell r="AH490">
            <v>0</v>
          </cell>
          <cell r="AI490">
            <v>16200</v>
          </cell>
          <cell r="AJ490">
            <v>0</v>
          </cell>
          <cell r="AK490">
            <v>0</v>
          </cell>
          <cell r="AL490">
            <v>16200</v>
          </cell>
          <cell r="AM490">
            <v>8100</v>
          </cell>
          <cell r="AN490">
            <v>0</v>
          </cell>
          <cell r="AO490">
            <v>8100</v>
          </cell>
          <cell r="AP490">
            <v>0</v>
          </cell>
        </row>
        <row r="491">
          <cell r="AE491" t="str">
            <v>Plateforme 5</v>
          </cell>
          <cell r="AF491" t="str">
            <v>INSTITUTIONS DE GOUVERNANCE</v>
          </cell>
          <cell r="AG491">
            <v>0.99893399470226696</v>
          </cell>
          <cell r="AH491">
            <v>1.0660052977330837E-3</v>
          </cell>
          <cell r="AI491">
            <v>618661.30000000005</v>
          </cell>
          <cell r="AJ491">
            <v>0</v>
          </cell>
          <cell r="AK491">
            <v>660.2</v>
          </cell>
          <cell r="AL491">
            <v>619321.5</v>
          </cell>
          <cell r="AM491">
            <v>203360.9</v>
          </cell>
          <cell r="AN491">
            <v>0</v>
          </cell>
          <cell r="AO491">
            <v>415300.4</v>
          </cell>
          <cell r="AP491">
            <v>0</v>
          </cell>
        </row>
        <row r="492">
          <cell r="AE492" t="str">
            <v>Activité 5.1.1</v>
          </cell>
          <cell r="AF492" t="str">
            <v>Renforcer la participation et l’engagement des Autorités Politico-Administratives-APA (Chef des villages/chef adjoints) et influenceurs/leaders des groupes spécifiques dans la mise en œuvre de la dynamique communautaire (CAC, CODEV ET CEC) dans les villages ciblés dans les Zones de santé de NYIRAGONGO et RWANGUBA</v>
          </cell>
          <cell r="AG492">
            <v>1</v>
          </cell>
          <cell r="AH492">
            <v>0</v>
          </cell>
          <cell r="AI492">
            <v>15265.5</v>
          </cell>
          <cell r="AJ492">
            <v>0</v>
          </cell>
          <cell r="AK492">
            <v>0</v>
          </cell>
          <cell r="AL492">
            <v>15265.5</v>
          </cell>
          <cell r="AM492">
            <v>5690.5</v>
          </cell>
          <cell r="AN492">
            <v>0</v>
          </cell>
          <cell r="AO492">
            <v>9575</v>
          </cell>
          <cell r="AP492">
            <v>0</v>
          </cell>
        </row>
        <row r="493">
          <cell r="AE493">
            <v>1</v>
          </cell>
          <cell r="AF493" t="str">
            <v>Pause café à Nyiragongoet à Rwanguba</v>
          </cell>
          <cell r="AG493">
            <v>1</v>
          </cell>
          <cell r="AH493">
            <v>0</v>
          </cell>
          <cell r="AI493">
            <v>1908</v>
          </cell>
          <cell r="AJ493">
            <v>0</v>
          </cell>
          <cell r="AK493">
            <v>0</v>
          </cell>
          <cell r="AL493">
            <v>1908</v>
          </cell>
          <cell r="AM493">
            <v>708</v>
          </cell>
          <cell r="AN493">
            <v>0</v>
          </cell>
          <cell r="AO493">
            <v>1200</v>
          </cell>
          <cell r="AP493">
            <v>0</v>
          </cell>
        </row>
        <row r="494">
          <cell r="AE494">
            <v>2</v>
          </cell>
          <cell r="AF494" t="str">
            <v>Pause repas à Nyiragongo et à Rwanguba</v>
          </cell>
          <cell r="AG494">
            <v>1</v>
          </cell>
          <cell r="AH494">
            <v>0</v>
          </cell>
          <cell r="AI494">
            <v>4770</v>
          </cell>
          <cell r="AJ494">
            <v>0</v>
          </cell>
          <cell r="AK494">
            <v>0</v>
          </cell>
          <cell r="AL494">
            <v>4770</v>
          </cell>
          <cell r="AM494">
            <v>1770</v>
          </cell>
          <cell r="AN494">
            <v>0</v>
          </cell>
          <cell r="AO494">
            <v>3000</v>
          </cell>
          <cell r="AP494">
            <v>0</v>
          </cell>
        </row>
        <row r="495">
          <cell r="AE495">
            <v>3</v>
          </cell>
          <cell r="AF495" t="str">
            <v xml:space="preserve">Location salle </v>
          </cell>
          <cell r="AG495">
            <v>1</v>
          </cell>
          <cell r="AH495">
            <v>0</v>
          </cell>
          <cell r="AI495">
            <v>2100</v>
          </cell>
          <cell r="AJ495">
            <v>0</v>
          </cell>
          <cell r="AK495">
            <v>0</v>
          </cell>
          <cell r="AL495">
            <v>2100</v>
          </cell>
          <cell r="AM495">
            <v>800</v>
          </cell>
          <cell r="AN495">
            <v>0</v>
          </cell>
          <cell r="AO495">
            <v>1300</v>
          </cell>
          <cell r="AP495">
            <v>0</v>
          </cell>
        </row>
        <row r="496">
          <cell r="AE496">
            <v>4</v>
          </cell>
          <cell r="AF496" t="str">
            <v>Frais de transport des participants à Nyiragongo et Rwanguba</v>
          </cell>
          <cell r="AG496">
            <v>1</v>
          </cell>
          <cell r="AH496">
            <v>0</v>
          </cell>
          <cell r="AI496">
            <v>4350</v>
          </cell>
          <cell r="AJ496">
            <v>0</v>
          </cell>
          <cell r="AK496">
            <v>0</v>
          </cell>
          <cell r="AL496">
            <v>4350</v>
          </cell>
          <cell r="AM496">
            <v>1610</v>
          </cell>
          <cell r="AN496">
            <v>0</v>
          </cell>
          <cell r="AO496">
            <v>2740</v>
          </cell>
          <cell r="AP496">
            <v>0</v>
          </cell>
        </row>
        <row r="497">
          <cell r="AE497">
            <v>5</v>
          </cell>
          <cell r="AF497" t="str">
            <v>Frais de facilitation</v>
          </cell>
          <cell r="AG497">
            <v>1</v>
          </cell>
          <cell r="AH497">
            <v>0</v>
          </cell>
          <cell r="AI497">
            <v>1050</v>
          </cell>
          <cell r="AJ497">
            <v>0</v>
          </cell>
          <cell r="AK497">
            <v>0</v>
          </cell>
          <cell r="AL497">
            <v>1050</v>
          </cell>
          <cell r="AM497">
            <v>400</v>
          </cell>
          <cell r="AN497">
            <v>0</v>
          </cell>
          <cell r="AO497">
            <v>650</v>
          </cell>
          <cell r="AP497">
            <v>0</v>
          </cell>
        </row>
        <row r="498">
          <cell r="AE498">
            <v>6</v>
          </cell>
          <cell r="AF498" t="str">
            <v>Fournitures (Kit -Stylos et blocs notes)</v>
          </cell>
          <cell r="AG498">
            <v>1</v>
          </cell>
          <cell r="AH498">
            <v>0</v>
          </cell>
          <cell r="AI498">
            <v>1087.5</v>
          </cell>
          <cell r="AJ498">
            <v>0</v>
          </cell>
          <cell r="AK498">
            <v>0</v>
          </cell>
          <cell r="AL498">
            <v>1087.5</v>
          </cell>
          <cell r="AM498">
            <v>402.5</v>
          </cell>
          <cell r="AN498">
            <v>0</v>
          </cell>
          <cell r="AO498">
            <v>685</v>
          </cell>
          <cell r="AP498">
            <v>0</v>
          </cell>
        </row>
        <row r="499">
          <cell r="AE499" t="str">
            <v>Activité 5.1.2</v>
          </cell>
          <cell r="AF499" t="str">
            <v>Formation des leaders locaux (LC) sur la bonne gestion de la durabilité des ouvrages hydrauliques et sanitaires</v>
          </cell>
          <cell r="AG499">
            <v>1</v>
          </cell>
          <cell r="AH499">
            <v>0</v>
          </cell>
          <cell r="AI499">
            <v>53128</v>
          </cell>
          <cell r="AJ499">
            <v>0</v>
          </cell>
          <cell r="AK499">
            <v>0</v>
          </cell>
          <cell r="AL499">
            <v>53128</v>
          </cell>
          <cell r="AM499">
            <v>26564</v>
          </cell>
          <cell r="AN499">
            <v>0</v>
          </cell>
          <cell r="AO499">
            <v>26564</v>
          </cell>
          <cell r="AP499">
            <v>0</v>
          </cell>
        </row>
        <row r="500">
          <cell r="AE500">
            <v>1</v>
          </cell>
          <cell r="AF500" t="str">
            <v>Pause café à Nyiragongo et à Rwanguba</v>
          </cell>
          <cell r="AG500">
            <v>1</v>
          </cell>
          <cell r="AH500">
            <v>0</v>
          </cell>
          <cell r="AI500">
            <v>2048</v>
          </cell>
          <cell r="AJ500">
            <v>0</v>
          </cell>
          <cell r="AK500">
            <v>0</v>
          </cell>
          <cell r="AL500">
            <v>2048</v>
          </cell>
          <cell r="AM500">
            <v>1024</v>
          </cell>
          <cell r="AN500">
            <v>0</v>
          </cell>
          <cell r="AO500">
            <v>1024</v>
          </cell>
          <cell r="AP500">
            <v>0</v>
          </cell>
        </row>
        <row r="501">
          <cell r="AE501">
            <v>2</v>
          </cell>
          <cell r="AF501" t="str">
            <v>Pause repas à Nyiragongo et à Rwanguba</v>
          </cell>
          <cell r="AG501">
            <v>1</v>
          </cell>
          <cell r="AH501">
            <v>0</v>
          </cell>
          <cell r="AI501">
            <v>5120</v>
          </cell>
          <cell r="AJ501">
            <v>0</v>
          </cell>
          <cell r="AK501">
            <v>0</v>
          </cell>
          <cell r="AL501">
            <v>5120</v>
          </cell>
          <cell r="AM501">
            <v>2560</v>
          </cell>
          <cell r="AN501">
            <v>0</v>
          </cell>
          <cell r="AO501">
            <v>2560</v>
          </cell>
          <cell r="AP501">
            <v>0</v>
          </cell>
        </row>
        <row r="502">
          <cell r="AE502">
            <v>3</v>
          </cell>
          <cell r="AF502" t="str">
            <v>Frais de facilitation</v>
          </cell>
          <cell r="AG502">
            <v>1</v>
          </cell>
          <cell r="AH502">
            <v>0</v>
          </cell>
          <cell r="AI502">
            <v>1200</v>
          </cell>
          <cell r="AJ502">
            <v>0</v>
          </cell>
          <cell r="AK502">
            <v>0</v>
          </cell>
          <cell r="AL502">
            <v>1200</v>
          </cell>
          <cell r="AM502">
            <v>600</v>
          </cell>
          <cell r="AN502">
            <v>0</v>
          </cell>
          <cell r="AO502">
            <v>600</v>
          </cell>
          <cell r="AP502">
            <v>0</v>
          </cell>
        </row>
        <row r="503">
          <cell r="AE503">
            <v>4</v>
          </cell>
          <cell r="AF503" t="str">
            <v xml:space="preserve">Location salle </v>
          </cell>
          <cell r="AG503">
            <v>1</v>
          </cell>
          <cell r="AH503">
            <v>0</v>
          </cell>
          <cell r="AI503">
            <v>2400</v>
          </cell>
          <cell r="AJ503">
            <v>0</v>
          </cell>
          <cell r="AK503">
            <v>0</v>
          </cell>
          <cell r="AL503">
            <v>2400</v>
          </cell>
          <cell r="AM503">
            <v>1200</v>
          </cell>
          <cell r="AN503">
            <v>0</v>
          </cell>
          <cell r="AO503">
            <v>1200</v>
          </cell>
          <cell r="AP503">
            <v>0</v>
          </cell>
        </row>
        <row r="504">
          <cell r="AE504">
            <v>5</v>
          </cell>
          <cell r="AF504" t="str">
            <v>Frais de transport des participants à Nyiragongo et Rwanguba</v>
          </cell>
          <cell r="AG504">
            <v>1</v>
          </cell>
          <cell r="AH504">
            <v>0</v>
          </cell>
          <cell r="AI504">
            <v>4800</v>
          </cell>
          <cell r="AJ504">
            <v>0</v>
          </cell>
          <cell r="AK504">
            <v>0</v>
          </cell>
          <cell r="AL504">
            <v>4800</v>
          </cell>
          <cell r="AM504">
            <v>2400</v>
          </cell>
          <cell r="AN504">
            <v>0</v>
          </cell>
          <cell r="AO504">
            <v>2400</v>
          </cell>
          <cell r="AP504">
            <v>0</v>
          </cell>
        </row>
        <row r="505">
          <cell r="AE505">
            <v>6</v>
          </cell>
          <cell r="AF505" t="str">
            <v>Fournitures (Kit -Stylos et blocs notes)</v>
          </cell>
          <cell r="AG505">
            <v>1</v>
          </cell>
          <cell r="AH505">
            <v>0</v>
          </cell>
          <cell r="AI505">
            <v>600</v>
          </cell>
          <cell r="AJ505">
            <v>0</v>
          </cell>
          <cell r="AK505">
            <v>0</v>
          </cell>
          <cell r="AL505">
            <v>600</v>
          </cell>
          <cell r="AM505">
            <v>300</v>
          </cell>
          <cell r="AN505">
            <v>0</v>
          </cell>
          <cell r="AO505">
            <v>300</v>
          </cell>
          <cell r="AP505">
            <v>0</v>
          </cell>
        </row>
        <row r="506">
          <cell r="AE506">
            <v>7</v>
          </cell>
          <cell r="AF506" t="str">
            <v>Prime des facilitateurs locaux pour 22 jours d'accompagnement dans la prospection des ouvrages hydrauliques.</v>
          </cell>
          <cell r="AG506">
            <v>1</v>
          </cell>
          <cell r="AH506">
            <v>0</v>
          </cell>
          <cell r="AI506">
            <v>36960</v>
          </cell>
          <cell r="AJ506">
            <v>0</v>
          </cell>
          <cell r="AK506">
            <v>0</v>
          </cell>
          <cell r="AL506">
            <v>36960</v>
          </cell>
          <cell r="AM506">
            <v>18480</v>
          </cell>
          <cell r="AN506">
            <v>0</v>
          </cell>
          <cell r="AO506">
            <v>18480</v>
          </cell>
          <cell r="AP506">
            <v>0</v>
          </cell>
        </row>
        <row r="507">
          <cell r="AE507" t="str">
            <v>Activité 5.2.1</v>
          </cell>
          <cell r="AF507" t="str">
            <v>Contribuer à la formation des (ECZ, IT/ITA….) sur la NAC</v>
          </cell>
          <cell r="AG507">
            <v>0.9</v>
          </cell>
          <cell r="AH507">
            <v>9.9999999999999992E-2</v>
          </cell>
          <cell r="AI507">
            <v>3714.3</v>
          </cell>
          <cell r="AJ507">
            <v>0</v>
          </cell>
          <cell r="AK507">
            <v>412.7</v>
          </cell>
          <cell r="AL507">
            <v>4127</v>
          </cell>
          <cell r="AM507">
            <v>1857.15</v>
          </cell>
          <cell r="AN507">
            <v>0</v>
          </cell>
          <cell r="AO507">
            <v>1857.15</v>
          </cell>
          <cell r="AP507">
            <v>0</v>
          </cell>
        </row>
        <row r="508">
          <cell r="AE508">
            <v>1</v>
          </cell>
          <cell r="AF508" t="str">
            <v xml:space="preserve">Pause café (12personnes de ECZ, 30 IT/ITA,  2 personnes Pronanut, 2 personnes WV et 2 personnes de REMED) </v>
          </cell>
          <cell r="AG508">
            <v>0.9</v>
          </cell>
          <cell r="AH508">
            <v>0.1</v>
          </cell>
          <cell r="AI508">
            <v>352.8</v>
          </cell>
          <cell r="AJ508">
            <v>0</v>
          </cell>
          <cell r="AK508">
            <v>39.200000000000003</v>
          </cell>
          <cell r="AL508">
            <v>392</v>
          </cell>
          <cell r="AM508">
            <v>176.4</v>
          </cell>
          <cell r="AN508">
            <v>0</v>
          </cell>
          <cell r="AO508">
            <v>176.4</v>
          </cell>
          <cell r="AP508">
            <v>0</v>
          </cell>
        </row>
        <row r="509">
          <cell r="AE509">
            <v>2</v>
          </cell>
          <cell r="AF509" t="str">
            <v xml:space="preserve">Pause repas (12personnes de ECZ, 30 IT/ITA,  2 personnes WV et 2 personnes de REMED) </v>
          </cell>
          <cell r="AG509">
            <v>0.9</v>
          </cell>
          <cell r="AH509">
            <v>0.1</v>
          </cell>
          <cell r="AI509">
            <v>882</v>
          </cell>
          <cell r="AJ509">
            <v>0</v>
          </cell>
          <cell r="AK509">
            <v>98</v>
          </cell>
          <cell r="AL509">
            <v>980</v>
          </cell>
          <cell r="AM509">
            <v>441</v>
          </cell>
          <cell r="AN509">
            <v>0</v>
          </cell>
          <cell r="AO509">
            <v>441</v>
          </cell>
          <cell r="AP509">
            <v>0</v>
          </cell>
        </row>
        <row r="510">
          <cell r="AE510">
            <v>3</v>
          </cell>
          <cell r="AF510" t="str">
            <v>Location salle</v>
          </cell>
          <cell r="AG510">
            <v>0.9</v>
          </cell>
          <cell r="AH510">
            <v>0.1</v>
          </cell>
          <cell r="AI510">
            <v>360</v>
          </cell>
          <cell r="AJ510">
            <v>0</v>
          </cell>
          <cell r="AK510">
            <v>40</v>
          </cell>
          <cell r="AL510">
            <v>400</v>
          </cell>
          <cell r="AM510">
            <v>180</v>
          </cell>
          <cell r="AN510">
            <v>0</v>
          </cell>
          <cell r="AO510">
            <v>180</v>
          </cell>
          <cell r="AP510">
            <v>0</v>
          </cell>
        </row>
        <row r="511">
          <cell r="AE511">
            <v>4</v>
          </cell>
          <cell r="AF511" t="str">
            <v>Transport des participants</v>
          </cell>
          <cell r="AG511">
            <v>0.9</v>
          </cell>
          <cell r="AH511">
            <v>0.1</v>
          </cell>
          <cell r="AI511">
            <v>774</v>
          </cell>
          <cell r="AJ511">
            <v>0</v>
          </cell>
          <cell r="AK511">
            <v>86</v>
          </cell>
          <cell r="AL511">
            <v>860</v>
          </cell>
          <cell r="AM511">
            <v>387</v>
          </cell>
          <cell r="AN511">
            <v>0</v>
          </cell>
          <cell r="AO511">
            <v>387</v>
          </cell>
          <cell r="AP511">
            <v>0</v>
          </cell>
        </row>
        <row r="512">
          <cell r="AE512">
            <v>5</v>
          </cell>
          <cell r="AF512" t="str">
            <v>Emolument formateurs du Pronanut</v>
          </cell>
          <cell r="AG512">
            <v>0.9</v>
          </cell>
          <cell r="AH512">
            <v>0.1</v>
          </cell>
          <cell r="AI512">
            <v>180</v>
          </cell>
          <cell r="AJ512">
            <v>0</v>
          </cell>
          <cell r="AK512">
            <v>20</v>
          </cell>
          <cell r="AL512">
            <v>200</v>
          </cell>
          <cell r="AM512">
            <v>90</v>
          </cell>
          <cell r="AN512">
            <v>0</v>
          </cell>
          <cell r="AO512">
            <v>90</v>
          </cell>
          <cell r="AP512">
            <v>0</v>
          </cell>
        </row>
        <row r="513">
          <cell r="AE513">
            <v>6</v>
          </cell>
          <cell r="AF513" t="str">
            <v>DSA des formateurs Pronanut</v>
          </cell>
          <cell r="AG513">
            <v>0.9</v>
          </cell>
          <cell r="AH513">
            <v>0.1</v>
          </cell>
          <cell r="AI513">
            <v>954</v>
          </cell>
          <cell r="AJ513">
            <v>0</v>
          </cell>
          <cell r="AK513">
            <v>106</v>
          </cell>
          <cell r="AL513">
            <v>1060</v>
          </cell>
          <cell r="AM513">
            <v>477</v>
          </cell>
          <cell r="AN513">
            <v>0</v>
          </cell>
          <cell r="AO513">
            <v>477</v>
          </cell>
          <cell r="AP513">
            <v>0</v>
          </cell>
        </row>
        <row r="514">
          <cell r="AE514">
            <v>7</v>
          </cell>
          <cell r="AF514" t="str">
            <v>Kits participants</v>
          </cell>
          <cell r="AG514">
            <v>0.9</v>
          </cell>
          <cell r="AH514">
            <v>0.1</v>
          </cell>
          <cell r="AI514">
            <v>211.5</v>
          </cell>
          <cell r="AJ514">
            <v>0</v>
          </cell>
          <cell r="AK514">
            <v>23.5</v>
          </cell>
          <cell r="AL514">
            <v>235</v>
          </cell>
          <cell r="AM514">
            <v>105.75</v>
          </cell>
          <cell r="AN514">
            <v>0</v>
          </cell>
          <cell r="AO514">
            <v>105.75</v>
          </cell>
          <cell r="AP514">
            <v>0</v>
          </cell>
        </row>
        <row r="515">
          <cell r="AE515" t="str">
            <v>Activité 5.2.2</v>
          </cell>
          <cell r="AF515" t="str">
            <v>Soutenir la formation de 50 formateurs en éducation à la paix (2 proved, 2 sous-provised, 2 IPP, 2 IPPAF, 2 PF, 36 inspecteurs et 4 coordinateurs)</v>
          </cell>
          <cell r="AG515">
            <v>0.9</v>
          </cell>
          <cell r="AH515">
            <v>0.1</v>
          </cell>
          <cell r="AI515">
            <v>2227.5</v>
          </cell>
          <cell r="AJ515">
            <v>0</v>
          </cell>
          <cell r="AK515">
            <v>247.5</v>
          </cell>
          <cell r="AL515">
            <v>2475</v>
          </cell>
          <cell r="AM515">
            <v>1113.75</v>
          </cell>
          <cell r="AN515">
            <v>0</v>
          </cell>
          <cell r="AO515">
            <v>1113.75</v>
          </cell>
          <cell r="AP515">
            <v>0</v>
          </cell>
        </row>
        <row r="516">
          <cell r="AE516">
            <v>1</v>
          </cell>
          <cell r="AF516" t="str">
            <v>Lieux de formation - à réaliser en 2 lieux en raison des protocoles COVID-19 (30 $/ lieu)</v>
          </cell>
          <cell r="AG516">
            <v>0.9</v>
          </cell>
          <cell r="AH516">
            <v>0.1</v>
          </cell>
          <cell r="AI516">
            <v>270</v>
          </cell>
          <cell r="AJ516">
            <v>0</v>
          </cell>
          <cell r="AK516">
            <v>30</v>
          </cell>
          <cell r="AL516">
            <v>300</v>
          </cell>
          <cell r="AM516">
            <v>135</v>
          </cell>
          <cell r="AN516">
            <v>0</v>
          </cell>
          <cell r="AO516">
            <v>135</v>
          </cell>
          <cell r="AP516">
            <v>0</v>
          </cell>
        </row>
        <row r="517">
          <cell r="AE517">
            <v>2</v>
          </cell>
          <cell r="AF517" t="str">
            <v xml:space="preserve">Pausse Café </v>
          </cell>
          <cell r="AG517">
            <v>0.9</v>
          </cell>
          <cell r="AH517">
            <v>0.1</v>
          </cell>
          <cell r="AI517">
            <v>270</v>
          </cell>
          <cell r="AJ517">
            <v>0</v>
          </cell>
          <cell r="AK517">
            <v>30</v>
          </cell>
          <cell r="AL517">
            <v>300</v>
          </cell>
          <cell r="AM517">
            <v>135</v>
          </cell>
          <cell r="AN517">
            <v>0</v>
          </cell>
          <cell r="AO517">
            <v>135</v>
          </cell>
          <cell r="AP517">
            <v>0</v>
          </cell>
        </row>
        <row r="518">
          <cell r="AE518">
            <v>3</v>
          </cell>
          <cell r="AF518" t="str">
            <v>Repas pour les participants à la formation</v>
          </cell>
          <cell r="AG518">
            <v>0.9</v>
          </cell>
          <cell r="AH518">
            <v>0.1</v>
          </cell>
          <cell r="AI518">
            <v>675</v>
          </cell>
          <cell r="AJ518">
            <v>0</v>
          </cell>
          <cell r="AK518">
            <v>75</v>
          </cell>
          <cell r="AL518">
            <v>750</v>
          </cell>
          <cell r="AM518">
            <v>337.5</v>
          </cell>
          <cell r="AN518">
            <v>0</v>
          </cell>
          <cell r="AO518">
            <v>337.5</v>
          </cell>
          <cell r="AP518">
            <v>0</v>
          </cell>
        </row>
        <row r="519">
          <cell r="AE519">
            <v>4</v>
          </cell>
          <cell r="AF519" t="str">
            <v xml:space="preserve">Matériel de formation pour les participants principaux </v>
          </cell>
          <cell r="AG519">
            <v>0.9</v>
          </cell>
          <cell r="AH519">
            <v>0.1</v>
          </cell>
          <cell r="AI519">
            <v>112.5</v>
          </cell>
          <cell r="AJ519">
            <v>0</v>
          </cell>
          <cell r="AK519">
            <v>12.5</v>
          </cell>
          <cell r="AL519">
            <v>125</v>
          </cell>
          <cell r="AM519">
            <v>56.25</v>
          </cell>
          <cell r="AN519">
            <v>0</v>
          </cell>
          <cell r="AO519">
            <v>56.25</v>
          </cell>
          <cell r="AP519">
            <v>0</v>
          </cell>
        </row>
        <row r="520">
          <cell r="AE520">
            <v>5</v>
          </cell>
          <cell r="AF520" t="str">
            <v>Frais de transport pour les participants principaux</v>
          </cell>
          <cell r="AG520">
            <v>0.9</v>
          </cell>
          <cell r="AH520">
            <v>0.1</v>
          </cell>
          <cell r="AI520">
            <v>675</v>
          </cell>
          <cell r="AJ520">
            <v>0</v>
          </cell>
          <cell r="AK520">
            <v>75</v>
          </cell>
          <cell r="AL520">
            <v>750</v>
          </cell>
          <cell r="AM520">
            <v>337.5</v>
          </cell>
          <cell r="AN520">
            <v>0</v>
          </cell>
          <cell r="AO520">
            <v>337.5</v>
          </cell>
          <cell r="AP520">
            <v>0</v>
          </cell>
        </row>
        <row r="521">
          <cell r="AE521">
            <v>6</v>
          </cell>
          <cell r="AF521" t="str">
            <v>Impression de modules d'éducation à la paix pour 50 participants principaux et 4 facilitateurs - formation des formateurs</v>
          </cell>
          <cell r="AG521">
            <v>0.9</v>
          </cell>
          <cell r="AH521">
            <v>0.1</v>
          </cell>
          <cell r="AI521">
            <v>225</v>
          </cell>
          <cell r="AJ521">
            <v>0</v>
          </cell>
          <cell r="AK521">
            <v>25</v>
          </cell>
          <cell r="AL521">
            <v>250</v>
          </cell>
          <cell r="AM521">
            <v>112.5</v>
          </cell>
          <cell r="AN521">
            <v>0</v>
          </cell>
          <cell r="AO521">
            <v>112.5</v>
          </cell>
          <cell r="AP521">
            <v>0</v>
          </cell>
        </row>
        <row r="522">
          <cell r="AE522" t="str">
            <v>Activité 5.2.3</v>
          </cell>
          <cell r="AF522" t="str">
            <v>Former les membres des Equipes cadre des Zones de santé(ECZ), les représentants de sous-divisions éducationnelles, les Infirmiers Titulaires(IT), les Infirmiers Titulaires Adjoints(ITA) et les superviseurs de proximité sur la dynamique communautaire et la gestion des urgences au niveau communautaire dans les secteurs WASH, EDUCATION et NUTRITION, le Genre et la prévention des VBG et AES</v>
          </cell>
          <cell r="AG522">
            <v>1</v>
          </cell>
          <cell r="AH522">
            <v>0</v>
          </cell>
          <cell r="AI522">
            <v>419822</v>
          </cell>
          <cell r="AJ522">
            <v>0</v>
          </cell>
          <cell r="AK522">
            <v>0</v>
          </cell>
          <cell r="AL522">
            <v>419822</v>
          </cell>
          <cell r="AM522">
            <v>107892.5</v>
          </cell>
          <cell r="AN522">
            <v>0</v>
          </cell>
          <cell r="AO522">
            <v>311929.5</v>
          </cell>
          <cell r="AP522">
            <v>0</v>
          </cell>
        </row>
        <row r="523">
          <cell r="AE523">
            <v>1</v>
          </cell>
          <cell r="AF523" t="str">
            <v xml:space="preserve">Pause café </v>
          </cell>
          <cell r="AG523">
            <v>1</v>
          </cell>
          <cell r="AH523">
            <v>0</v>
          </cell>
          <cell r="AI523">
            <v>1520</v>
          </cell>
          <cell r="AJ523">
            <v>0</v>
          </cell>
          <cell r="AK523">
            <v>0</v>
          </cell>
          <cell r="AL523">
            <v>1520</v>
          </cell>
          <cell r="AM523">
            <v>750</v>
          </cell>
          <cell r="AN523">
            <v>0</v>
          </cell>
          <cell r="AO523">
            <v>770</v>
          </cell>
          <cell r="AP523">
            <v>0</v>
          </cell>
        </row>
        <row r="524">
          <cell r="AE524">
            <v>2</v>
          </cell>
          <cell r="AF524" t="str">
            <v xml:space="preserve">Pause repas </v>
          </cell>
          <cell r="AG524">
            <v>1</v>
          </cell>
          <cell r="AH524">
            <v>0</v>
          </cell>
          <cell r="AI524">
            <v>3800</v>
          </cell>
          <cell r="AJ524">
            <v>0</v>
          </cell>
          <cell r="AK524">
            <v>0</v>
          </cell>
          <cell r="AL524">
            <v>3800</v>
          </cell>
          <cell r="AM524">
            <v>1875</v>
          </cell>
          <cell r="AN524">
            <v>0</v>
          </cell>
          <cell r="AO524">
            <v>1925</v>
          </cell>
          <cell r="AP524">
            <v>0</v>
          </cell>
        </row>
        <row r="525">
          <cell r="AE525">
            <v>3</v>
          </cell>
          <cell r="AF525" t="str">
            <v xml:space="preserve">Location salle </v>
          </cell>
          <cell r="AG525">
            <v>1</v>
          </cell>
          <cell r="AH525">
            <v>0</v>
          </cell>
          <cell r="AI525">
            <v>1000</v>
          </cell>
          <cell r="AJ525">
            <v>0</v>
          </cell>
          <cell r="AK525">
            <v>0</v>
          </cell>
          <cell r="AL525">
            <v>1000</v>
          </cell>
          <cell r="AM525">
            <v>500</v>
          </cell>
          <cell r="AN525">
            <v>0</v>
          </cell>
          <cell r="AO525">
            <v>500</v>
          </cell>
          <cell r="AP525">
            <v>0</v>
          </cell>
        </row>
        <row r="526">
          <cell r="AE526">
            <v>4</v>
          </cell>
          <cell r="AF526" t="str">
            <v>Frais de transport des participant à Nyiragongo et Rwanguba</v>
          </cell>
          <cell r="AG526">
            <v>1</v>
          </cell>
          <cell r="AH526">
            <v>0</v>
          </cell>
          <cell r="AI526">
            <v>3800</v>
          </cell>
          <cell r="AJ526">
            <v>0</v>
          </cell>
          <cell r="AK526">
            <v>0</v>
          </cell>
          <cell r="AL526">
            <v>3800</v>
          </cell>
          <cell r="AM526">
            <v>1875</v>
          </cell>
          <cell r="AN526">
            <v>0</v>
          </cell>
          <cell r="AO526">
            <v>1925</v>
          </cell>
          <cell r="AP526">
            <v>0</v>
          </cell>
        </row>
        <row r="527">
          <cell r="AE527">
            <v>5</v>
          </cell>
          <cell r="AF527" t="str">
            <v>DSA des experts de la PNCPS/DPS et TASK FORCE lors de la formation des formateurs</v>
          </cell>
          <cell r="AG527">
            <v>1</v>
          </cell>
          <cell r="AH527">
            <v>0</v>
          </cell>
          <cell r="AI527">
            <v>5088</v>
          </cell>
          <cell r="AJ527">
            <v>0</v>
          </cell>
          <cell r="AK527">
            <v>0</v>
          </cell>
          <cell r="AL527">
            <v>5088</v>
          </cell>
          <cell r="AM527">
            <v>2544</v>
          </cell>
          <cell r="AN527">
            <v>0</v>
          </cell>
          <cell r="AO527">
            <v>2544</v>
          </cell>
          <cell r="AP527">
            <v>0</v>
          </cell>
        </row>
        <row r="528">
          <cell r="AE528">
            <v>6</v>
          </cell>
          <cell r="AF528" t="str">
            <v xml:space="preserve">Salaire en faveur des superviseurs de proximités </v>
          </cell>
          <cell r="AG528">
            <v>1</v>
          </cell>
          <cell r="AH528">
            <v>0</v>
          </cell>
          <cell r="AI528">
            <v>404234</v>
          </cell>
          <cell r="AJ528">
            <v>0</v>
          </cell>
          <cell r="AK528">
            <v>0</v>
          </cell>
          <cell r="AL528">
            <v>404234</v>
          </cell>
          <cell r="AM528">
            <v>100161</v>
          </cell>
          <cell r="AN528">
            <v>0</v>
          </cell>
          <cell r="AO528">
            <v>304073</v>
          </cell>
          <cell r="AP528">
            <v>0</v>
          </cell>
        </row>
        <row r="529">
          <cell r="AE529">
            <v>7</v>
          </cell>
          <cell r="AF529" t="str">
            <v>Fournitures (Kit -Stylos et blocs notes)</v>
          </cell>
          <cell r="AG529">
            <v>1</v>
          </cell>
          <cell r="AH529">
            <v>0</v>
          </cell>
          <cell r="AI529">
            <v>380</v>
          </cell>
          <cell r="AJ529">
            <v>0</v>
          </cell>
          <cell r="AK529">
            <v>0</v>
          </cell>
          <cell r="AL529">
            <v>380</v>
          </cell>
          <cell r="AM529">
            <v>187.5</v>
          </cell>
          <cell r="AN529">
            <v>0</v>
          </cell>
          <cell r="AO529">
            <v>192.5</v>
          </cell>
          <cell r="AP529">
            <v>0</v>
          </cell>
        </row>
        <row r="530">
          <cell r="AE530" t="str">
            <v>Activité 5.2.4</v>
          </cell>
          <cell r="AF530" t="str">
            <v>Appuyer les zones de santé à élaborer/mettre à jour des plans de préparation aux urgences basés sur l'analyse des risques</v>
          </cell>
          <cell r="AG530">
            <v>1</v>
          </cell>
          <cell r="AH530">
            <v>0</v>
          </cell>
          <cell r="AI530">
            <v>18768</v>
          </cell>
          <cell r="AJ530">
            <v>0</v>
          </cell>
          <cell r="AK530">
            <v>0</v>
          </cell>
          <cell r="AL530">
            <v>18768</v>
          </cell>
          <cell r="AM530">
            <v>9384</v>
          </cell>
          <cell r="AN530">
            <v>0</v>
          </cell>
          <cell r="AO530">
            <v>9384</v>
          </cell>
          <cell r="AP530">
            <v>0</v>
          </cell>
        </row>
        <row r="531">
          <cell r="AF531" t="str">
            <v>Organisation d'ateliers de mise à jour des plan de préparation aux urgences basés sur l'analyse de risques et identification des points focaux alerte par village au niveau de la ZS de RWANGUBA et NYIRAGONGO</v>
          </cell>
          <cell r="AJ531">
            <v>0</v>
          </cell>
          <cell r="AL531">
            <v>0</v>
          </cell>
          <cell r="AM531">
            <v>0</v>
          </cell>
          <cell r="AN531">
            <v>0</v>
          </cell>
          <cell r="AO531">
            <v>0</v>
          </cell>
          <cell r="AP531">
            <v>0</v>
          </cell>
        </row>
        <row r="532">
          <cell r="AE532">
            <v>1</v>
          </cell>
          <cell r="AF532" t="str">
            <v xml:space="preserve">Pause café </v>
          </cell>
          <cell r="AG532">
            <v>1</v>
          </cell>
          <cell r="AH532">
            <v>0</v>
          </cell>
          <cell r="AI532">
            <v>2048</v>
          </cell>
          <cell r="AJ532">
            <v>0</v>
          </cell>
          <cell r="AK532">
            <v>0</v>
          </cell>
          <cell r="AL532">
            <v>2048</v>
          </cell>
          <cell r="AM532">
            <v>1024</v>
          </cell>
          <cell r="AN532">
            <v>0</v>
          </cell>
          <cell r="AO532">
            <v>1024</v>
          </cell>
          <cell r="AP532">
            <v>0</v>
          </cell>
        </row>
        <row r="533">
          <cell r="AE533">
            <v>2</v>
          </cell>
          <cell r="AF533" t="str">
            <v xml:space="preserve">Pause repas </v>
          </cell>
          <cell r="AG533">
            <v>1</v>
          </cell>
          <cell r="AH533">
            <v>0</v>
          </cell>
          <cell r="AI533">
            <v>5120</v>
          </cell>
          <cell r="AJ533">
            <v>0</v>
          </cell>
          <cell r="AK533">
            <v>0</v>
          </cell>
          <cell r="AL533">
            <v>5120</v>
          </cell>
          <cell r="AM533">
            <v>2560</v>
          </cell>
          <cell r="AN533">
            <v>0</v>
          </cell>
          <cell r="AO533">
            <v>2560</v>
          </cell>
          <cell r="AP533">
            <v>0</v>
          </cell>
        </row>
        <row r="534">
          <cell r="AE534">
            <v>3</v>
          </cell>
          <cell r="AF534" t="str">
            <v xml:space="preserve">Location salle </v>
          </cell>
          <cell r="AG534">
            <v>1</v>
          </cell>
          <cell r="AH534">
            <v>0</v>
          </cell>
          <cell r="AI534">
            <v>800</v>
          </cell>
          <cell r="AJ534">
            <v>0</v>
          </cell>
          <cell r="AK534">
            <v>0</v>
          </cell>
          <cell r="AL534">
            <v>800</v>
          </cell>
          <cell r="AM534">
            <v>400</v>
          </cell>
          <cell r="AN534">
            <v>0</v>
          </cell>
          <cell r="AO534">
            <v>400</v>
          </cell>
          <cell r="AP534">
            <v>0</v>
          </cell>
        </row>
        <row r="535">
          <cell r="AE535">
            <v>4</v>
          </cell>
          <cell r="AF535" t="str">
            <v>Frais de transport des participant à Nyiragongo et Rwanguba</v>
          </cell>
          <cell r="AG535">
            <v>1</v>
          </cell>
          <cell r="AH535">
            <v>0</v>
          </cell>
          <cell r="AI535">
            <v>5120</v>
          </cell>
          <cell r="AJ535">
            <v>0</v>
          </cell>
          <cell r="AK535">
            <v>0</v>
          </cell>
          <cell r="AL535">
            <v>5120</v>
          </cell>
          <cell r="AM535">
            <v>2560</v>
          </cell>
          <cell r="AN535">
            <v>0</v>
          </cell>
          <cell r="AO535">
            <v>2560</v>
          </cell>
          <cell r="AP535">
            <v>0</v>
          </cell>
        </row>
        <row r="536">
          <cell r="AE536">
            <v>5</v>
          </cell>
          <cell r="AF536" t="str">
            <v>Frais de facilitation des experts du Groupe de travail sur la Réponse Rapide GTRR, la DPS et TASK FORCE lors de la formation des formateurs</v>
          </cell>
          <cell r="AG536">
            <v>1</v>
          </cell>
          <cell r="AH536">
            <v>0</v>
          </cell>
          <cell r="AI536">
            <v>800</v>
          </cell>
          <cell r="AJ536">
            <v>0</v>
          </cell>
          <cell r="AK536">
            <v>0</v>
          </cell>
          <cell r="AL536">
            <v>800</v>
          </cell>
          <cell r="AM536">
            <v>400</v>
          </cell>
          <cell r="AN536">
            <v>0</v>
          </cell>
          <cell r="AO536">
            <v>400</v>
          </cell>
          <cell r="AP536">
            <v>0</v>
          </cell>
        </row>
        <row r="537">
          <cell r="AE537">
            <v>6</v>
          </cell>
          <cell r="AF537" t="str">
            <v>DSA des experts du Groupe de travail sur la Réponse Rapide GTRR, la DPS et TASK FORCE lors de la formation des formateurs</v>
          </cell>
          <cell r="AG537">
            <v>1</v>
          </cell>
          <cell r="AH537">
            <v>0</v>
          </cell>
          <cell r="AI537">
            <v>4240</v>
          </cell>
          <cell r="AJ537">
            <v>0</v>
          </cell>
          <cell r="AK537">
            <v>0</v>
          </cell>
          <cell r="AL537">
            <v>4240</v>
          </cell>
          <cell r="AM537">
            <v>2120</v>
          </cell>
          <cell r="AN537">
            <v>0</v>
          </cell>
          <cell r="AO537">
            <v>2120</v>
          </cell>
          <cell r="AP537">
            <v>0</v>
          </cell>
        </row>
        <row r="538">
          <cell r="AE538">
            <v>7</v>
          </cell>
          <cell r="AF538" t="str">
            <v>Fournitures (Kit -Stylos et blocs notes)</v>
          </cell>
          <cell r="AG538">
            <v>1</v>
          </cell>
          <cell r="AH538">
            <v>0</v>
          </cell>
          <cell r="AI538">
            <v>640</v>
          </cell>
          <cell r="AJ538">
            <v>0</v>
          </cell>
          <cell r="AK538">
            <v>0</v>
          </cell>
          <cell r="AL538">
            <v>640</v>
          </cell>
          <cell r="AM538">
            <v>320</v>
          </cell>
          <cell r="AN538">
            <v>0</v>
          </cell>
          <cell r="AO538">
            <v>320</v>
          </cell>
          <cell r="AP538">
            <v>0</v>
          </cell>
        </row>
        <row r="539">
          <cell r="AE539" t="str">
            <v>Activité 5.2.5</v>
          </cell>
          <cell r="AF539" t="str">
            <v>Mettre en place/redynamiser les mécanismes de veille communautaire au niveau des zones de santé ciblées</v>
          </cell>
          <cell r="AG539">
            <v>1</v>
          </cell>
          <cell r="AH539">
            <v>0</v>
          </cell>
          <cell r="AI539">
            <v>49990</v>
          </cell>
          <cell r="AJ539">
            <v>0</v>
          </cell>
          <cell r="AK539">
            <v>0</v>
          </cell>
          <cell r="AL539">
            <v>49990</v>
          </cell>
          <cell r="AM539">
            <v>22986</v>
          </cell>
          <cell r="AN539">
            <v>0</v>
          </cell>
          <cell r="AO539">
            <v>27004</v>
          </cell>
          <cell r="AP539">
            <v>0</v>
          </cell>
        </row>
        <row r="540">
          <cell r="AF540" t="str">
            <v>Former les points focaux des villages sur l'utilisation des outils de veille communautaire humanitaire dans les Zones de santé de NYIRAGONGO et RWANGUBA</v>
          </cell>
          <cell r="AJ540">
            <v>0</v>
          </cell>
          <cell r="AL540">
            <v>0</v>
          </cell>
          <cell r="AM540">
            <v>0</v>
          </cell>
          <cell r="AN540">
            <v>0</v>
          </cell>
          <cell r="AO540">
            <v>0</v>
          </cell>
          <cell r="AP540">
            <v>0</v>
          </cell>
        </row>
        <row r="541">
          <cell r="AE541">
            <v>1</v>
          </cell>
          <cell r="AF541" t="str">
            <v xml:space="preserve">Pause café </v>
          </cell>
          <cell r="AG541">
            <v>1</v>
          </cell>
          <cell r="AH541">
            <v>0</v>
          </cell>
          <cell r="AI541">
            <v>1616</v>
          </cell>
          <cell r="AJ541">
            <v>0</v>
          </cell>
          <cell r="AK541">
            <v>0</v>
          </cell>
          <cell r="AL541">
            <v>1616</v>
          </cell>
          <cell r="AM541">
            <v>584</v>
          </cell>
          <cell r="AN541">
            <v>0</v>
          </cell>
          <cell r="AO541">
            <v>1032</v>
          </cell>
          <cell r="AP541">
            <v>0</v>
          </cell>
        </row>
        <row r="542">
          <cell r="AE542">
            <v>2</v>
          </cell>
          <cell r="AF542" t="str">
            <v xml:space="preserve">Pause repas </v>
          </cell>
          <cell r="AG542">
            <v>1</v>
          </cell>
          <cell r="AH542">
            <v>0</v>
          </cell>
          <cell r="AI542">
            <v>4040</v>
          </cell>
          <cell r="AJ542">
            <v>0</v>
          </cell>
          <cell r="AK542">
            <v>0</v>
          </cell>
          <cell r="AL542">
            <v>4040</v>
          </cell>
          <cell r="AM542">
            <v>1460</v>
          </cell>
          <cell r="AN542">
            <v>0</v>
          </cell>
          <cell r="AO542">
            <v>2580</v>
          </cell>
          <cell r="AP542">
            <v>0</v>
          </cell>
        </row>
        <row r="543">
          <cell r="AE543">
            <v>3</v>
          </cell>
          <cell r="AF543" t="str">
            <v xml:space="preserve">Location salle </v>
          </cell>
          <cell r="AG543">
            <v>1</v>
          </cell>
          <cell r="AH543">
            <v>0</v>
          </cell>
          <cell r="AI543">
            <v>2000</v>
          </cell>
          <cell r="AJ543">
            <v>0</v>
          </cell>
          <cell r="AK543">
            <v>0</v>
          </cell>
          <cell r="AL543">
            <v>2000</v>
          </cell>
          <cell r="AM543">
            <v>700</v>
          </cell>
          <cell r="AN543">
            <v>0</v>
          </cell>
          <cell r="AO543">
            <v>1300</v>
          </cell>
          <cell r="AP543">
            <v>0</v>
          </cell>
        </row>
        <row r="544">
          <cell r="AE544">
            <v>4</v>
          </cell>
          <cell r="AF544" t="str">
            <v>Frais de transport des participants à Nyiragongo et Rwanguba</v>
          </cell>
          <cell r="AG544">
            <v>1</v>
          </cell>
          <cell r="AH544">
            <v>0</v>
          </cell>
          <cell r="AI544">
            <v>4040</v>
          </cell>
          <cell r="AJ544">
            <v>0</v>
          </cell>
          <cell r="AK544">
            <v>0</v>
          </cell>
          <cell r="AL544">
            <v>4040</v>
          </cell>
          <cell r="AM544">
            <v>1460</v>
          </cell>
          <cell r="AN544">
            <v>0</v>
          </cell>
          <cell r="AO544">
            <v>2580</v>
          </cell>
          <cell r="AP544">
            <v>0</v>
          </cell>
        </row>
        <row r="545">
          <cell r="AE545">
            <v>5</v>
          </cell>
          <cell r="AF545" t="str">
            <v>Frais de facilitation des ECZ et IT déjà formé sur le mechanisme de veille communautaire</v>
          </cell>
          <cell r="AG545">
            <v>1</v>
          </cell>
          <cell r="AH545">
            <v>0</v>
          </cell>
          <cell r="AI545">
            <v>1500</v>
          </cell>
          <cell r="AJ545">
            <v>0</v>
          </cell>
          <cell r="AK545">
            <v>0</v>
          </cell>
          <cell r="AL545">
            <v>1500</v>
          </cell>
          <cell r="AM545">
            <v>525</v>
          </cell>
          <cell r="AN545">
            <v>0</v>
          </cell>
          <cell r="AO545">
            <v>975</v>
          </cell>
          <cell r="AP545">
            <v>0</v>
          </cell>
        </row>
        <row r="546">
          <cell r="AE546">
            <v>6</v>
          </cell>
          <cell r="AF546" t="str">
            <v>DSA des experts du Groupe de travail sur la Réponse Rapide GTRR, la DPS et TASK FORCE pour supervision des activités de formation réalisées par les ECZ et IT</v>
          </cell>
          <cell r="AG546">
            <v>1</v>
          </cell>
          <cell r="AH546">
            <v>0</v>
          </cell>
          <cell r="AI546">
            <v>954</v>
          </cell>
          <cell r="AJ546">
            <v>0</v>
          </cell>
          <cell r="AK546">
            <v>0</v>
          </cell>
          <cell r="AL546">
            <v>954</v>
          </cell>
          <cell r="AM546">
            <v>477</v>
          </cell>
          <cell r="AN546">
            <v>0</v>
          </cell>
          <cell r="AO546">
            <v>477</v>
          </cell>
          <cell r="AP546">
            <v>0</v>
          </cell>
        </row>
        <row r="547">
          <cell r="AE547">
            <v>7</v>
          </cell>
          <cell r="AF547" t="str">
            <v>Fournitures (Kit -Stylos et blocs notes)</v>
          </cell>
          <cell r="AG547">
            <v>1</v>
          </cell>
          <cell r="AH547">
            <v>0</v>
          </cell>
          <cell r="AI547">
            <v>1010</v>
          </cell>
          <cell r="AJ547">
            <v>0</v>
          </cell>
          <cell r="AK547">
            <v>0</v>
          </cell>
          <cell r="AL547">
            <v>1010</v>
          </cell>
          <cell r="AM547">
            <v>365</v>
          </cell>
          <cell r="AN547">
            <v>0</v>
          </cell>
          <cell r="AO547">
            <v>645</v>
          </cell>
          <cell r="AP547">
            <v>0</v>
          </cell>
        </row>
        <row r="548">
          <cell r="AF548" t="str">
            <v>Appuyer les points focaux des villages avec les outils de veille humanitaire dans les Zones de santé de NYIRAGONGO et RWANGUBA</v>
          </cell>
          <cell r="AJ548">
            <v>0</v>
          </cell>
          <cell r="AL548">
            <v>0</v>
          </cell>
          <cell r="AM548">
            <v>0</v>
          </cell>
          <cell r="AN548">
            <v>0</v>
          </cell>
          <cell r="AO548">
            <v>0</v>
          </cell>
          <cell r="AP548">
            <v>0</v>
          </cell>
        </row>
        <row r="549">
          <cell r="AE549">
            <v>10</v>
          </cell>
          <cell r="AF549" t="str">
            <v>Transport des chargés de suivi zonal et superviseurs de proximités pour suivi des alertes et documentation (monitoring continue)</v>
          </cell>
          <cell r="AG549">
            <v>1</v>
          </cell>
          <cell r="AH549">
            <v>0</v>
          </cell>
          <cell r="AI549">
            <v>1800</v>
          </cell>
          <cell r="AJ549">
            <v>0</v>
          </cell>
          <cell r="AK549">
            <v>0</v>
          </cell>
          <cell r="AL549">
            <v>1800</v>
          </cell>
          <cell r="AM549">
            <v>900</v>
          </cell>
          <cell r="AN549">
            <v>0</v>
          </cell>
          <cell r="AO549">
            <v>900</v>
          </cell>
          <cell r="AP549">
            <v>0</v>
          </cell>
        </row>
        <row r="550">
          <cell r="AE550">
            <v>11</v>
          </cell>
          <cell r="AF550" t="str">
            <v xml:space="preserve">DSA pour le groupe de travaille GTRR pour des missions d'ERM en cas d'alerte prioritaire </v>
          </cell>
          <cell r="AG550">
            <v>1</v>
          </cell>
          <cell r="AH550">
            <v>0</v>
          </cell>
          <cell r="AI550">
            <v>7950</v>
          </cell>
          <cell r="AJ550">
            <v>0</v>
          </cell>
          <cell r="AK550">
            <v>0</v>
          </cell>
          <cell r="AL550">
            <v>7950</v>
          </cell>
          <cell r="AM550">
            <v>3975</v>
          </cell>
          <cell r="AN550">
            <v>0</v>
          </cell>
          <cell r="AO550">
            <v>3975</v>
          </cell>
          <cell r="AP550">
            <v>0</v>
          </cell>
        </row>
        <row r="551">
          <cell r="AE551">
            <v>12</v>
          </cell>
          <cell r="AF551" t="str">
            <v>Location véhicule pour les missions d'ERM et verification pour le GTRR</v>
          </cell>
          <cell r="AG551">
            <v>1</v>
          </cell>
          <cell r="AH551">
            <v>0</v>
          </cell>
          <cell r="AI551">
            <v>2400</v>
          </cell>
          <cell r="AJ551">
            <v>0</v>
          </cell>
          <cell r="AK551">
            <v>0</v>
          </cell>
          <cell r="AL551">
            <v>2400</v>
          </cell>
          <cell r="AM551">
            <v>1200</v>
          </cell>
          <cell r="AN551">
            <v>0</v>
          </cell>
          <cell r="AO551">
            <v>1200</v>
          </cell>
          <cell r="AP551">
            <v>0</v>
          </cell>
        </row>
        <row r="552">
          <cell r="AE552">
            <v>13</v>
          </cell>
          <cell r="AF552" t="str">
            <v>Collation des équipes pour organisation des réunions de monitoring des alertes avec les ECZ,APA et Representant communautaire</v>
          </cell>
          <cell r="AG552">
            <v>1</v>
          </cell>
          <cell r="AH552">
            <v>0</v>
          </cell>
          <cell r="AI552">
            <v>22320</v>
          </cell>
          <cell r="AJ552">
            <v>0</v>
          </cell>
          <cell r="AK552">
            <v>0</v>
          </cell>
          <cell r="AL552">
            <v>22320</v>
          </cell>
          <cell r="AM552">
            <v>11160</v>
          </cell>
          <cell r="AN552">
            <v>0</v>
          </cell>
          <cell r="AO552">
            <v>11160</v>
          </cell>
          <cell r="AP552">
            <v>0</v>
          </cell>
        </row>
        <row r="553">
          <cell r="AE553">
            <v>14</v>
          </cell>
          <cell r="AF553" t="str">
            <v>Connexion pour le Point focal chargé de suivi évaluation au niveau zonal</v>
          </cell>
          <cell r="AG553">
            <v>1</v>
          </cell>
          <cell r="AH553">
            <v>0</v>
          </cell>
          <cell r="AI553">
            <v>360</v>
          </cell>
          <cell r="AJ553">
            <v>0</v>
          </cell>
          <cell r="AK553">
            <v>0</v>
          </cell>
          <cell r="AL553">
            <v>360</v>
          </cell>
          <cell r="AM553">
            <v>180</v>
          </cell>
          <cell r="AN553">
            <v>0</v>
          </cell>
          <cell r="AO553">
            <v>180</v>
          </cell>
          <cell r="AP553">
            <v>0</v>
          </cell>
        </row>
        <row r="554">
          <cell r="AE554" t="str">
            <v>Activité 5.2.6</v>
          </cell>
          <cell r="AF554" t="str">
            <v>Appuyer le suivi et supervision de la mise en oeuvre des activites de la nutrition dans les aires de sante</v>
          </cell>
          <cell r="AG554">
            <v>1</v>
          </cell>
          <cell r="AH554">
            <v>0</v>
          </cell>
          <cell r="AI554">
            <v>33066</v>
          </cell>
          <cell r="AJ554">
            <v>0</v>
          </cell>
          <cell r="AK554">
            <v>0</v>
          </cell>
          <cell r="AL554">
            <v>33066</v>
          </cell>
          <cell r="AM554">
            <v>16533</v>
          </cell>
          <cell r="AN554">
            <v>0</v>
          </cell>
          <cell r="AO554">
            <v>16533</v>
          </cell>
          <cell r="AP554">
            <v>0</v>
          </cell>
        </row>
        <row r="555">
          <cell r="AE555">
            <v>1</v>
          </cell>
          <cell r="AF555" t="str">
            <v>Location motos pour les 2 BCZS</v>
          </cell>
          <cell r="AG555">
            <v>1</v>
          </cell>
          <cell r="AH555">
            <v>0</v>
          </cell>
          <cell r="AI555">
            <v>2160</v>
          </cell>
          <cell r="AJ555">
            <v>0</v>
          </cell>
          <cell r="AK555">
            <v>0</v>
          </cell>
          <cell r="AL555">
            <v>2160</v>
          </cell>
          <cell r="AM555">
            <v>1080</v>
          </cell>
          <cell r="AN555">
            <v>0</v>
          </cell>
          <cell r="AO555">
            <v>1080</v>
          </cell>
          <cell r="AP555">
            <v>0</v>
          </cell>
        </row>
        <row r="556">
          <cell r="AE556">
            <v>2</v>
          </cell>
          <cell r="AF556" t="str">
            <v>Carburant Essence</v>
          </cell>
          <cell r="AG556">
            <v>1</v>
          </cell>
          <cell r="AH556">
            <v>0</v>
          </cell>
          <cell r="AI556">
            <v>5400</v>
          </cell>
          <cell r="AJ556">
            <v>0</v>
          </cell>
          <cell r="AK556">
            <v>0</v>
          </cell>
          <cell r="AL556">
            <v>5400</v>
          </cell>
          <cell r="AM556">
            <v>2700</v>
          </cell>
          <cell r="AN556">
            <v>0</v>
          </cell>
          <cell r="AO556">
            <v>2700</v>
          </cell>
          <cell r="AP556">
            <v>0</v>
          </cell>
        </row>
        <row r="557">
          <cell r="AE557">
            <v>3</v>
          </cell>
          <cell r="AF557" t="str">
            <v>Entretien Moto</v>
          </cell>
          <cell r="AI557">
            <v>0</v>
          </cell>
          <cell r="AJ557">
            <v>0</v>
          </cell>
          <cell r="AK557">
            <v>0</v>
          </cell>
          <cell r="AL557">
            <v>0</v>
          </cell>
          <cell r="AM557">
            <v>0</v>
          </cell>
          <cell r="AN557">
            <v>0</v>
          </cell>
          <cell r="AO557">
            <v>0</v>
          </cell>
          <cell r="AP557">
            <v>0</v>
          </cell>
        </row>
        <row r="558">
          <cell r="AE558">
            <v>4</v>
          </cell>
          <cell r="AF558" t="str">
            <v>Perdiem des agents de suivi</v>
          </cell>
          <cell r="AG558">
            <v>1</v>
          </cell>
          <cell r="AH558">
            <v>0</v>
          </cell>
          <cell r="AI558">
            <v>19980</v>
          </cell>
          <cell r="AJ558">
            <v>0</v>
          </cell>
          <cell r="AK558">
            <v>0</v>
          </cell>
          <cell r="AL558">
            <v>19980</v>
          </cell>
          <cell r="AM558">
            <v>9990</v>
          </cell>
          <cell r="AN558">
            <v>0</v>
          </cell>
          <cell r="AO558">
            <v>9990</v>
          </cell>
          <cell r="AP558">
            <v>0</v>
          </cell>
        </row>
        <row r="559">
          <cell r="AE559">
            <v>5</v>
          </cell>
          <cell r="AF559" t="str">
            <v>Collation à la Restitution des resultats de chaque mission de suivi et evaluation au CODESA</v>
          </cell>
          <cell r="AG559">
            <v>1</v>
          </cell>
          <cell r="AH559">
            <v>0</v>
          </cell>
          <cell r="AI559">
            <v>3906</v>
          </cell>
          <cell r="AJ559">
            <v>0</v>
          </cell>
          <cell r="AK559">
            <v>0</v>
          </cell>
          <cell r="AL559">
            <v>3906</v>
          </cell>
          <cell r="AM559">
            <v>1953</v>
          </cell>
          <cell r="AN559">
            <v>0</v>
          </cell>
          <cell r="AO559">
            <v>1953</v>
          </cell>
          <cell r="AP559">
            <v>0</v>
          </cell>
        </row>
        <row r="560">
          <cell r="AE560">
            <v>6</v>
          </cell>
          <cell r="AF560" t="str">
            <v>Achat unités pour communication et connexion internet</v>
          </cell>
          <cell r="AG560">
            <v>1</v>
          </cell>
          <cell r="AH560">
            <v>0</v>
          </cell>
          <cell r="AI560">
            <v>1620</v>
          </cell>
          <cell r="AJ560">
            <v>0</v>
          </cell>
          <cell r="AK560">
            <v>0</v>
          </cell>
          <cell r="AL560">
            <v>1620</v>
          </cell>
          <cell r="AM560">
            <v>810</v>
          </cell>
          <cell r="AN560">
            <v>0</v>
          </cell>
          <cell r="AO560">
            <v>810</v>
          </cell>
          <cell r="AP560">
            <v>0</v>
          </cell>
        </row>
        <row r="561">
          <cell r="AE561">
            <v>7</v>
          </cell>
          <cell r="AF561" t="str">
            <v xml:space="preserve">EPI COVID-19  pour les missionnaires </v>
          </cell>
          <cell r="AI561">
            <v>0</v>
          </cell>
          <cell r="AJ561">
            <v>0</v>
          </cell>
          <cell r="AK561">
            <v>0</v>
          </cell>
          <cell r="AL561">
            <v>0</v>
          </cell>
          <cell r="AM561">
            <v>0</v>
          </cell>
          <cell r="AN561">
            <v>0</v>
          </cell>
          <cell r="AO561">
            <v>0</v>
          </cell>
          <cell r="AP561">
            <v>0</v>
          </cell>
        </row>
        <row r="562">
          <cell r="AE562" t="str">
            <v>Activité 5.2.7</v>
          </cell>
          <cell r="AF562" t="str">
            <v>Appuyer les missions de suivi et supervision conjointe (DIVICOM,TASK FORCE COMMUNICATION ET DPS / ZONE DE SANTE) de la mise en œuvre de la dynamique communautaire à NYIRAGONGO et RWANGUBA</v>
          </cell>
          <cell r="AG562">
            <v>1</v>
          </cell>
          <cell r="AH562">
            <v>0</v>
          </cell>
          <cell r="AI562">
            <v>22680</v>
          </cell>
          <cell r="AJ562">
            <v>0</v>
          </cell>
          <cell r="AK562">
            <v>0</v>
          </cell>
          <cell r="AL562">
            <v>22680</v>
          </cell>
          <cell r="AM562">
            <v>11340</v>
          </cell>
          <cell r="AN562">
            <v>0</v>
          </cell>
          <cell r="AO562">
            <v>11340</v>
          </cell>
          <cell r="AP562">
            <v>0</v>
          </cell>
        </row>
        <row r="563">
          <cell r="AE563">
            <v>1</v>
          </cell>
          <cell r="AF563" t="str">
            <v>Transport et communication des AC de ZS pour le suivi et supervision permanent</v>
          </cell>
          <cell r="AG563">
            <v>1</v>
          </cell>
          <cell r="AH563">
            <v>0</v>
          </cell>
          <cell r="AI563">
            <v>3600</v>
          </cell>
          <cell r="AJ563">
            <v>0</v>
          </cell>
          <cell r="AK563">
            <v>0</v>
          </cell>
          <cell r="AL563">
            <v>3600</v>
          </cell>
          <cell r="AM563">
            <v>1800</v>
          </cell>
          <cell r="AN563">
            <v>0</v>
          </cell>
          <cell r="AO563">
            <v>1800</v>
          </cell>
          <cell r="AP563">
            <v>0</v>
          </cell>
        </row>
        <row r="564">
          <cell r="AE564">
            <v>2</v>
          </cell>
          <cell r="AF564" t="str">
            <v xml:space="preserve">DSA pour les suivis et supervisions conjoints trimestriels (DIVICOM,TASK FORCE COMMUNICATION ET DPS / ZONE DE SANTE) </v>
          </cell>
          <cell r="AG564">
            <v>1</v>
          </cell>
          <cell r="AH564">
            <v>0</v>
          </cell>
          <cell r="AI564">
            <v>4770</v>
          </cell>
          <cell r="AJ564">
            <v>0</v>
          </cell>
          <cell r="AK564">
            <v>0</v>
          </cell>
          <cell r="AL564">
            <v>4770</v>
          </cell>
          <cell r="AM564">
            <v>2385</v>
          </cell>
          <cell r="AN564">
            <v>0</v>
          </cell>
          <cell r="AO564">
            <v>2385</v>
          </cell>
          <cell r="AP564">
            <v>0</v>
          </cell>
        </row>
        <row r="565">
          <cell r="AE565">
            <v>3</v>
          </cell>
          <cell r="AF565" t="str">
            <v>DSA pour les missions de suivi et évaluation mensuel des équipes du projet</v>
          </cell>
          <cell r="AG565">
            <v>1</v>
          </cell>
          <cell r="AH565">
            <v>0</v>
          </cell>
          <cell r="AI565">
            <v>14310</v>
          </cell>
          <cell r="AJ565">
            <v>0</v>
          </cell>
          <cell r="AK565">
            <v>0</v>
          </cell>
          <cell r="AL565">
            <v>14310</v>
          </cell>
          <cell r="AM565">
            <v>7155</v>
          </cell>
          <cell r="AN565">
            <v>0</v>
          </cell>
          <cell r="AO565">
            <v>7155</v>
          </cell>
          <cell r="AP565">
            <v>0</v>
          </cell>
        </row>
        <row r="566">
          <cell r="AE566" t="str">
            <v>GEEP</v>
          </cell>
          <cell r="AF566" t="str">
            <v>GESTION EFFICACE ET EFFICIENTE DU PROGRAMME</v>
          </cell>
          <cell r="AG566">
            <v>0.74885880749647726</v>
          </cell>
          <cell r="AH566">
            <v>0.25114119250352285</v>
          </cell>
          <cell r="AI566">
            <v>1136371.176</v>
          </cell>
          <cell r="AJ566">
            <v>0</v>
          </cell>
          <cell r="AK566">
            <v>381099.36</v>
          </cell>
          <cell r="AL566">
            <v>1517470.5359999998</v>
          </cell>
          <cell r="AM566">
            <v>580181.08799999999</v>
          </cell>
          <cell r="AN566">
            <v>0</v>
          </cell>
          <cell r="AO566">
            <v>556190.08799999999</v>
          </cell>
          <cell r="AP566">
            <v>0</v>
          </cell>
        </row>
        <row r="567">
          <cell r="AE567" t="str">
            <v>GEEP EN</v>
          </cell>
          <cell r="AF567" t="str">
            <v>Couts operationnels Education et Nutrition</v>
          </cell>
          <cell r="AG567">
            <v>0.91138474336037467</v>
          </cell>
          <cell r="AH567">
            <v>8.8615256639625425E-2</v>
          </cell>
          <cell r="AI567">
            <v>522322.37599999999</v>
          </cell>
          <cell r="AJ567">
            <v>0</v>
          </cell>
          <cell r="AK567">
            <v>50786.16</v>
          </cell>
          <cell r="AL567">
            <v>573108.53599999996</v>
          </cell>
          <cell r="AM567">
            <v>282491.68799999997</v>
          </cell>
          <cell r="AN567">
            <v>0</v>
          </cell>
          <cell r="AO567">
            <v>239830.68800000002</v>
          </cell>
          <cell r="AP567">
            <v>0</v>
          </cell>
        </row>
        <row r="568">
          <cell r="AE568" t="str">
            <v>Activité 8.1</v>
          </cell>
          <cell r="AF568" t="str">
            <v>In-country management and support staff costs, pro-rated to their contribution to the programme (representation, planning, coordination, logistics, admin, finance)</v>
          </cell>
          <cell r="AG568">
            <v>0.95994251829920019</v>
          </cell>
          <cell r="AH568">
            <v>4.0057481700799827E-2</v>
          </cell>
          <cell r="AI568">
            <v>109995.33600000001</v>
          </cell>
          <cell r="AJ568">
            <v>0</v>
          </cell>
          <cell r="AK568">
            <v>4590</v>
          </cell>
          <cell r="AL568">
            <v>114585.33600000001</v>
          </cell>
          <cell r="AM568">
            <v>56118.168000000005</v>
          </cell>
          <cell r="AN568">
            <v>0</v>
          </cell>
          <cell r="AO568">
            <v>53877.168000000005</v>
          </cell>
          <cell r="AP568">
            <v>0</v>
          </cell>
        </row>
        <row r="569">
          <cell r="AE569">
            <v>1</v>
          </cell>
          <cell r="AF569" t="str">
            <v>1 Base Manager (10%)</v>
          </cell>
          <cell r="AG569">
            <v>1</v>
          </cell>
          <cell r="AH569">
            <v>0</v>
          </cell>
          <cell r="AI569">
            <v>8787.4919999999984</v>
          </cell>
          <cell r="AJ569">
            <v>0</v>
          </cell>
          <cell r="AK569">
            <v>0</v>
          </cell>
          <cell r="AL569">
            <v>8787.4919999999984</v>
          </cell>
          <cell r="AM569">
            <v>4393.7459999999992</v>
          </cell>
          <cell r="AN569">
            <v>0</v>
          </cell>
          <cell r="AO569">
            <v>4393.7459999999992</v>
          </cell>
          <cell r="AP569">
            <v>0</v>
          </cell>
        </row>
        <row r="570">
          <cell r="AE570">
            <v>2</v>
          </cell>
          <cell r="AF570" t="str">
            <v>Field Security Officer (20%)</v>
          </cell>
          <cell r="AG570">
            <v>1</v>
          </cell>
          <cell r="AH570">
            <v>0</v>
          </cell>
          <cell r="AI570">
            <v>8732.4840000000004</v>
          </cell>
          <cell r="AJ570">
            <v>0</v>
          </cell>
          <cell r="AK570">
            <v>0</v>
          </cell>
          <cell r="AL570">
            <v>8732.4840000000004</v>
          </cell>
          <cell r="AM570">
            <v>4366.2420000000002</v>
          </cell>
          <cell r="AN570">
            <v>0</v>
          </cell>
          <cell r="AO570">
            <v>4366.2420000000002</v>
          </cell>
          <cell r="AP570">
            <v>0</v>
          </cell>
        </row>
        <row r="571">
          <cell r="AE571">
            <v>3</v>
          </cell>
          <cell r="AF571" t="str">
            <v>Radio Operator (20%)</v>
          </cell>
          <cell r="AG571">
            <v>1</v>
          </cell>
          <cell r="AH571">
            <v>0</v>
          </cell>
          <cell r="AI571">
            <v>6324.732</v>
          </cell>
          <cell r="AJ571">
            <v>0</v>
          </cell>
          <cell r="AK571">
            <v>0</v>
          </cell>
          <cell r="AL571">
            <v>6324.732</v>
          </cell>
          <cell r="AM571">
            <v>3162.366</v>
          </cell>
          <cell r="AN571">
            <v>0</v>
          </cell>
          <cell r="AO571">
            <v>3162.366</v>
          </cell>
          <cell r="AP571">
            <v>0</v>
          </cell>
        </row>
        <row r="572">
          <cell r="AE572">
            <v>4</v>
          </cell>
          <cell r="AF572" t="str">
            <v>Cleaner (20%)</v>
          </cell>
          <cell r="AG572">
            <v>1</v>
          </cell>
          <cell r="AH572">
            <v>0</v>
          </cell>
          <cell r="AI572">
            <v>4130.7480000000005</v>
          </cell>
          <cell r="AJ572">
            <v>0</v>
          </cell>
          <cell r="AK572">
            <v>0</v>
          </cell>
          <cell r="AL572">
            <v>4130.7480000000005</v>
          </cell>
          <cell r="AM572">
            <v>2065.3740000000003</v>
          </cell>
          <cell r="AN572">
            <v>0</v>
          </cell>
          <cell r="AO572">
            <v>2065.3740000000003</v>
          </cell>
          <cell r="AP572">
            <v>0</v>
          </cell>
        </row>
        <row r="573">
          <cell r="AE573">
            <v>5</v>
          </cell>
          <cell r="AF573" t="str">
            <v>Zonal Director (5%)</v>
          </cell>
          <cell r="AG573">
            <v>1</v>
          </cell>
          <cell r="AH573">
            <v>0</v>
          </cell>
          <cell r="AI573">
            <v>11250</v>
          </cell>
          <cell r="AJ573">
            <v>0</v>
          </cell>
          <cell r="AK573">
            <v>0</v>
          </cell>
          <cell r="AL573">
            <v>11250</v>
          </cell>
          <cell r="AM573">
            <v>5625</v>
          </cell>
          <cell r="AN573">
            <v>0</v>
          </cell>
          <cell r="AO573">
            <v>5625</v>
          </cell>
          <cell r="AP573">
            <v>0</v>
          </cell>
        </row>
        <row r="574">
          <cell r="AE574">
            <v>6</v>
          </cell>
          <cell r="AF574" t="str">
            <v>Operations Manager (5%)</v>
          </cell>
          <cell r="AG574">
            <v>1</v>
          </cell>
          <cell r="AH574">
            <v>0</v>
          </cell>
          <cell r="AI574">
            <v>4500</v>
          </cell>
          <cell r="AJ574">
            <v>0</v>
          </cell>
          <cell r="AK574">
            <v>0</v>
          </cell>
          <cell r="AL574">
            <v>4500</v>
          </cell>
          <cell r="AM574">
            <v>2250</v>
          </cell>
          <cell r="AN574">
            <v>0</v>
          </cell>
          <cell r="AO574">
            <v>2250</v>
          </cell>
          <cell r="AP574">
            <v>0</v>
          </cell>
        </row>
        <row r="575">
          <cell r="AE575">
            <v>7</v>
          </cell>
          <cell r="AF575" t="str">
            <v>Finance Manager(5%)</v>
          </cell>
          <cell r="AG575">
            <v>1</v>
          </cell>
          <cell r="AH575">
            <v>0</v>
          </cell>
          <cell r="AI575">
            <v>6750</v>
          </cell>
          <cell r="AJ575">
            <v>0</v>
          </cell>
          <cell r="AK575">
            <v>0</v>
          </cell>
          <cell r="AL575">
            <v>6750</v>
          </cell>
          <cell r="AM575">
            <v>3375</v>
          </cell>
          <cell r="AN575">
            <v>0</v>
          </cell>
          <cell r="AO575">
            <v>3375</v>
          </cell>
          <cell r="AP575">
            <v>0</v>
          </cell>
        </row>
        <row r="576">
          <cell r="AE576">
            <v>8</v>
          </cell>
          <cell r="AF576" t="str">
            <v xml:space="preserve">Nutrition Advisor  (5%) </v>
          </cell>
          <cell r="AG576">
            <v>1</v>
          </cell>
          <cell r="AH576">
            <v>0</v>
          </cell>
          <cell r="AI576">
            <v>4500</v>
          </cell>
          <cell r="AJ576">
            <v>0</v>
          </cell>
          <cell r="AK576">
            <v>0</v>
          </cell>
          <cell r="AL576">
            <v>4500</v>
          </cell>
          <cell r="AM576">
            <v>2250</v>
          </cell>
          <cell r="AN576">
            <v>0</v>
          </cell>
          <cell r="AO576">
            <v>2250</v>
          </cell>
          <cell r="AP576">
            <v>0</v>
          </cell>
        </row>
        <row r="577">
          <cell r="AE577">
            <v>9</v>
          </cell>
          <cell r="AF577" t="str">
            <v xml:space="preserve">Education Advisor (10%) </v>
          </cell>
          <cell r="AG577">
            <v>1</v>
          </cell>
          <cell r="AH577">
            <v>0</v>
          </cell>
          <cell r="AI577">
            <v>18000</v>
          </cell>
          <cell r="AJ577">
            <v>0</v>
          </cell>
          <cell r="AK577">
            <v>0</v>
          </cell>
          <cell r="AL577">
            <v>18000</v>
          </cell>
          <cell r="AM577">
            <v>9000</v>
          </cell>
          <cell r="AN577">
            <v>0</v>
          </cell>
          <cell r="AO577">
            <v>9000</v>
          </cell>
          <cell r="AP577">
            <v>0</v>
          </cell>
        </row>
        <row r="578">
          <cell r="AE578">
            <v>10</v>
          </cell>
          <cell r="AF578" t="str">
            <v>GAM Program Manager (5%)</v>
          </cell>
          <cell r="AG578">
            <v>1</v>
          </cell>
          <cell r="AH578">
            <v>0</v>
          </cell>
          <cell r="AI578">
            <v>6750</v>
          </cell>
          <cell r="AJ578">
            <v>0</v>
          </cell>
          <cell r="AK578">
            <v>0</v>
          </cell>
          <cell r="AL578">
            <v>6750</v>
          </cell>
          <cell r="AM578">
            <v>3375</v>
          </cell>
          <cell r="AN578">
            <v>0</v>
          </cell>
          <cell r="AO578">
            <v>3375</v>
          </cell>
          <cell r="AP578">
            <v>0</v>
          </cell>
        </row>
        <row r="579">
          <cell r="AE579">
            <v>11</v>
          </cell>
          <cell r="AF579" t="str">
            <v>P&amp;C Manager (5%)</v>
          </cell>
          <cell r="AG579">
            <v>1</v>
          </cell>
          <cell r="AH579">
            <v>0</v>
          </cell>
          <cell r="AI579">
            <v>3619.0439999999999</v>
          </cell>
          <cell r="AJ579">
            <v>0</v>
          </cell>
          <cell r="AK579">
            <v>0</v>
          </cell>
          <cell r="AL579">
            <v>3619.0439999999999</v>
          </cell>
          <cell r="AM579">
            <v>1809.5219999999999</v>
          </cell>
          <cell r="AN579">
            <v>0</v>
          </cell>
          <cell r="AO579">
            <v>1809.5219999999999</v>
          </cell>
          <cell r="AP579">
            <v>0</v>
          </cell>
        </row>
        <row r="580">
          <cell r="AE580">
            <v>12</v>
          </cell>
          <cell r="AF580" t="str">
            <v>1 Cashier (50%) </v>
          </cell>
          <cell r="AG580">
            <v>0.83</v>
          </cell>
          <cell r="AH580">
            <v>0.17</v>
          </cell>
          <cell r="AI580">
            <v>22410</v>
          </cell>
          <cell r="AJ580">
            <v>0</v>
          </cell>
          <cell r="AK580">
            <v>4590</v>
          </cell>
          <cell r="AL580">
            <v>27000</v>
          </cell>
          <cell r="AM580">
            <v>12325.5</v>
          </cell>
          <cell r="AN580">
            <v>0</v>
          </cell>
          <cell r="AO580">
            <v>10084.5</v>
          </cell>
          <cell r="AP580">
            <v>0</v>
          </cell>
        </row>
        <row r="581">
          <cell r="AE581">
            <v>13</v>
          </cell>
          <cell r="AF581" t="str">
            <v>Admin Coordinator (5%)</v>
          </cell>
          <cell r="AG581">
            <v>1</v>
          </cell>
          <cell r="AH581">
            <v>0</v>
          </cell>
          <cell r="AI581">
            <v>2120.4180000000001</v>
          </cell>
          <cell r="AJ581">
            <v>0</v>
          </cell>
          <cell r="AK581">
            <v>0</v>
          </cell>
          <cell r="AL581">
            <v>2120.4180000000001</v>
          </cell>
          <cell r="AM581">
            <v>1060.2090000000001</v>
          </cell>
          <cell r="AN581">
            <v>0</v>
          </cell>
          <cell r="AO581">
            <v>1060.2090000000001</v>
          </cell>
          <cell r="AP581">
            <v>0</v>
          </cell>
        </row>
        <row r="582">
          <cell r="AE582">
            <v>14</v>
          </cell>
          <cell r="AF582" t="str">
            <v>Supply chain coordinotor (10%)</v>
          </cell>
          <cell r="AG582">
            <v>1</v>
          </cell>
          <cell r="AH582">
            <v>0</v>
          </cell>
          <cell r="AI582">
            <v>2120.4180000000001</v>
          </cell>
          <cell r="AJ582">
            <v>0</v>
          </cell>
          <cell r="AK582">
            <v>0</v>
          </cell>
          <cell r="AL582">
            <v>2120.4180000000001</v>
          </cell>
          <cell r="AM582">
            <v>1060.2090000000001</v>
          </cell>
          <cell r="AN582">
            <v>0</v>
          </cell>
          <cell r="AO582">
            <v>1060.2090000000001</v>
          </cell>
          <cell r="AP582">
            <v>0</v>
          </cell>
        </row>
        <row r="583">
          <cell r="AE583" t="str">
            <v>Activité 8.2</v>
          </cell>
          <cell r="AF583" t="str">
            <v>Operational costs, pro-rated to their contribution to the programme (office space, equipment, office supplies, maintenance)</v>
          </cell>
          <cell r="AG583">
            <v>0.84878381811253656</v>
          </cell>
          <cell r="AH583">
            <v>0.15121618188746352</v>
          </cell>
          <cell r="AI583">
            <v>256607.03999999998</v>
          </cell>
          <cell r="AJ583">
            <v>0</v>
          </cell>
          <cell r="AK583">
            <v>45716.160000000003</v>
          </cell>
          <cell r="AL583">
            <v>302323.19999999995</v>
          </cell>
          <cell r="AM583">
            <v>158513.51999999999</v>
          </cell>
          <cell r="AN583">
            <v>0</v>
          </cell>
          <cell r="AO583">
            <v>98093.52</v>
          </cell>
          <cell r="AP583">
            <v>0</v>
          </cell>
        </row>
        <row r="584">
          <cell r="AE584">
            <v>1</v>
          </cell>
          <cell r="AF584" t="str">
            <v>Laptop Computer</v>
          </cell>
          <cell r="AG584">
            <v>0.95</v>
          </cell>
          <cell r="AH584">
            <v>0.05</v>
          </cell>
          <cell r="AI584">
            <v>20520</v>
          </cell>
          <cell r="AJ584">
            <v>0</v>
          </cell>
          <cell r="AK584">
            <v>1080</v>
          </cell>
          <cell r="AL584">
            <v>21600</v>
          </cell>
          <cell r="AM584">
            <v>20520</v>
          </cell>
          <cell r="AN584">
            <v>0</v>
          </cell>
          <cell r="AO584">
            <v>0</v>
          </cell>
          <cell r="AP584">
            <v>0</v>
          </cell>
        </row>
        <row r="585">
          <cell r="AE585">
            <v>2</v>
          </cell>
          <cell r="AF585" t="str">
            <v>Printers</v>
          </cell>
          <cell r="AG585">
            <v>0.95</v>
          </cell>
          <cell r="AH585">
            <v>0.05</v>
          </cell>
          <cell r="AI585">
            <v>1900</v>
          </cell>
          <cell r="AJ585">
            <v>0</v>
          </cell>
          <cell r="AK585">
            <v>100</v>
          </cell>
          <cell r="AL585">
            <v>2000</v>
          </cell>
          <cell r="AM585">
            <v>1900</v>
          </cell>
          <cell r="AN585">
            <v>0</v>
          </cell>
          <cell r="AO585">
            <v>0</v>
          </cell>
          <cell r="AP585">
            <v>0</v>
          </cell>
        </row>
        <row r="586">
          <cell r="AE586">
            <v>3</v>
          </cell>
          <cell r="AF586" t="str">
            <v>Location des vehicules</v>
          </cell>
          <cell r="AG586">
            <v>0.95</v>
          </cell>
          <cell r="AH586">
            <v>0.05</v>
          </cell>
          <cell r="AI586">
            <v>92340</v>
          </cell>
          <cell r="AJ586">
            <v>0</v>
          </cell>
          <cell r="AK586">
            <v>4860</v>
          </cell>
          <cell r="AL586">
            <v>97200</v>
          </cell>
          <cell r="AM586">
            <v>46170</v>
          </cell>
          <cell r="AN586">
            <v>0</v>
          </cell>
          <cell r="AO586">
            <v>46170</v>
          </cell>
          <cell r="AP586">
            <v>0</v>
          </cell>
        </row>
        <row r="587">
          <cell r="AE587">
            <v>4</v>
          </cell>
          <cell r="AF587" t="str">
            <v>Purchase of motorcycles de marque Yamaha DT-125</v>
          </cell>
          <cell r="AG587">
            <v>0.95</v>
          </cell>
          <cell r="AH587">
            <v>0.05</v>
          </cell>
          <cell r="AI587">
            <v>38000</v>
          </cell>
          <cell r="AJ587">
            <v>0</v>
          </cell>
          <cell r="AK587">
            <v>2000</v>
          </cell>
          <cell r="AL587">
            <v>40000</v>
          </cell>
          <cell r="AM587">
            <v>38000</v>
          </cell>
          <cell r="AN587">
            <v>0</v>
          </cell>
          <cell r="AO587">
            <v>0</v>
          </cell>
          <cell r="AP587">
            <v>0</v>
          </cell>
        </row>
        <row r="588">
          <cell r="AE588">
            <v>5</v>
          </cell>
          <cell r="AF588" t="str">
            <v>Carburant Vehicle</v>
          </cell>
          <cell r="AG588">
            <v>0.95</v>
          </cell>
          <cell r="AH588">
            <v>0.05</v>
          </cell>
          <cell r="AI588">
            <v>12038.4</v>
          </cell>
          <cell r="AJ588">
            <v>0</v>
          </cell>
          <cell r="AK588">
            <v>633.6</v>
          </cell>
          <cell r="AL588">
            <v>12672</v>
          </cell>
          <cell r="AM588">
            <v>6019.2</v>
          </cell>
          <cell r="AN588">
            <v>0</v>
          </cell>
          <cell r="AO588">
            <v>6019.2</v>
          </cell>
          <cell r="AP588">
            <v>0</v>
          </cell>
        </row>
        <row r="589">
          <cell r="AE589">
            <v>6</v>
          </cell>
          <cell r="AF589" t="str">
            <v>Carburant pour 8 motos motocycles</v>
          </cell>
          <cell r="AG589">
            <v>0.95000000000000007</v>
          </cell>
          <cell r="AH589">
            <v>5.000000000000001E-2</v>
          </cell>
          <cell r="AI589">
            <v>19261.439999999999</v>
          </cell>
          <cell r="AJ589">
            <v>0</v>
          </cell>
          <cell r="AK589">
            <v>1013.7600000000001</v>
          </cell>
          <cell r="AL589">
            <v>20275.199999999997</v>
          </cell>
          <cell r="AM589">
            <v>9630.7199999999993</v>
          </cell>
          <cell r="AN589">
            <v>0</v>
          </cell>
          <cell r="AO589">
            <v>9630.7199999999993</v>
          </cell>
          <cell r="AP589">
            <v>0</v>
          </cell>
        </row>
        <row r="590">
          <cell r="AE590">
            <v>7</v>
          </cell>
          <cell r="AF590" t="str">
            <v>Maintenance motocycle</v>
          </cell>
          <cell r="AG590">
            <v>0</v>
          </cell>
          <cell r="AH590">
            <v>1</v>
          </cell>
          <cell r="AI590">
            <v>0</v>
          </cell>
          <cell r="AJ590">
            <v>0</v>
          </cell>
          <cell r="AK590">
            <v>2160</v>
          </cell>
          <cell r="AL590">
            <v>2160</v>
          </cell>
          <cell r="AM590">
            <v>0</v>
          </cell>
          <cell r="AN590">
            <v>0</v>
          </cell>
          <cell r="AO590">
            <v>0</v>
          </cell>
          <cell r="AP590">
            <v>0</v>
          </cell>
        </row>
        <row r="591">
          <cell r="AE591">
            <v>8</v>
          </cell>
          <cell r="AF591" t="str">
            <v>Rent bureau - Rutshuru</v>
          </cell>
          <cell r="AG591">
            <v>0.95</v>
          </cell>
          <cell r="AH591">
            <v>0.05</v>
          </cell>
          <cell r="AI591">
            <v>13680</v>
          </cell>
          <cell r="AJ591">
            <v>0</v>
          </cell>
          <cell r="AK591">
            <v>720</v>
          </cell>
          <cell r="AL591">
            <v>14400</v>
          </cell>
          <cell r="AM591">
            <v>6840</v>
          </cell>
          <cell r="AN591">
            <v>0</v>
          </cell>
          <cell r="AO591">
            <v>6840</v>
          </cell>
          <cell r="AP591">
            <v>0</v>
          </cell>
        </row>
        <row r="592">
          <cell r="AE592">
            <v>9</v>
          </cell>
          <cell r="AF592" t="str">
            <v>Rent bureau -Goma</v>
          </cell>
          <cell r="AG592">
            <v>0.95</v>
          </cell>
          <cell r="AH592">
            <v>0.05</v>
          </cell>
          <cell r="AI592">
            <v>17100</v>
          </cell>
          <cell r="AJ592">
            <v>0</v>
          </cell>
          <cell r="AK592">
            <v>900</v>
          </cell>
          <cell r="AL592">
            <v>18000</v>
          </cell>
          <cell r="AM592">
            <v>8550</v>
          </cell>
          <cell r="AN592">
            <v>0</v>
          </cell>
          <cell r="AO592">
            <v>8550</v>
          </cell>
          <cell r="AP592">
            <v>0</v>
          </cell>
        </row>
        <row r="593">
          <cell r="AE593">
            <v>10</v>
          </cell>
          <cell r="AF593" t="str">
            <v>Fournitures de bureau - Rutshuru</v>
          </cell>
          <cell r="AG593">
            <v>0.95</v>
          </cell>
          <cell r="AH593">
            <v>0.05</v>
          </cell>
          <cell r="AI593">
            <v>2736</v>
          </cell>
          <cell r="AJ593">
            <v>0</v>
          </cell>
          <cell r="AK593">
            <v>144</v>
          </cell>
          <cell r="AL593">
            <v>2880</v>
          </cell>
          <cell r="AM593">
            <v>1368</v>
          </cell>
          <cell r="AN593">
            <v>0</v>
          </cell>
          <cell r="AO593">
            <v>1368</v>
          </cell>
          <cell r="AP593">
            <v>0</v>
          </cell>
        </row>
        <row r="594">
          <cell r="AE594">
            <v>11</v>
          </cell>
          <cell r="AF594" t="str">
            <v>Fournitures de bureau - Goma</v>
          </cell>
          <cell r="AG594">
            <v>0.95</v>
          </cell>
          <cell r="AH594">
            <v>0.05</v>
          </cell>
          <cell r="AI594">
            <v>3420</v>
          </cell>
          <cell r="AJ594">
            <v>0</v>
          </cell>
          <cell r="AK594">
            <v>180</v>
          </cell>
          <cell r="AL594">
            <v>3600</v>
          </cell>
          <cell r="AM594">
            <v>1710</v>
          </cell>
          <cell r="AN594">
            <v>0</v>
          </cell>
          <cell r="AO594">
            <v>1710</v>
          </cell>
          <cell r="AP594">
            <v>0</v>
          </cell>
        </row>
        <row r="595">
          <cell r="AE595">
            <v>12</v>
          </cell>
          <cell r="AF595" t="str">
            <v>Internet et communication Rutshuru</v>
          </cell>
          <cell r="AG595">
            <v>9.5000000000000001E-2</v>
          </cell>
          <cell r="AH595">
            <v>0.90500000000000003</v>
          </cell>
          <cell r="AI595">
            <v>2052</v>
          </cell>
          <cell r="AJ595">
            <v>0</v>
          </cell>
          <cell r="AK595">
            <v>19548</v>
          </cell>
          <cell r="AL595">
            <v>21600</v>
          </cell>
          <cell r="AM595">
            <v>1026</v>
          </cell>
          <cell r="AN595">
            <v>0</v>
          </cell>
          <cell r="AO595">
            <v>1026</v>
          </cell>
          <cell r="AP595">
            <v>0</v>
          </cell>
        </row>
        <row r="596">
          <cell r="AE596">
            <v>13</v>
          </cell>
          <cell r="AF596" t="str">
            <v>Internet et communication Goma</v>
          </cell>
          <cell r="AG596">
            <v>0.25</v>
          </cell>
          <cell r="AH596">
            <v>0.75</v>
          </cell>
          <cell r="AI596">
            <v>3600</v>
          </cell>
          <cell r="AJ596">
            <v>0</v>
          </cell>
          <cell r="AK596">
            <v>10800</v>
          </cell>
          <cell r="AL596">
            <v>14400</v>
          </cell>
          <cell r="AM596">
            <v>1800</v>
          </cell>
          <cell r="AN596">
            <v>0</v>
          </cell>
          <cell r="AO596">
            <v>1800</v>
          </cell>
          <cell r="AP596">
            <v>0</v>
          </cell>
        </row>
        <row r="597">
          <cell r="AE597">
            <v>14</v>
          </cell>
          <cell r="AF597" t="str">
            <v>Securite bureau Rutshuru</v>
          </cell>
          <cell r="AG597">
            <v>0.95</v>
          </cell>
          <cell r="AH597">
            <v>0.05</v>
          </cell>
          <cell r="AI597">
            <v>10260</v>
          </cell>
          <cell r="AJ597">
            <v>0</v>
          </cell>
          <cell r="AK597">
            <v>540</v>
          </cell>
          <cell r="AL597">
            <v>10800</v>
          </cell>
          <cell r="AM597">
            <v>5130</v>
          </cell>
          <cell r="AN597">
            <v>0</v>
          </cell>
          <cell r="AO597">
            <v>5130</v>
          </cell>
          <cell r="AP597">
            <v>0</v>
          </cell>
        </row>
        <row r="598">
          <cell r="AE598">
            <v>15</v>
          </cell>
          <cell r="AF598" t="str">
            <v>Securite bureau Goma</v>
          </cell>
          <cell r="AG598">
            <v>0.95</v>
          </cell>
          <cell r="AH598">
            <v>0.05</v>
          </cell>
          <cell r="AI598">
            <v>3420</v>
          </cell>
          <cell r="AJ598">
            <v>0</v>
          </cell>
          <cell r="AK598">
            <v>180</v>
          </cell>
          <cell r="AL598">
            <v>3600</v>
          </cell>
          <cell r="AM598">
            <v>1710</v>
          </cell>
          <cell r="AN598">
            <v>0</v>
          </cell>
          <cell r="AO598">
            <v>1710</v>
          </cell>
          <cell r="AP598">
            <v>0</v>
          </cell>
        </row>
        <row r="599">
          <cell r="AE599">
            <v>16</v>
          </cell>
          <cell r="AF599" t="str">
            <v>Carburant Generateur</v>
          </cell>
          <cell r="AG599">
            <v>0.95</v>
          </cell>
          <cell r="AH599">
            <v>0.05</v>
          </cell>
          <cell r="AI599">
            <v>6019.2</v>
          </cell>
          <cell r="AJ599">
            <v>0</v>
          </cell>
          <cell r="AK599">
            <v>316.8</v>
          </cell>
          <cell r="AL599">
            <v>6336</v>
          </cell>
          <cell r="AM599">
            <v>3009.6</v>
          </cell>
          <cell r="AN599">
            <v>0</v>
          </cell>
          <cell r="AO599">
            <v>3009.6</v>
          </cell>
          <cell r="AP599">
            <v>0</v>
          </cell>
        </row>
        <row r="600">
          <cell r="AE600">
            <v>17</v>
          </cell>
          <cell r="AF600" t="str">
            <v>Eau et Electricite Bureau Rutshuru</v>
          </cell>
          <cell r="AG600">
            <v>0.95</v>
          </cell>
          <cell r="AH600">
            <v>0.05</v>
          </cell>
          <cell r="AI600">
            <v>3420</v>
          </cell>
          <cell r="AJ600">
            <v>0</v>
          </cell>
          <cell r="AK600">
            <v>180</v>
          </cell>
          <cell r="AL600">
            <v>3600</v>
          </cell>
          <cell r="AM600">
            <v>1710</v>
          </cell>
          <cell r="AN600">
            <v>0</v>
          </cell>
          <cell r="AO600">
            <v>1710</v>
          </cell>
          <cell r="AP600">
            <v>0</v>
          </cell>
        </row>
        <row r="601">
          <cell r="AE601">
            <v>18</v>
          </cell>
          <cell r="AF601" t="str">
            <v>Eau et Electricite Bureau Goma</v>
          </cell>
          <cell r="AG601">
            <v>0.95</v>
          </cell>
          <cell r="AH601">
            <v>0.05</v>
          </cell>
          <cell r="AI601">
            <v>1710</v>
          </cell>
          <cell r="AJ601">
            <v>0</v>
          </cell>
          <cell r="AK601">
            <v>90</v>
          </cell>
          <cell r="AL601">
            <v>1800</v>
          </cell>
          <cell r="AM601">
            <v>855</v>
          </cell>
          <cell r="AN601">
            <v>0</v>
          </cell>
          <cell r="AO601">
            <v>855</v>
          </cell>
          <cell r="AP601">
            <v>0</v>
          </cell>
        </row>
        <row r="602">
          <cell r="AE602">
            <v>19</v>
          </cell>
          <cell r="AF602" t="str">
            <v xml:space="preserve">Hospitality( café-the-sucre-lait) </v>
          </cell>
          <cell r="AG602">
            <v>0.95</v>
          </cell>
          <cell r="AH602">
            <v>0.05</v>
          </cell>
          <cell r="AI602">
            <v>3420</v>
          </cell>
          <cell r="AJ602">
            <v>0</v>
          </cell>
          <cell r="AK602">
            <v>180</v>
          </cell>
          <cell r="AL602">
            <v>3600</v>
          </cell>
          <cell r="AM602">
            <v>1710</v>
          </cell>
          <cell r="AN602">
            <v>0</v>
          </cell>
          <cell r="AO602">
            <v>1710</v>
          </cell>
          <cell r="AP602">
            <v>0</v>
          </cell>
        </row>
        <row r="603">
          <cell r="AE603">
            <v>20</v>
          </cell>
          <cell r="AF603" t="str">
            <v xml:space="preserve">COVID-19 kits </v>
          </cell>
          <cell r="AG603">
            <v>0.95</v>
          </cell>
          <cell r="AH603">
            <v>0.05</v>
          </cell>
          <cell r="AI603">
            <v>1710</v>
          </cell>
          <cell r="AJ603">
            <v>0</v>
          </cell>
          <cell r="AK603">
            <v>90</v>
          </cell>
          <cell r="AL603">
            <v>1800</v>
          </cell>
          <cell r="AM603">
            <v>855</v>
          </cell>
          <cell r="AN603">
            <v>0</v>
          </cell>
          <cell r="AO603">
            <v>855</v>
          </cell>
          <cell r="AP603">
            <v>0</v>
          </cell>
        </row>
        <row r="604">
          <cell r="AE604" t="str">
            <v>Activité 8.3</v>
          </cell>
          <cell r="AF604" t="str">
            <v>Planning, monitoring, evaluation and communication costs, pro-rated to their contribution to the programme (venue, travels, etc.)</v>
          </cell>
          <cell r="AG604">
            <v>0.99692701664532646</v>
          </cell>
          <cell r="AH604">
            <v>3.0729833546734959E-3</v>
          </cell>
          <cell r="AI604">
            <v>155720</v>
          </cell>
          <cell r="AJ604">
            <v>0</v>
          </cell>
          <cell r="AK604">
            <v>480.00000000000006</v>
          </cell>
          <cell r="AL604">
            <v>156200</v>
          </cell>
          <cell r="AM604">
            <v>67860</v>
          </cell>
          <cell r="AN604">
            <v>0</v>
          </cell>
          <cell r="AO604">
            <v>87860</v>
          </cell>
          <cell r="AP604">
            <v>0</v>
          </cell>
        </row>
        <row r="605">
          <cell r="AE605">
            <v>1</v>
          </cell>
          <cell r="AF605" t="str">
            <v xml:space="preserve"> Annual surveys (including CAP and SMART)</v>
          </cell>
          <cell r="AG605">
            <v>1</v>
          </cell>
          <cell r="AH605">
            <v>0</v>
          </cell>
          <cell r="AI605">
            <v>60000</v>
          </cell>
          <cell r="AJ605">
            <v>0</v>
          </cell>
          <cell r="AK605">
            <v>0</v>
          </cell>
          <cell r="AL605">
            <v>60000</v>
          </cell>
          <cell r="AM605">
            <v>20000</v>
          </cell>
          <cell r="AN605">
            <v>0</v>
          </cell>
          <cell r="AO605">
            <v>40000</v>
          </cell>
          <cell r="AP605">
            <v>0</v>
          </cell>
        </row>
        <row r="606">
          <cell r="AE606">
            <v>2</v>
          </cell>
          <cell r="AF606" t="str">
            <v xml:space="preserve">Communication (Unités et Internet) - </v>
          </cell>
          <cell r="AG606">
            <v>1</v>
          </cell>
          <cell r="AH606">
            <v>0</v>
          </cell>
          <cell r="AI606">
            <v>32400</v>
          </cell>
          <cell r="AJ606">
            <v>0</v>
          </cell>
          <cell r="AK606">
            <v>0</v>
          </cell>
          <cell r="AL606">
            <v>32400</v>
          </cell>
          <cell r="AM606">
            <v>16200</v>
          </cell>
          <cell r="AN606">
            <v>0</v>
          </cell>
          <cell r="AO606">
            <v>16200</v>
          </cell>
          <cell r="AP606">
            <v>0</v>
          </cell>
        </row>
        <row r="607">
          <cell r="AE607">
            <v>3</v>
          </cell>
          <cell r="AF607" t="str">
            <v xml:space="preserve">Perdiem staff d'appui </v>
          </cell>
          <cell r="AG607">
            <v>1</v>
          </cell>
          <cell r="AH607">
            <v>0</v>
          </cell>
          <cell r="AI607">
            <v>19800</v>
          </cell>
          <cell r="AJ607">
            <v>0</v>
          </cell>
          <cell r="AK607">
            <v>0</v>
          </cell>
          <cell r="AL607">
            <v>19800</v>
          </cell>
          <cell r="AM607">
            <v>9900</v>
          </cell>
          <cell r="AN607">
            <v>0</v>
          </cell>
          <cell r="AO607">
            <v>9900</v>
          </cell>
          <cell r="AP607">
            <v>0</v>
          </cell>
        </row>
        <row r="608">
          <cell r="AE608">
            <v>4</v>
          </cell>
          <cell r="AF608" t="str">
            <v>Per diem Staff Projet pour deplacement -interne</v>
          </cell>
          <cell r="AG608">
            <v>1</v>
          </cell>
          <cell r="AH608">
            <v>0</v>
          </cell>
          <cell r="AI608">
            <v>32400</v>
          </cell>
          <cell r="AJ608">
            <v>0</v>
          </cell>
          <cell r="AK608">
            <v>0</v>
          </cell>
          <cell r="AL608">
            <v>32400</v>
          </cell>
          <cell r="AM608">
            <v>16200</v>
          </cell>
          <cell r="AN608">
            <v>0</v>
          </cell>
          <cell r="AO608">
            <v>16200</v>
          </cell>
          <cell r="AP608">
            <v>0</v>
          </cell>
        </row>
        <row r="609">
          <cell r="AE609">
            <v>5</v>
          </cell>
          <cell r="AF609" t="str">
            <v>Start up &amp; close out workshop</v>
          </cell>
          <cell r="AG609">
            <v>1</v>
          </cell>
          <cell r="AH609">
            <v>0</v>
          </cell>
          <cell r="AI609">
            <v>10000</v>
          </cell>
          <cell r="AJ609">
            <v>0</v>
          </cell>
          <cell r="AK609">
            <v>0</v>
          </cell>
          <cell r="AL609">
            <v>10000</v>
          </cell>
          <cell r="AM609">
            <v>5000</v>
          </cell>
          <cell r="AN609">
            <v>0</v>
          </cell>
          <cell r="AO609">
            <v>5000</v>
          </cell>
          <cell r="AP609">
            <v>0</v>
          </cell>
        </row>
        <row r="610">
          <cell r="AE610">
            <v>6</v>
          </cell>
          <cell r="AF610" t="str">
            <v xml:space="preserve">Frais de mission de suivis et évaluation de l'Officier M&amp;E  et Financier Principal (1 mission de 10 jours / Trimestre) </v>
          </cell>
          <cell r="AG610">
            <v>0.7</v>
          </cell>
          <cell r="AH610">
            <v>0.30000000000000004</v>
          </cell>
          <cell r="AI610">
            <v>1120</v>
          </cell>
          <cell r="AJ610">
            <v>0</v>
          </cell>
          <cell r="AK610">
            <v>480.00000000000006</v>
          </cell>
          <cell r="AL610">
            <v>1600</v>
          </cell>
          <cell r="AM610">
            <v>560</v>
          </cell>
          <cell r="AN610">
            <v>0</v>
          </cell>
          <cell r="AO610">
            <v>560</v>
          </cell>
          <cell r="AP610">
            <v>0</v>
          </cell>
        </row>
        <row r="611">
          <cell r="AE611" t="str">
            <v>GEEP W</v>
          </cell>
          <cell r="AF611" t="str">
            <v>Couts operationnels WASH</v>
          </cell>
          <cell r="AG611">
            <v>0.72538524082391198</v>
          </cell>
          <cell r="AH611">
            <v>0.27461475917608796</v>
          </cell>
          <cell r="AI611">
            <v>374705</v>
          </cell>
          <cell r="AJ611">
            <v>0</v>
          </cell>
          <cell r="AK611">
            <v>141855</v>
          </cell>
          <cell r="AL611">
            <v>516560</v>
          </cell>
          <cell r="AM611">
            <v>177752.5</v>
          </cell>
          <cell r="AN611">
            <v>0</v>
          </cell>
          <cell r="AO611">
            <v>196952.5</v>
          </cell>
          <cell r="AP611">
            <v>0</v>
          </cell>
        </row>
        <row r="612">
          <cell r="AE612" t="str">
            <v>Activité 9.1.</v>
          </cell>
          <cell r="AF612" t="str">
            <v>Salaires du personnel qui travaille indirectement sur le programme (Directeur Pays, M&amp;E, Logisticien etc) avec % prorata</v>
          </cell>
          <cell r="AG612">
            <v>0.25</v>
          </cell>
          <cell r="AH612">
            <v>0.75</v>
          </cell>
          <cell r="AI612">
            <v>40725</v>
          </cell>
          <cell r="AJ612">
            <v>0</v>
          </cell>
          <cell r="AK612">
            <v>122175</v>
          </cell>
          <cell r="AL612">
            <v>162900</v>
          </cell>
          <cell r="AM612">
            <v>20362.5</v>
          </cell>
          <cell r="AN612">
            <v>0</v>
          </cell>
          <cell r="AO612">
            <v>20362.5</v>
          </cell>
          <cell r="AP612">
            <v>0</v>
          </cell>
        </row>
        <row r="613">
          <cell r="AE613" t="str">
            <v>9.1.1</v>
          </cell>
          <cell r="AF613" t="str">
            <v>Directeur de CADEGO (25%)</v>
          </cell>
          <cell r="AG613">
            <v>0.25</v>
          </cell>
          <cell r="AH613">
            <v>0.75</v>
          </cell>
          <cell r="AI613">
            <v>9000</v>
          </cell>
          <cell r="AJ613">
            <v>0</v>
          </cell>
          <cell r="AK613">
            <v>27000</v>
          </cell>
          <cell r="AL613">
            <v>36000</v>
          </cell>
          <cell r="AM613">
            <v>4500</v>
          </cell>
          <cell r="AN613">
            <v>0</v>
          </cell>
          <cell r="AO613">
            <v>4500</v>
          </cell>
          <cell r="AP613">
            <v>0</v>
          </cell>
        </row>
        <row r="614">
          <cell r="AE614" t="str">
            <v>9.1.2</v>
          </cell>
          <cell r="AF614" t="str">
            <v>Coodonateur du bureau diocesain de developpement( BDD) (25%)</v>
          </cell>
          <cell r="AG614">
            <v>0.25</v>
          </cell>
          <cell r="AH614">
            <v>0.75</v>
          </cell>
          <cell r="AI614">
            <v>8775</v>
          </cell>
          <cell r="AJ614">
            <v>0</v>
          </cell>
          <cell r="AK614">
            <v>26325</v>
          </cell>
          <cell r="AL614">
            <v>35100</v>
          </cell>
          <cell r="AM614">
            <v>4387.5</v>
          </cell>
          <cell r="AN614">
            <v>0</v>
          </cell>
          <cell r="AO614">
            <v>4387.5</v>
          </cell>
          <cell r="AP614">
            <v>0</v>
          </cell>
        </row>
        <row r="615">
          <cell r="AE615" t="str">
            <v>9.1.3</v>
          </cell>
          <cell r="AF615" t="str">
            <v>Chef de qualité des programme (25%)</v>
          </cell>
          <cell r="AG615">
            <v>0.25</v>
          </cell>
          <cell r="AH615">
            <v>0.75</v>
          </cell>
          <cell r="AI615">
            <v>8100</v>
          </cell>
          <cell r="AJ615">
            <v>0</v>
          </cell>
          <cell r="AK615">
            <v>24300</v>
          </cell>
          <cell r="AL615">
            <v>32400</v>
          </cell>
          <cell r="AM615">
            <v>4050</v>
          </cell>
          <cell r="AN615">
            <v>0</v>
          </cell>
          <cell r="AO615">
            <v>4050</v>
          </cell>
          <cell r="AP615">
            <v>0</v>
          </cell>
        </row>
        <row r="616">
          <cell r="AE616" t="str">
            <v>9.1.4</v>
          </cell>
          <cell r="AF616" t="str">
            <v>Chargé des Ressources Humaines (25%)</v>
          </cell>
          <cell r="AG616">
            <v>0.25</v>
          </cell>
          <cell r="AH616">
            <v>0.75</v>
          </cell>
          <cell r="AI616">
            <v>8100</v>
          </cell>
          <cell r="AJ616">
            <v>0</v>
          </cell>
          <cell r="AK616">
            <v>24300</v>
          </cell>
          <cell r="AL616">
            <v>32400</v>
          </cell>
          <cell r="AM616">
            <v>4050</v>
          </cell>
          <cell r="AN616">
            <v>0</v>
          </cell>
          <cell r="AO616">
            <v>4050</v>
          </cell>
          <cell r="AP616">
            <v>0</v>
          </cell>
        </row>
        <row r="617">
          <cell r="AE617" t="str">
            <v>9.1.5</v>
          </cell>
          <cell r="AF617" t="str">
            <v>Chef de departement logistique (25%)</v>
          </cell>
          <cell r="AG617">
            <v>0.25</v>
          </cell>
          <cell r="AH617">
            <v>0.75</v>
          </cell>
          <cell r="AI617">
            <v>6750</v>
          </cell>
          <cell r="AJ617">
            <v>0</v>
          </cell>
          <cell r="AK617">
            <v>20250</v>
          </cell>
          <cell r="AL617">
            <v>27000</v>
          </cell>
          <cell r="AM617">
            <v>3375</v>
          </cell>
          <cell r="AN617">
            <v>0</v>
          </cell>
          <cell r="AO617">
            <v>3375</v>
          </cell>
          <cell r="AP617">
            <v>0</v>
          </cell>
        </row>
        <row r="618">
          <cell r="AE618">
            <v>9.1999999999999993</v>
          </cell>
          <cell r="AF618" t="str">
            <v xml:space="preserve">Coûts opérationnels liés au fonctionnement </v>
          </cell>
          <cell r="AG618">
            <v>0.94435333371034325</v>
          </cell>
          <cell r="AH618">
            <v>5.5646666289656734E-2</v>
          </cell>
          <cell r="AI618">
            <v>333980</v>
          </cell>
          <cell r="AJ618">
            <v>0</v>
          </cell>
          <cell r="AK618">
            <v>19680</v>
          </cell>
          <cell r="AL618">
            <v>353660</v>
          </cell>
          <cell r="AM618">
            <v>157390</v>
          </cell>
          <cell r="AN618">
            <v>0</v>
          </cell>
          <cell r="AO618">
            <v>176590</v>
          </cell>
          <cell r="AP618">
            <v>0</v>
          </cell>
        </row>
        <row r="619">
          <cell r="AE619" t="str">
            <v>9.2.1</v>
          </cell>
          <cell r="AF619" t="str">
            <v xml:space="preserve">Entretien motos prêt  de l'Unicef </v>
          </cell>
          <cell r="AG619">
            <v>0</v>
          </cell>
          <cell r="AH619">
            <v>1</v>
          </cell>
          <cell r="AI619">
            <v>0</v>
          </cell>
          <cell r="AJ619">
            <v>0</v>
          </cell>
          <cell r="AK619">
            <v>2160</v>
          </cell>
          <cell r="AL619">
            <v>2160</v>
          </cell>
          <cell r="AM619">
            <v>0</v>
          </cell>
          <cell r="AN619">
            <v>0</v>
          </cell>
          <cell r="AO619">
            <v>0</v>
          </cell>
          <cell r="AP619">
            <v>0</v>
          </cell>
        </row>
        <row r="620">
          <cell r="AE620" t="str">
            <v>9.2.2</v>
          </cell>
          <cell r="AF620" t="str">
            <v xml:space="preserve">Rehabilitation bases </v>
          </cell>
          <cell r="AG620">
            <v>0.625</v>
          </cell>
          <cell r="AH620">
            <v>0.375</v>
          </cell>
          <cell r="AI620">
            <v>10000</v>
          </cell>
          <cell r="AJ620">
            <v>0</v>
          </cell>
          <cell r="AK620">
            <v>6000</v>
          </cell>
          <cell r="AL620">
            <v>16000</v>
          </cell>
          <cell r="AM620">
            <v>2000</v>
          </cell>
          <cell r="AN620">
            <v>0</v>
          </cell>
          <cell r="AO620">
            <v>8000</v>
          </cell>
          <cell r="AP620">
            <v>0</v>
          </cell>
        </row>
        <row r="621">
          <cell r="AE621" t="str">
            <v>9.2.3</v>
          </cell>
          <cell r="AF621" t="str">
            <v>Entretien groupe éléctrogène</v>
          </cell>
          <cell r="AG621">
            <v>0</v>
          </cell>
          <cell r="AH621">
            <v>1</v>
          </cell>
          <cell r="AI621">
            <v>0</v>
          </cell>
          <cell r="AJ621">
            <v>0</v>
          </cell>
          <cell r="AK621">
            <v>720</v>
          </cell>
          <cell r="AL621">
            <v>720</v>
          </cell>
          <cell r="AM621">
            <v>0</v>
          </cell>
          <cell r="AN621">
            <v>0</v>
          </cell>
          <cell r="AO621">
            <v>0</v>
          </cell>
          <cell r="AP621">
            <v>0</v>
          </cell>
        </row>
        <row r="622">
          <cell r="AE622" t="str">
            <v>9.2.4</v>
          </cell>
          <cell r="AF622" t="str">
            <v>Fournitures/papeteries et consommables</v>
          </cell>
          <cell r="AG622">
            <v>1</v>
          </cell>
          <cell r="AH622">
            <v>0</v>
          </cell>
          <cell r="AI622">
            <v>7000</v>
          </cell>
          <cell r="AJ622">
            <v>0</v>
          </cell>
          <cell r="AK622">
            <v>0</v>
          </cell>
          <cell r="AL622">
            <v>7000</v>
          </cell>
          <cell r="AM622">
            <v>3500</v>
          </cell>
          <cell r="AN622">
            <v>0</v>
          </cell>
          <cell r="AO622">
            <v>3500</v>
          </cell>
          <cell r="AP622">
            <v>0</v>
          </cell>
        </row>
        <row r="623">
          <cell r="AE623" t="str">
            <v>9.2.5</v>
          </cell>
          <cell r="AF623" t="str">
            <v>Cartes pour communication</v>
          </cell>
          <cell r="AG623">
            <v>1</v>
          </cell>
          <cell r="AH623">
            <v>0</v>
          </cell>
          <cell r="AI623">
            <v>6480</v>
          </cell>
          <cell r="AJ623">
            <v>0</v>
          </cell>
          <cell r="AK623">
            <v>0</v>
          </cell>
          <cell r="AL623">
            <v>6480</v>
          </cell>
          <cell r="AM623">
            <v>3240</v>
          </cell>
          <cell r="AN623">
            <v>0</v>
          </cell>
          <cell r="AO623">
            <v>3240</v>
          </cell>
          <cell r="AP623">
            <v>0</v>
          </cell>
        </row>
        <row r="624">
          <cell r="AE624" t="str">
            <v>9.2.7</v>
          </cell>
          <cell r="AF624" t="str">
            <v xml:space="preserve">Achat Kit Internet VSAT </v>
          </cell>
          <cell r="AG624">
            <v>1</v>
          </cell>
          <cell r="AH624">
            <v>0</v>
          </cell>
          <cell r="AI624">
            <v>1800</v>
          </cell>
          <cell r="AJ624">
            <v>0</v>
          </cell>
          <cell r="AK624">
            <v>0</v>
          </cell>
          <cell r="AL624">
            <v>1800</v>
          </cell>
          <cell r="AM624">
            <v>900</v>
          </cell>
          <cell r="AN624">
            <v>0</v>
          </cell>
          <cell r="AO624">
            <v>900</v>
          </cell>
          <cell r="AP624">
            <v>0</v>
          </cell>
        </row>
        <row r="625">
          <cell r="AE625" t="str">
            <v>9.2.8</v>
          </cell>
          <cell r="AF625" t="str">
            <v xml:space="preserve">Paiement connexion </v>
          </cell>
          <cell r="AG625">
            <v>1</v>
          </cell>
          <cell r="AH625">
            <v>0</v>
          </cell>
          <cell r="AI625">
            <v>1800</v>
          </cell>
          <cell r="AJ625">
            <v>0</v>
          </cell>
          <cell r="AK625">
            <v>0</v>
          </cell>
          <cell r="AL625">
            <v>1800</v>
          </cell>
          <cell r="AM625">
            <v>900</v>
          </cell>
          <cell r="AN625">
            <v>0</v>
          </cell>
          <cell r="AO625">
            <v>900</v>
          </cell>
          <cell r="AP625">
            <v>0</v>
          </cell>
        </row>
        <row r="626">
          <cell r="AE626" t="str">
            <v>9.2.9</v>
          </cell>
          <cell r="AF626" t="str">
            <v>Frais maintenance generateurs</v>
          </cell>
          <cell r="AG626">
            <v>0</v>
          </cell>
          <cell r="AH626">
            <v>1</v>
          </cell>
          <cell r="AI626">
            <v>0</v>
          </cell>
          <cell r="AJ626">
            <v>0</v>
          </cell>
          <cell r="AK626">
            <v>10800</v>
          </cell>
          <cell r="AL626">
            <v>10800</v>
          </cell>
          <cell r="AM626">
            <v>0</v>
          </cell>
          <cell r="AN626">
            <v>0</v>
          </cell>
          <cell r="AO626">
            <v>0</v>
          </cell>
          <cell r="AP626">
            <v>0</v>
          </cell>
        </row>
        <row r="627">
          <cell r="AE627" t="str">
            <v>9.2.11</v>
          </cell>
          <cell r="AF627" t="str">
            <v>Carburant/ gasual motos; vehicules et generateur</v>
          </cell>
          <cell r="AG627">
            <v>1</v>
          </cell>
          <cell r="AH627">
            <v>0</v>
          </cell>
          <cell r="AI627">
            <v>43200</v>
          </cell>
          <cell r="AJ627">
            <v>0</v>
          </cell>
          <cell r="AK627">
            <v>0</v>
          </cell>
          <cell r="AL627">
            <v>43200</v>
          </cell>
          <cell r="AM627">
            <v>21600</v>
          </cell>
          <cell r="AN627">
            <v>0</v>
          </cell>
          <cell r="AO627">
            <v>21600</v>
          </cell>
          <cell r="AP627">
            <v>0</v>
          </cell>
        </row>
        <row r="628">
          <cell r="AE628" t="str">
            <v>9.2.12</v>
          </cell>
          <cell r="AF628" t="str">
            <v>Achat kits complet ordinateur pour équipe de la supervision et des assistants logistique (ordinateur, imprimante, disque dur,…)</v>
          </cell>
          <cell r="AG628">
            <v>1</v>
          </cell>
          <cell r="AH628">
            <v>0</v>
          </cell>
          <cell r="AI628">
            <v>9000</v>
          </cell>
          <cell r="AJ628">
            <v>0</v>
          </cell>
          <cell r="AK628">
            <v>0</v>
          </cell>
          <cell r="AL628">
            <v>9000</v>
          </cell>
          <cell r="AM628">
            <v>3000</v>
          </cell>
          <cell r="AN628">
            <v>0</v>
          </cell>
          <cell r="AO628">
            <v>6000</v>
          </cell>
          <cell r="AP628">
            <v>0</v>
          </cell>
        </row>
        <row r="629">
          <cell r="AE629" t="str">
            <v>9.2.13</v>
          </cell>
          <cell r="AF629" t="str">
            <v xml:space="preserve">Achat Groupe electrogene </v>
          </cell>
          <cell r="AG629">
            <v>1</v>
          </cell>
          <cell r="AH629">
            <v>0</v>
          </cell>
          <cell r="AI629">
            <v>9900</v>
          </cell>
          <cell r="AJ629">
            <v>0</v>
          </cell>
          <cell r="AK629">
            <v>0</v>
          </cell>
          <cell r="AL629">
            <v>9900</v>
          </cell>
          <cell r="AM629">
            <v>3300</v>
          </cell>
          <cell r="AN629">
            <v>0</v>
          </cell>
          <cell r="AO629">
            <v>6600</v>
          </cell>
          <cell r="AP629">
            <v>0</v>
          </cell>
        </row>
        <row r="630">
          <cell r="AE630" t="str">
            <v>9.2.14</v>
          </cell>
          <cell r="AF630" t="str">
            <v>Achat motos Yamaha DT-125</v>
          </cell>
          <cell r="AG630">
            <v>1</v>
          </cell>
          <cell r="AH630">
            <v>0</v>
          </cell>
          <cell r="AI630">
            <v>120000</v>
          </cell>
          <cell r="AJ630">
            <v>0</v>
          </cell>
          <cell r="AK630">
            <v>0</v>
          </cell>
          <cell r="AL630">
            <v>120000</v>
          </cell>
          <cell r="AM630">
            <v>60000</v>
          </cell>
          <cell r="AN630">
            <v>0</v>
          </cell>
          <cell r="AO630">
            <v>60000</v>
          </cell>
          <cell r="AP630">
            <v>0</v>
          </cell>
        </row>
        <row r="631">
          <cell r="AE631" t="str">
            <v>9.2.15</v>
          </cell>
          <cell r="AF631" t="str">
            <v>Achat GPS Garmin 60C</v>
          </cell>
          <cell r="AG631">
            <v>1</v>
          </cell>
          <cell r="AH631">
            <v>0</v>
          </cell>
          <cell r="AI631">
            <v>5400</v>
          </cell>
          <cell r="AJ631">
            <v>0</v>
          </cell>
          <cell r="AK631">
            <v>0</v>
          </cell>
          <cell r="AL631">
            <v>5400</v>
          </cell>
          <cell r="AM631">
            <v>1800</v>
          </cell>
          <cell r="AN631">
            <v>0</v>
          </cell>
          <cell r="AO631">
            <v>3600</v>
          </cell>
          <cell r="AP631">
            <v>0</v>
          </cell>
        </row>
        <row r="632">
          <cell r="AE632" t="str">
            <v>9.2.16</v>
          </cell>
          <cell r="AF632" t="str">
            <v>Appui au loyer du bureau de Goma (pour le BDD) (5%)</v>
          </cell>
          <cell r="AG632">
            <v>1</v>
          </cell>
          <cell r="AH632">
            <v>0</v>
          </cell>
          <cell r="AI632">
            <v>30000</v>
          </cell>
          <cell r="AJ632">
            <v>0</v>
          </cell>
          <cell r="AK632">
            <v>0</v>
          </cell>
          <cell r="AL632">
            <v>30000</v>
          </cell>
          <cell r="AM632">
            <v>13500</v>
          </cell>
          <cell r="AN632">
            <v>0</v>
          </cell>
          <cell r="AO632">
            <v>16500</v>
          </cell>
          <cell r="AP632">
            <v>0</v>
          </cell>
        </row>
        <row r="633">
          <cell r="AE633" t="str">
            <v>2.2.17</v>
          </cell>
          <cell r="AF633" t="str">
            <v>Location bases terrains</v>
          </cell>
          <cell r="AG633">
            <v>1</v>
          </cell>
          <cell r="AH633">
            <v>0</v>
          </cell>
          <cell r="AI633">
            <v>20000</v>
          </cell>
          <cell r="AJ633">
            <v>0</v>
          </cell>
          <cell r="AK633">
            <v>0</v>
          </cell>
          <cell r="AL633">
            <v>20000</v>
          </cell>
          <cell r="AM633">
            <v>9000</v>
          </cell>
          <cell r="AN633">
            <v>0</v>
          </cell>
          <cell r="AO633">
            <v>11000</v>
          </cell>
          <cell r="AP633">
            <v>0</v>
          </cell>
        </row>
        <row r="634">
          <cell r="AE634" t="str">
            <v>9.2.18</v>
          </cell>
          <cell r="AF634" t="str">
            <v>Location Vehicule pour la supervision</v>
          </cell>
          <cell r="AG634">
            <v>1</v>
          </cell>
          <cell r="AH634">
            <v>0</v>
          </cell>
          <cell r="AI634">
            <v>64800</v>
          </cell>
          <cell r="AJ634">
            <v>0</v>
          </cell>
          <cell r="AK634">
            <v>0</v>
          </cell>
          <cell r="AL634">
            <v>64800</v>
          </cell>
          <cell r="AM634">
            <v>32400</v>
          </cell>
          <cell r="AN634">
            <v>0</v>
          </cell>
          <cell r="AO634">
            <v>32400</v>
          </cell>
          <cell r="AP634">
            <v>0</v>
          </cell>
        </row>
        <row r="635">
          <cell r="AE635" t="str">
            <v>9.2.19</v>
          </cell>
          <cell r="AF635" t="str">
            <v xml:space="preserve">Location dépôt </v>
          </cell>
          <cell r="AG635">
            <v>1</v>
          </cell>
          <cell r="AH635">
            <v>0</v>
          </cell>
          <cell r="AI635">
            <v>3600</v>
          </cell>
          <cell r="AJ635">
            <v>0</v>
          </cell>
          <cell r="AK635">
            <v>0</v>
          </cell>
          <cell r="AL635">
            <v>3600</v>
          </cell>
          <cell r="AM635">
            <v>1800</v>
          </cell>
          <cell r="AN635">
            <v>0</v>
          </cell>
          <cell r="AO635">
            <v>1800</v>
          </cell>
          <cell r="AP635">
            <v>0</v>
          </cell>
        </row>
        <row r="636">
          <cell r="AE636" t="str">
            <v>9.2.20</v>
          </cell>
          <cell r="AF636" t="str">
            <v xml:space="preserve">KIT PPE </v>
          </cell>
          <cell r="AG636">
            <v>1</v>
          </cell>
          <cell r="AH636">
            <v>0</v>
          </cell>
          <cell r="AI636">
            <v>1000</v>
          </cell>
          <cell r="AJ636">
            <v>0</v>
          </cell>
          <cell r="AK636">
            <v>0</v>
          </cell>
          <cell r="AL636">
            <v>1000</v>
          </cell>
          <cell r="AM636">
            <v>450</v>
          </cell>
          <cell r="AN636">
            <v>0</v>
          </cell>
          <cell r="AO636">
            <v>550</v>
          </cell>
          <cell r="AP636">
            <v>0</v>
          </cell>
        </row>
        <row r="637">
          <cell r="AE637" t="str">
            <v>GEEP C</v>
          </cell>
          <cell r="AF637" t="str">
            <v>Couts operationnels C4D</v>
          </cell>
          <cell r="AG637">
            <v>0.49179354421163335</v>
          </cell>
          <cell r="AH637">
            <v>0.50820645578836665</v>
          </cell>
          <cell r="AI637">
            <v>182371.8</v>
          </cell>
          <cell r="AJ637">
            <v>0</v>
          </cell>
          <cell r="AK637">
            <v>188458.2</v>
          </cell>
          <cell r="AL637">
            <v>370830</v>
          </cell>
          <cell r="AM637">
            <v>91450.9</v>
          </cell>
          <cell r="AN637">
            <v>0</v>
          </cell>
          <cell r="AO637">
            <v>90920.9</v>
          </cell>
          <cell r="AP637">
            <v>0</v>
          </cell>
        </row>
        <row r="638">
          <cell r="AE638" t="str">
            <v>Activité 10.1</v>
          </cell>
          <cell r="AF638" t="str">
            <v>Salaires du personnel qui travaille indirectement sur le programme (Directeur Pays, M&amp;E, Logisticien etc) avec % prorata</v>
          </cell>
          <cell r="AG638">
            <v>0.28073401613904408</v>
          </cell>
          <cell r="AH638">
            <v>0.71926598386095597</v>
          </cell>
          <cell r="AI638">
            <v>65125.8</v>
          </cell>
          <cell r="AJ638">
            <v>0</v>
          </cell>
          <cell r="AK638">
            <v>166858.20000000001</v>
          </cell>
          <cell r="AL638">
            <v>231984</v>
          </cell>
          <cell r="AM638">
            <v>32562.9</v>
          </cell>
          <cell r="AN638">
            <v>0</v>
          </cell>
          <cell r="AO638">
            <v>32562.9</v>
          </cell>
          <cell r="AP638">
            <v>0</v>
          </cell>
        </row>
        <row r="639">
          <cell r="AE639">
            <v>1</v>
          </cell>
          <cell r="AF639" t="str">
            <v xml:space="preserve">Coordonnateur National (25%) </v>
          </cell>
          <cell r="AG639">
            <v>0.25</v>
          </cell>
          <cell r="AH639">
            <v>0.75</v>
          </cell>
          <cell r="AI639">
            <v>9000</v>
          </cell>
          <cell r="AJ639">
            <v>0</v>
          </cell>
          <cell r="AK639">
            <v>27000</v>
          </cell>
          <cell r="AL639">
            <v>36000</v>
          </cell>
          <cell r="AM639">
            <v>4500</v>
          </cell>
          <cell r="AN639">
            <v>0</v>
          </cell>
          <cell r="AO639">
            <v>4500</v>
          </cell>
          <cell r="AP639">
            <v>0</v>
          </cell>
        </row>
        <row r="640">
          <cell r="AE640">
            <v>2</v>
          </cell>
          <cell r="AF640" t="str">
            <v>Charge de programme (25%)</v>
          </cell>
          <cell r="AG640">
            <v>0.25</v>
          </cell>
          <cell r="AH640">
            <v>0.75</v>
          </cell>
          <cell r="AI640">
            <v>8100</v>
          </cell>
          <cell r="AJ640">
            <v>0</v>
          </cell>
          <cell r="AK640">
            <v>24300</v>
          </cell>
          <cell r="AL640">
            <v>32400</v>
          </cell>
          <cell r="AM640">
            <v>4050</v>
          </cell>
          <cell r="AN640">
            <v>0</v>
          </cell>
          <cell r="AO640">
            <v>4050</v>
          </cell>
          <cell r="AP640">
            <v>0</v>
          </cell>
        </row>
        <row r="641">
          <cell r="AE641">
            <v>3</v>
          </cell>
          <cell r="AF641" t="str">
            <v>Charge de suivi et evaluation (40%)</v>
          </cell>
          <cell r="AG641">
            <v>0.4</v>
          </cell>
          <cell r="AH641">
            <v>0.6</v>
          </cell>
          <cell r="AI641">
            <v>8640</v>
          </cell>
          <cell r="AJ641">
            <v>0</v>
          </cell>
          <cell r="AK641">
            <v>12960</v>
          </cell>
          <cell r="AL641">
            <v>21600</v>
          </cell>
          <cell r="AM641">
            <v>4320</v>
          </cell>
          <cell r="AN641">
            <v>0</v>
          </cell>
          <cell r="AO641">
            <v>4320</v>
          </cell>
          <cell r="AP641">
            <v>0</v>
          </cell>
        </row>
        <row r="642">
          <cell r="AE642">
            <v>4</v>
          </cell>
          <cell r="AF642" t="str">
            <v>Charge de Ressources humaines  (25%)</v>
          </cell>
          <cell r="AG642">
            <v>0.25</v>
          </cell>
          <cell r="AH642">
            <v>0.75</v>
          </cell>
          <cell r="AI642">
            <v>8100</v>
          </cell>
          <cell r="AJ642">
            <v>0</v>
          </cell>
          <cell r="AK642">
            <v>24300</v>
          </cell>
          <cell r="AL642">
            <v>32400</v>
          </cell>
          <cell r="AM642">
            <v>4050</v>
          </cell>
          <cell r="AN642">
            <v>0</v>
          </cell>
          <cell r="AO642">
            <v>4050</v>
          </cell>
          <cell r="AP642">
            <v>0</v>
          </cell>
        </row>
        <row r="643">
          <cell r="AE643">
            <v>5</v>
          </cell>
          <cell r="AF643" t="str">
            <v>Logisticien (30%)</v>
          </cell>
          <cell r="AG643">
            <v>0.3</v>
          </cell>
          <cell r="AH643">
            <v>0.7</v>
          </cell>
          <cell r="AI643">
            <v>6480</v>
          </cell>
          <cell r="AJ643">
            <v>0</v>
          </cell>
          <cell r="AK643">
            <v>15119.999999999998</v>
          </cell>
          <cell r="AL643">
            <v>21600</v>
          </cell>
          <cell r="AM643">
            <v>3240</v>
          </cell>
          <cell r="AN643">
            <v>0</v>
          </cell>
          <cell r="AO643">
            <v>3240</v>
          </cell>
          <cell r="AP643">
            <v>0</v>
          </cell>
        </row>
        <row r="644">
          <cell r="AE644">
            <v>6</v>
          </cell>
          <cell r="AF644" t="str">
            <v>Caissière (30%)</v>
          </cell>
          <cell r="AG644">
            <v>0.3</v>
          </cell>
          <cell r="AH644">
            <v>0.7</v>
          </cell>
          <cell r="AI644">
            <v>3240</v>
          </cell>
          <cell r="AJ644">
            <v>0</v>
          </cell>
          <cell r="AK644">
            <v>7559.9999999999991</v>
          </cell>
          <cell r="AL644">
            <v>10800</v>
          </cell>
          <cell r="AM644">
            <v>1620</v>
          </cell>
          <cell r="AN644">
            <v>0</v>
          </cell>
          <cell r="AO644">
            <v>1620</v>
          </cell>
          <cell r="AP644">
            <v>0</v>
          </cell>
        </row>
        <row r="645">
          <cell r="AE645">
            <v>7</v>
          </cell>
          <cell r="AF645" t="str">
            <v>Chargé de communication et plaidoyer (30%)</v>
          </cell>
          <cell r="AG645">
            <v>0.3</v>
          </cell>
          <cell r="AH645">
            <v>0.7</v>
          </cell>
          <cell r="AI645">
            <v>3807</v>
          </cell>
          <cell r="AJ645">
            <v>0</v>
          </cell>
          <cell r="AK645">
            <v>8883</v>
          </cell>
          <cell r="AL645">
            <v>12690</v>
          </cell>
          <cell r="AM645">
            <v>1903.5</v>
          </cell>
          <cell r="AN645">
            <v>0</v>
          </cell>
          <cell r="AO645">
            <v>1903.5</v>
          </cell>
          <cell r="AP645">
            <v>0</v>
          </cell>
        </row>
        <row r="646">
          <cell r="AE646">
            <v>8</v>
          </cell>
          <cell r="AF646" t="str">
            <v>Comptable du bureau de la Coordination (30%)</v>
          </cell>
          <cell r="AG646">
            <v>0.3</v>
          </cell>
          <cell r="AH646">
            <v>0.7</v>
          </cell>
          <cell r="AI646">
            <v>8100</v>
          </cell>
          <cell r="AJ646">
            <v>0</v>
          </cell>
          <cell r="AK646">
            <v>18900</v>
          </cell>
          <cell r="AL646">
            <v>27000</v>
          </cell>
          <cell r="AM646">
            <v>4050</v>
          </cell>
          <cell r="AN646">
            <v>0</v>
          </cell>
          <cell r="AO646">
            <v>4050</v>
          </cell>
          <cell r="AP646">
            <v>0</v>
          </cell>
        </row>
        <row r="647">
          <cell r="AE647">
            <v>9</v>
          </cell>
          <cell r="AF647" t="str">
            <v>Secrétaire administratif (25%)</v>
          </cell>
          <cell r="AG647">
            <v>0.3</v>
          </cell>
          <cell r="AH647">
            <v>0.7</v>
          </cell>
          <cell r="AI647">
            <v>1711.8</v>
          </cell>
          <cell r="AJ647">
            <v>0</v>
          </cell>
          <cell r="AK647">
            <v>3994.2</v>
          </cell>
          <cell r="AL647">
            <v>5706</v>
          </cell>
          <cell r="AM647">
            <v>855.9</v>
          </cell>
          <cell r="AN647">
            <v>0</v>
          </cell>
          <cell r="AO647">
            <v>855.9</v>
          </cell>
          <cell r="AP647">
            <v>0</v>
          </cell>
        </row>
        <row r="648">
          <cell r="AE648">
            <v>10</v>
          </cell>
          <cell r="AF648" t="str">
            <v>Chauffeurs (25%)</v>
          </cell>
          <cell r="AG648">
            <v>0.25</v>
          </cell>
          <cell r="AH648">
            <v>0.75</v>
          </cell>
          <cell r="AI648">
            <v>2727</v>
          </cell>
          <cell r="AJ648">
            <v>0</v>
          </cell>
          <cell r="AK648">
            <v>8181</v>
          </cell>
          <cell r="AL648">
            <v>10908</v>
          </cell>
          <cell r="AM648">
            <v>1363.5</v>
          </cell>
          <cell r="AN648">
            <v>0</v>
          </cell>
          <cell r="AO648">
            <v>1363.5</v>
          </cell>
          <cell r="AP648">
            <v>0</v>
          </cell>
        </row>
        <row r="649">
          <cell r="AE649">
            <v>11</v>
          </cell>
          <cell r="AF649" t="str">
            <v>Gardiens (40%)</v>
          </cell>
          <cell r="AG649">
            <v>0.25</v>
          </cell>
          <cell r="AH649">
            <v>0.75</v>
          </cell>
          <cell r="AI649">
            <v>5220</v>
          </cell>
          <cell r="AJ649">
            <v>0</v>
          </cell>
          <cell r="AK649">
            <v>15660</v>
          </cell>
          <cell r="AL649">
            <v>20880</v>
          </cell>
          <cell r="AM649">
            <v>2610</v>
          </cell>
          <cell r="AN649">
            <v>0</v>
          </cell>
          <cell r="AO649">
            <v>2610</v>
          </cell>
          <cell r="AP649">
            <v>0</v>
          </cell>
        </row>
        <row r="650">
          <cell r="AE650" t="str">
            <v>Activité 10.2</v>
          </cell>
          <cell r="AF650" t="str">
            <v xml:space="preserve">Coûts opérationnels liés au fonctionnement </v>
          </cell>
          <cell r="AG650">
            <v>0.84443196058943004</v>
          </cell>
          <cell r="AH650">
            <v>0.15556803941056999</v>
          </cell>
          <cell r="AI650">
            <v>117246</v>
          </cell>
          <cell r="AJ650">
            <v>0</v>
          </cell>
          <cell r="AK650">
            <v>21600</v>
          </cell>
          <cell r="AL650">
            <v>138846</v>
          </cell>
          <cell r="AM650">
            <v>58888</v>
          </cell>
          <cell r="AN650">
            <v>0</v>
          </cell>
          <cell r="AO650">
            <v>58358</v>
          </cell>
          <cell r="AP650">
            <v>0</v>
          </cell>
        </row>
        <row r="651">
          <cell r="AE651">
            <v>1</v>
          </cell>
          <cell r="AF651" t="str">
            <v>Location vehicule</v>
          </cell>
          <cell r="AG651">
            <v>1</v>
          </cell>
          <cell r="AH651">
            <v>0</v>
          </cell>
          <cell r="AI651">
            <v>64720</v>
          </cell>
          <cell r="AJ651">
            <v>0</v>
          </cell>
          <cell r="AK651">
            <v>0</v>
          </cell>
          <cell r="AL651">
            <v>64720</v>
          </cell>
          <cell r="AM651">
            <v>32400</v>
          </cell>
          <cell r="AN651">
            <v>0</v>
          </cell>
          <cell r="AO651">
            <v>32320</v>
          </cell>
          <cell r="AP651">
            <v>0</v>
          </cell>
        </row>
        <row r="652">
          <cell r="AE652">
            <v>2</v>
          </cell>
          <cell r="AF652" t="str">
            <v xml:space="preserve">Achat de 2 Motos pour accessibilité de certains villages non accessibles par véhicule </v>
          </cell>
          <cell r="AG652">
            <v>1</v>
          </cell>
          <cell r="AH652">
            <v>0</v>
          </cell>
          <cell r="AI652">
            <v>20000</v>
          </cell>
          <cell r="AJ652">
            <v>0</v>
          </cell>
          <cell r="AK652">
            <v>0</v>
          </cell>
          <cell r="AL652">
            <v>20000</v>
          </cell>
          <cell r="AM652">
            <v>10000</v>
          </cell>
          <cell r="AN652">
            <v>0</v>
          </cell>
          <cell r="AO652">
            <v>10000</v>
          </cell>
          <cell r="AP652">
            <v>0</v>
          </cell>
        </row>
        <row r="653">
          <cell r="AE653">
            <v>3</v>
          </cell>
          <cell r="AF653" t="str">
            <v>Carburant pour motos</v>
          </cell>
          <cell r="AG653">
            <v>1</v>
          </cell>
          <cell r="AH653">
            <v>0</v>
          </cell>
          <cell r="AI653">
            <v>10800</v>
          </cell>
          <cell r="AJ653">
            <v>0</v>
          </cell>
          <cell r="AK653">
            <v>0</v>
          </cell>
          <cell r="AL653">
            <v>10800</v>
          </cell>
          <cell r="AM653">
            <v>5400</v>
          </cell>
          <cell r="AN653">
            <v>0</v>
          </cell>
          <cell r="AO653">
            <v>5400</v>
          </cell>
          <cell r="AP653">
            <v>0</v>
          </cell>
        </row>
        <row r="654">
          <cell r="AE654">
            <v>4</v>
          </cell>
          <cell r="AF654" t="str">
            <v>Entretiens des motos</v>
          </cell>
          <cell r="AG654">
            <v>0</v>
          </cell>
          <cell r="AH654">
            <v>1</v>
          </cell>
          <cell r="AI654">
            <v>0</v>
          </cell>
          <cell r="AJ654">
            <v>0</v>
          </cell>
          <cell r="AK654">
            <v>3600</v>
          </cell>
          <cell r="AL654">
            <v>3600</v>
          </cell>
          <cell r="AM654">
            <v>0</v>
          </cell>
          <cell r="AN654">
            <v>0</v>
          </cell>
          <cell r="AO654">
            <v>0</v>
          </cell>
          <cell r="AP654">
            <v>0</v>
          </cell>
        </row>
        <row r="655">
          <cell r="AE655">
            <v>5</v>
          </cell>
          <cell r="AF655" t="str">
            <v>Achat papier duplicateur</v>
          </cell>
          <cell r="AG655">
            <v>0</v>
          </cell>
          <cell r="AH655">
            <v>1</v>
          </cell>
          <cell r="AI655">
            <v>0</v>
          </cell>
          <cell r="AJ655">
            <v>0</v>
          </cell>
          <cell r="AK655">
            <v>540</v>
          </cell>
          <cell r="AL655">
            <v>540</v>
          </cell>
          <cell r="AM655">
            <v>0</v>
          </cell>
          <cell r="AN655">
            <v>0</v>
          </cell>
          <cell r="AO655">
            <v>0</v>
          </cell>
          <cell r="AP655">
            <v>0</v>
          </cell>
        </row>
        <row r="656">
          <cell r="AE656">
            <v>6</v>
          </cell>
          <cell r="AF656" t="str">
            <v>Achat classeurs</v>
          </cell>
          <cell r="AG656">
            <v>1</v>
          </cell>
          <cell r="AH656">
            <v>0</v>
          </cell>
          <cell r="AI656">
            <v>528</v>
          </cell>
          <cell r="AJ656">
            <v>0</v>
          </cell>
          <cell r="AK656">
            <v>0</v>
          </cell>
          <cell r="AL656">
            <v>528</v>
          </cell>
          <cell r="AM656">
            <v>264</v>
          </cell>
          <cell r="AN656">
            <v>0</v>
          </cell>
          <cell r="AO656">
            <v>264</v>
          </cell>
          <cell r="AP656">
            <v>0</v>
          </cell>
        </row>
        <row r="657">
          <cell r="AE657">
            <v>7</v>
          </cell>
          <cell r="AF657" t="str">
            <v>Achat enveloppe A4</v>
          </cell>
          <cell r="AG657">
            <v>1</v>
          </cell>
          <cell r="AH657">
            <v>0</v>
          </cell>
          <cell r="AI657">
            <v>240</v>
          </cell>
          <cell r="AJ657">
            <v>0</v>
          </cell>
          <cell r="AK657">
            <v>0</v>
          </cell>
          <cell r="AL657">
            <v>240</v>
          </cell>
          <cell r="AM657">
            <v>120</v>
          </cell>
          <cell r="AN657">
            <v>0</v>
          </cell>
          <cell r="AO657">
            <v>120</v>
          </cell>
          <cell r="AP657">
            <v>0</v>
          </cell>
        </row>
        <row r="658">
          <cell r="AE658">
            <v>8</v>
          </cell>
          <cell r="AF658" t="str">
            <v>Achat stylo</v>
          </cell>
          <cell r="AG658">
            <v>1</v>
          </cell>
          <cell r="AH658">
            <v>0</v>
          </cell>
          <cell r="AI658">
            <v>168</v>
          </cell>
          <cell r="AJ658">
            <v>0</v>
          </cell>
          <cell r="AK658">
            <v>0</v>
          </cell>
          <cell r="AL658">
            <v>168</v>
          </cell>
          <cell r="AM658">
            <v>84</v>
          </cell>
          <cell r="AN658">
            <v>0</v>
          </cell>
          <cell r="AO658">
            <v>84</v>
          </cell>
          <cell r="AP658">
            <v>0</v>
          </cell>
        </row>
        <row r="659">
          <cell r="AE659">
            <v>9</v>
          </cell>
          <cell r="AF659" t="str">
            <v xml:space="preserve">Achat Kit Internet VSAT </v>
          </cell>
          <cell r="AG659">
            <v>0.5</v>
          </cell>
          <cell r="AH659">
            <v>0.5</v>
          </cell>
          <cell r="AI659">
            <v>450</v>
          </cell>
          <cell r="AJ659">
            <v>0</v>
          </cell>
          <cell r="AK659">
            <v>450</v>
          </cell>
          <cell r="AL659">
            <v>900</v>
          </cell>
          <cell r="AM659">
            <v>450</v>
          </cell>
          <cell r="AN659">
            <v>0</v>
          </cell>
          <cell r="AO659">
            <v>0</v>
          </cell>
          <cell r="AP659">
            <v>0</v>
          </cell>
        </row>
        <row r="660">
          <cell r="AE660">
            <v>10</v>
          </cell>
          <cell r="AF660" t="str">
            <v xml:space="preserve">Paiement connexion </v>
          </cell>
          <cell r="AG660">
            <v>1</v>
          </cell>
          <cell r="AH660">
            <v>0</v>
          </cell>
          <cell r="AI660">
            <v>3600</v>
          </cell>
          <cell r="AJ660">
            <v>0</v>
          </cell>
          <cell r="AK660">
            <v>0</v>
          </cell>
          <cell r="AL660">
            <v>3600</v>
          </cell>
          <cell r="AM660">
            <v>1800</v>
          </cell>
          <cell r="AN660">
            <v>0</v>
          </cell>
          <cell r="AO660">
            <v>1800</v>
          </cell>
          <cell r="AP660">
            <v>0</v>
          </cell>
        </row>
        <row r="661">
          <cell r="AE661">
            <v>11</v>
          </cell>
          <cell r="AF661" t="str">
            <v xml:space="preserve">Carburant pour vehicules </v>
          </cell>
          <cell r="AG661">
            <v>0.5</v>
          </cell>
          <cell r="AH661">
            <v>0.5</v>
          </cell>
          <cell r="AI661">
            <v>6750</v>
          </cell>
          <cell r="AJ661">
            <v>0</v>
          </cell>
          <cell r="AK661">
            <v>6750</v>
          </cell>
          <cell r="AL661">
            <v>13500</v>
          </cell>
          <cell r="AM661">
            <v>3375</v>
          </cell>
          <cell r="AN661">
            <v>0</v>
          </cell>
          <cell r="AO661">
            <v>3375</v>
          </cell>
          <cell r="AP661">
            <v>0</v>
          </cell>
        </row>
        <row r="662">
          <cell r="AE662">
            <v>12</v>
          </cell>
          <cell r="AF662" t="str">
            <v>Carte d'appel - Credit telephone</v>
          </cell>
          <cell r="AG662">
            <v>1</v>
          </cell>
          <cell r="AH662">
            <v>0</v>
          </cell>
          <cell r="AI662">
            <v>1440</v>
          </cell>
          <cell r="AJ662">
            <v>0</v>
          </cell>
          <cell r="AK662">
            <v>0</v>
          </cell>
          <cell r="AL662">
            <v>1440</v>
          </cell>
          <cell r="AM662">
            <v>720</v>
          </cell>
          <cell r="AN662">
            <v>0</v>
          </cell>
          <cell r="AO662">
            <v>720</v>
          </cell>
          <cell r="AP662">
            <v>0</v>
          </cell>
        </row>
        <row r="663">
          <cell r="AE663">
            <v>13</v>
          </cell>
          <cell r="AF663" t="str">
            <v>Location bureau de rutshuru</v>
          </cell>
          <cell r="AG663">
            <v>0.5</v>
          </cell>
          <cell r="AH663">
            <v>0.5</v>
          </cell>
          <cell r="AI663">
            <v>2700</v>
          </cell>
          <cell r="AJ663">
            <v>0</v>
          </cell>
          <cell r="AK663">
            <v>2700</v>
          </cell>
          <cell r="AL663">
            <v>5400</v>
          </cell>
          <cell r="AM663">
            <v>1350</v>
          </cell>
          <cell r="AN663">
            <v>0</v>
          </cell>
          <cell r="AO663">
            <v>1350</v>
          </cell>
          <cell r="AP663">
            <v>0</v>
          </cell>
        </row>
        <row r="664">
          <cell r="AE664">
            <v>14</v>
          </cell>
          <cell r="AF664" t="str">
            <v>Location bureau de Goma</v>
          </cell>
          <cell r="AG664">
            <v>0.5</v>
          </cell>
          <cell r="AH664">
            <v>0.5</v>
          </cell>
          <cell r="AI664">
            <v>5400</v>
          </cell>
          <cell r="AJ664">
            <v>0</v>
          </cell>
          <cell r="AK664">
            <v>5400</v>
          </cell>
          <cell r="AL664">
            <v>10800</v>
          </cell>
          <cell r="AM664">
            <v>2700</v>
          </cell>
          <cell r="AN664">
            <v>0</v>
          </cell>
          <cell r="AO664">
            <v>2700</v>
          </cell>
          <cell r="AP664">
            <v>0</v>
          </cell>
        </row>
        <row r="665">
          <cell r="AE665">
            <v>15</v>
          </cell>
          <cell r="AF665" t="str">
            <v>Lubrifiant pour le generateur</v>
          </cell>
          <cell r="AG665">
            <v>0</v>
          </cell>
          <cell r="AH665">
            <v>1</v>
          </cell>
          <cell r="AI665">
            <v>0</v>
          </cell>
          <cell r="AJ665">
            <v>0</v>
          </cell>
          <cell r="AK665">
            <v>2160</v>
          </cell>
          <cell r="AL665">
            <v>2160</v>
          </cell>
          <cell r="AM665">
            <v>0</v>
          </cell>
          <cell r="AN665">
            <v>0</v>
          </cell>
          <cell r="AO665">
            <v>0</v>
          </cell>
          <cell r="AP665">
            <v>0</v>
          </cell>
        </row>
        <row r="666">
          <cell r="AE666">
            <v>16</v>
          </cell>
          <cell r="AF666" t="str">
            <v xml:space="preserve">KIT PPE </v>
          </cell>
          <cell r="AG666">
            <v>1</v>
          </cell>
          <cell r="AH666">
            <v>0</v>
          </cell>
          <cell r="AI666">
            <v>450</v>
          </cell>
          <cell r="AJ666">
            <v>0</v>
          </cell>
          <cell r="AK666">
            <v>0</v>
          </cell>
          <cell r="AL666">
            <v>450</v>
          </cell>
          <cell r="AM666">
            <v>225</v>
          </cell>
          <cell r="AN666">
            <v>0</v>
          </cell>
          <cell r="AO666">
            <v>225</v>
          </cell>
          <cell r="AP666">
            <v>0</v>
          </cell>
        </row>
        <row r="667">
          <cell r="AE667" t="str">
            <v>GEEP G</v>
          </cell>
          <cell r="AF667" t="str">
            <v>Couts operationnels Gender</v>
          </cell>
          <cell r="AG667">
            <v>1</v>
          </cell>
          <cell r="AH667">
            <v>0</v>
          </cell>
          <cell r="AI667">
            <v>56972</v>
          </cell>
          <cell r="AJ667">
            <v>0</v>
          </cell>
          <cell r="AK667">
            <v>0</v>
          </cell>
          <cell r="AL667">
            <v>56972</v>
          </cell>
          <cell r="AM667">
            <v>28486</v>
          </cell>
          <cell r="AN667">
            <v>0</v>
          </cell>
          <cell r="AO667">
            <v>28486</v>
          </cell>
          <cell r="AP667">
            <v>0</v>
          </cell>
        </row>
        <row r="668">
          <cell r="AE668" t="str">
            <v>Activité 11.1</v>
          </cell>
          <cell r="AF668" t="str">
            <v>Materiels, Outils de commununication et autres fournitures pour la mise en place de l'approche Washindi</v>
          </cell>
          <cell r="AG668">
            <v>1</v>
          </cell>
          <cell r="AH668">
            <v>0</v>
          </cell>
          <cell r="AI668">
            <v>29792</v>
          </cell>
          <cell r="AJ668">
            <v>0</v>
          </cell>
          <cell r="AK668">
            <v>0</v>
          </cell>
          <cell r="AL668">
            <v>29792</v>
          </cell>
          <cell r="AM668">
            <v>14896</v>
          </cell>
          <cell r="AN668">
            <v>0</v>
          </cell>
          <cell r="AO668">
            <v>14896</v>
          </cell>
          <cell r="AP668">
            <v>0</v>
          </cell>
        </row>
        <row r="669">
          <cell r="AE669">
            <v>1</v>
          </cell>
          <cell r="AF669" t="str">
            <v xml:space="preserve">Location véhicule pendant 8 mois </v>
          </cell>
          <cell r="AG669">
            <v>1</v>
          </cell>
          <cell r="AH669">
            <v>0</v>
          </cell>
          <cell r="AI669">
            <v>21600</v>
          </cell>
          <cell r="AJ669">
            <v>0</v>
          </cell>
          <cell r="AK669">
            <v>0</v>
          </cell>
          <cell r="AL669">
            <v>21600</v>
          </cell>
          <cell r="AM669">
            <v>10800</v>
          </cell>
          <cell r="AN669">
            <v>0</v>
          </cell>
          <cell r="AO669">
            <v>10800</v>
          </cell>
          <cell r="AP669">
            <v>0</v>
          </cell>
        </row>
        <row r="670">
          <cell r="AE670">
            <v>2</v>
          </cell>
          <cell r="AF670" t="str">
            <v xml:space="preserve">Kit covid-19(Masques, termofaflash, lave mains </v>
          </cell>
          <cell r="AG670">
            <v>1</v>
          </cell>
          <cell r="AH670">
            <v>0</v>
          </cell>
          <cell r="AI670">
            <v>1920</v>
          </cell>
          <cell r="AJ670">
            <v>0</v>
          </cell>
          <cell r="AK670">
            <v>0</v>
          </cell>
          <cell r="AL670">
            <v>1920</v>
          </cell>
          <cell r="AM670">
            <v>960</v>
          </cell>
          <cell r="AN670">
            <v>0</v>
          </cell>
          <cell r="AO670">
            <v>960</v>
          </cell>
          <cell r="AP670">
            <v>0</v>
          </cell>
        </row>
        <row r="671">
          <cell r="AE671">
            <v>3</v>
          </cell>
          <cell r="AF671" t="str">
            <v>Dictaphones</v>
          </cell>
          <cell r="AG671">
            <v>1</v>
          </cell>
          <cell r="AH671">
            <v>0</v>
          </cell>
          <cell r="AI671">
            <v>3200</v>
          </cell>
          <cell r="AJ671">
            <v>0</v>
          </cell>
          <cell r="AK671">
            <v>0</v>
          </cell>
          <cell r="AL671">
            <v>3200</v>
          </cell>
          <cell r="AM671">
            <v>1600</v>
          </cell>
          <cell r="AN671">
            <v>0</v>
          </cell>
          <cell r="AO671">
            <v>1600</v>
          </cell>
          <cell r="AP671">
            <v>0</v>
          </cell>
        </row>
        <row r="672">
          <cell r="AE672">
            <v>4</v>
          </cell>
          <cell r="AF672" t="str">
            <v>Production des t-shirt pour les facilitateurs et les IT</v>
          </cell>
          <cell r="AG672">
            <v>1</v>
          </cell>
          <cell r="AH672">
            <v>0</v>
          </cell>
          <cell r="AI672">
            <v>672</v>
          </cell>
          <cell r="AJ672">
            <v>0</v>
          </cell>
          <cell r="AK672">
            <v>0</v>
          </cell>
          <cell r="AL672">
            <v>672</v>
          </cell>
          <cell r="AM672">
            <v>336</v>
          </cell>
          <cell r="AN672">
            <v>0</v>
          </cell>
          <cell r="AO672">
            <v>336</v>
          </cell>
          <cell r="AP672">
            <v>0</v>
          </cell>
        </row>
        <row r="673">
          <cell r="AE673">
            <v>5</v>
          </cell>
          <cell r="AF673" t="str">
            <v xml:space="preserve">Production des boites à image </v>
          </cell>
          <cell r="AG673">
            <v>1</v>
          </cell>
          <cell r="AH673">
            <v>0</v>
          </cell>
          <cell r="AI673">
            <v>2400</v>
          </cell>
          <cell r="AJ673">
            <v>0</v>
          </cell>
          <cell r="AK673">
            <v>0</v>
          </cell>
          <cell r="AL673">
            <v>2400</v>
          </cell>
          <cell r="AM673">
            <v>1200</v>
          </cell>
          <cell r="AN673">
            <v>0</v>
          </cell>
          <cell r="AO673">
            <v>1200</v>
          </cell>
          <cell r="AP673">
            <v>0</v>
          </cell>
        </row>
        <row r="674">
          <cell r="AE674" t="str">
            <v>Activité 11.2</v>
          </cell>
          <cell r="AF674" t="str">
            <v xml:space="preserve">Personnel indirect pour la mise en place de l'approche Washindi </v>
          </cell>
          <cell r="AG674">
            <v>1</v>
          </cell>
          <cell r="AH674">
            <v>0</v>
          </cell>
          <cell r="AI674">
            <v>13950</v>
          </cell>
          <cell r="AJ674">
            <v>0</v>
          </cell>
          <cell r="AK674">
            <v>0</v>
          </cell>
          <cell r="AL674">
            <v>13950</v>
          </cell>
          <cell r="AM674">
            <v>6975</v>
          </cell>
          <cell r="AN674">
            <v>0</v>
          </cell>
          <cell r="AO674">
            <v>6975</v>
          </cell>
          <cell r="AP674">
            <v>0</v>
          </cell>
        </row>
        <row r="675">
          <cell r="AE675">
            <v>1</v>
          </cell>
          <cell r="AF675" t="str">
            <v>Chargé des programmes (25%)</v>
          </cell>
          <cell r="AG675">
            <v>1</v>
          </cell>
          <cell r="AH675">
            <v>0</v>
          </cell>
          <cell r="AI675">
            <v>4500</v>
          </cell>
          <cell r="AJ675">
            <v>0</v>
          </cell>
          <cell r="AK675">
            <v>0</v>
          </cell>
          <cell r="AL675">
            <v>4500</v>
          </cell>
          <cell r="AM675">
            <v>2250</v>
          </cell>
          <cell r="AN675">
            <v>0</v>
          </cell>
          <cell r="AO675">
            <v>2250</v>
          </cell>
          <cell r="AP675">
            <v>0</v>
          </cell>
        </row>
        <row r="676">
          <cell r="AE676">
            <v>2</v>
          </cell>
          <cell r="AF676" t="str">
            <v>Comptable projet (25%)</v>
          </cell>
          <cell r="AG676">
            <v>1</v>
          </cell>
          <cell r="AH676">
            <v>0</v>
          </cell>
          <cell r="AI676">
            <v>2250</v>
          </cell>
          <cell r="AJ676">
            <v>0</v>
          </cell>
          <cell r="AK676">
            <v>0</v>
          </cell>
          <cell r="AL676">
            <v>2250</v>
          </cell>
          <cell r="AM676">
            <v>1125</v>
          </cell>
          <cell r="AN676">
            <v>0</v>
          </cell>
          <cell r="AO676">
            <v>1125</v>
          </cell>
          <cell r="AP676">
            <v>0</v>
          </cell>
        </row>
        <row r="677">
          <cell r="AE677">
            <v>3</v>
          </cell>
          <cell r="AF677" t="str">
            <v>Chargé de suivi et évaluation (25%)</v>
          </cell>
          <cell r="AG677">
            <v>1</v>
          </cell>
          <cell r="AH677">
            <v>0</v>
          </cell>
          <cell r="AI677">
            <v>2700</v>
          </cell>
          <cell r="AJ677">
            <v>0</v>
          </cell>
          <cell r="AK677">
            <v>0</v>
          </cell>
          <cell r="AL677">
            <v>2700</v>
          </cell>
          <cell r="AM677">
            <v>1350</v>
          </cell>
          <cell r="AN677">
            <v>0</v>
          </cell>
          <cell r="AO677">
            <v>1350</v>
          </cell>
          <cell r="AP677">
            <v>0</v>
          </cell>
        </row>
        <row r="678">
          <cell r="AE678">
            <v>4</v>
          </cell>
          <cell r="AF678" t="str">
            <v>Point focal recherche et apprentissage (25%)</v>
          </cell>
          <cell r="AG678">
            <v>1</v>
          </cell>
          <cell r="AH678">
            <v>0</v>
          </cell>
          <cell r="AI678">
            <v>4500</v>
          </cell>
          <cell r="AJ678">
            <v>0</v>
          </cell>
          <cell r="AK678">
            <v>0</v>
          </cell>
          <cell r="AL678">
            <v>4500</v>
          </cell>
          <cell r="AM678">
            <v>2250</v>
          </cell>
          <cell r="AN678">
            <v>0</v>
          </cell>
          <cell r="AO678">
            <v>2250</v>
          </cell>
          <cell r="AP678">
            <v>0</v>
          </cell>
        </row>
        <row r="679">
          <cell r="AE679" t="str">
            <v>Activité 11.3</v>
          </cell>
          <cell r="AF679" t="str">
            <v xml:space="preserve">Frais administratifs pour la mise en place de l'approche Washindi </v>
          </cell>
          <cell r="AG679">
            <v>1</v>
          </cell>
          <cell r="AH679">
            <v>0</v>
          </cell>
          <cell r="AI679">
            <v>13230</v>
          </cell>
          <cell r="AJ679">
            <v>0</v>
          </cell>
          <cell r="AK679">
            <v>0</v>
          </cell>
          <cell r="AL679">
            <v>13230</v>
          </cell>
          <cell r="AM679">
            <v>6615</v>
          </cell>
          <cell r="AN679">
            <v>0</v>
          </cell>
          <cell r="AO679">
            <v>6615</v>
          </cell>
          <cell r="AP679">
            <v>0</v>
          </cell>
        </row>
        <row r="680">
          <cell r="AE680">
            <v>1</v>
          </cell>
          <cell r="AF680" t="str">
            <v xml:space="preserve">Contribution eau et électricité </v>
          </cell>
          <cell r="AG680">
            <v>1</v>
          </cell>
          <cell r="AH680">
            <v>0</v>
          </cell>
          <cell r="AI680">
            <v>900</v>
          </cell>
          <cell r="AJ680">
            <v>0</v>
          </cell>
          <cell r="AK680">
            <v>0</v>
          </cell>
          <cell r="AL680">
            <v>900</v>
          </cell>
          <cell r="AM680">
            <v>450</v>
          </cell>
          <cell r="AN680">
            <v>0</v>
          </cell>
          <cell r="AO680">
            <v>450</v>
          </cell>
          <cell r="AP680">
            <v>0</v>
          </cell>
        </row>
        <row r="681">
          <cell r="AE681">
            <v>2</v>
          </cell>
          <cell r="AF681" t="str">
            <v xml:space="preserve">Contribution loyer Bureau </v>
          </cell>
          <cell r="AG681">
            <v>1</v>
          </cell>
          <cell r="AH681">
            <v>0</v>
          </cell>
          <cell r="AI681">
            <v>3600</v>
          </cell>
          <cell r="AJ681">
            <v>0</v>
          </cell>
          <cell r="AK681">
            <v>0</v>
          </cell>
          <cell r="AL681">
            <v>3600</v>
          </cell>
          <cell r="AM681">
            <v>1800</v>
          </cell>
          <cell r="AN681">
            <v>0</v>
          </cell>
          <cell r="AO681">
            <v>1800</v>
          </cell>
          <cell r="AP681">
            <v>0</v>
          </cell>
        </row>
        <row r="682">
          <cell r="AE682">
            <v>3</v>
          </cell>
          <cell r="AF682" t="str">
            <v xml:space="preserve">Fournitures de bureau </v>
          </cell>
          <cell r="AG682">
            <v>1</v>
          </cell>
          <cell r="AH682">
            <v>0</v>
          </cell>
          <cell r="AI682">
            <v>2970</v>
          </cell>
          <cell r="AJ682">
            <v>0</v>
          </cell>
          <cell r="AK682">
            <v>0</v>
          </cell>
          <cell r="AL682">
            <v>2970</v>
          </cell>
          <cell r="AM682">
            <v>1485</v>
          </cell>
          <cell r="AN682">
            <v>0</v>
          </cell>
          <cell r="AO682">
            <v>1485</v>
          </cell>
          <cell r="AP682">
            <v>0</v>
          </cell>
        </row>
        <row r="683">
          <cell r="AE683">
            <v>4</v>
          </cell>
          <cell r="AF683" t="str">
            <v xml:space="preserve">Communication </v>
          </cell>
          <cell r="AG683">
            <v>1</v>
          </cell>
          <cell r="AH683">
            <v>0</v>
          </cell>
          <cell r="AI683">
            <v>360</v>
          </cell>
          <cell r="AJ683">
            <v>0</v>
          </cell>
          <cell r="AK683">
            <v>0</v>
          </cell>
          <cell r="AL683">
            <v>360</v>
          </cell>
          <cell r="AM683">
            <v>180</v>
          </cell>
          <cell r="AN683">
            <v>0</v>
          </cell>
          <cell r="AO683">
            <v>180</v>
          </cell>
          <cell r="AP683">
            <v>0</v>
          </cell>
        </row>
        <row r="684">
          <cell r="AE684">
            <v>5</v>
          </cell>
          <cell r="AF684" t="str">
            <v xml:space="preserve">Internet </v>
          </cell>
          <cell r="AG684">
            <v>1</v>
          </cell>
          <cell r="AH684">
            <v>0</v>
          </cell>
          <cell r="AI684">
            <v>1800</v>
          </cell>
          <cell r="AJ684">
            <v>0</v>
          </cell>
          <cell r="AK684">
            <v>0</v>
          </cell>
          <cell r="AL684">
            <v>1800</v>
          </cell>
          <cell r="AM684">
            <v>900</v>
          </cell>
          <cell r="AN684">
            <v>0</v>
          </cell>
          <cell r="AO684">
            <v>900</v>
          </cell>
          <cell r="AP684">
            <v>0</v>
          </cell>
        </row>
        <row r="685">
          <cell r="AE685">
            <v>6</v>
          </cell>
          <cell r="AF685" t="str">
            <v xml:space="preserve">Carburant et Lubrifiant </v>
          </cell>
          <cell r="AG685">
            <v>1</v>
          </cell>
          <cell r="AH685">
            <v>0</v>
          </cell>
          <cell r="AI685">
            <v>3600</v>
          </cell>
          <cell r="AJ685">
            <v>0</v>
          </cell>
          <cell r="AK685">
            <v>0</v>
          </cell>
          <cell r="AL685">
            <v>3600</v>
          </cell>
          <cell r="AM685">
            <v>1800</v>
          </cell>
          <cell r="AN685">
            <v>0</v>
          </cell>
          <cell r="AO685">
            <v>1800</v>
          </cell>
          <cell r="AP685">
            <v>0</v>
          </cell>
        </row>
        <row r="686">
          <cell r="AE686" t="str">
            <v xml:space="preserve"> Total (hors Inkind)</v>
          </cell>
          <cell r="AF686" t="str">
            <v>ESPECE</v>
          </cell>
          <cell r="AG686">
            <v>0.91174599166292059</v>
          </cell>
          <cell r="AH686">
            <v>8.8254008337079276E-2</v>
          </cell>
          <cell r="AI686">
            <v>8323640.3037156165</v>
          </cell>
          <cell r="AK686">
            <v>805700.96</v>
          </cell>
          <cell r="AL686">
            <v>9129341.2637156174</v>
          </cell>
          <cell r="AM686">
            <v>4167791.6429999997</v>
          </cell>
          <cell r="AN686">
            <v>0</v>
          </cell>
          <cell r="AO686">
            <v>4155848.6607156172</v>
          </cell>
          <cell r="AP686">
            <v>0</v>
          </cell>
        </row>
        <row r="687">
          <cell r="AE687" t="str">
            <v>INKIND</v>
          </cell>
          <cell r="AF687" t="str">
            <v>SUPPLY</v>
          </cell>
          <cell r="AI687">
            <v>0</v>
          </cell>
          <cell r="AJ687">
            <v>185336.84</v>
          </cell>
          <cell r="AK687">
            <v>0</v>
          </cell>
          <cell r="AL687">
            <v>0</v>
          </cell>
          <cell r="AM687">
            <v>0</v>
          </cell>
          <cell r="AN687">
            <v>109227.51999999999</v>
          </cell>
          <cell r="AO687">
            <v>0</v>
          </cell>
          <cell r="AP687">
            <v>76109.320000000007</v>
          </cell>
        </row>
        <row r="688">
          <cell r="AE688" t="str">
            <v>SOUS-TOTAL DES COUTS DU PROGRAMME</v>
          </cell>
          <cell r="AF688" t="str">
            <v>SOUS-TOTAL DES COUTS DU PROGRAMME</v>
          </cell>
          <cell r="AI688">
            <v>8323640.3037156165</v>
          </cell>
          <cell r="AJ688">
            <v>185336.84</v>
          </cell>
          <cell r="AK688">
            <v>805700.96</v>
          </cell>
          <cell r="AL688">
            <v>9314678.1037156172</v>
          </cell>
          <cell r="AM688">
            <v>4167791.6429999997</v>
          </cell>
          <cell r="AN688">
            <v>109227.51999999999</v>
          </cell>
          <cell r="AO688">
            <v>4155848.6607156172</v>
          </cell>
          <cell r="AP688">
            <v>76109.320000000007</v>
          </cell>
        </row>
        <row r="689">
          <cell r="AE689" t="str">
            <v>Dépenses d’appui du siège (7 % de la composante financière)</v>
          </cell>
          <cell r="AF689" t="str">
            <v>Dépenses d’appui du siège (7 % de la composante financière)</v>
          </cell>
          <cell r="AI689">
            <v>177291.04932000002</v>
          </cell>
          <cell r="AL689">
            <v>177291.04932000002</v>
          </cell>
          <cell r="AM689">
            <v>0</v>
          </cell>
          <cell r="AN689">
            <v>0</v>
          </cell>
          <cell r="AO689">
            <v>177291.04932000002</v>
          </cell>
          <cell r="AP689">
            <v>0</v>
          </cell>
        </row>
        <row r="690">
          <cell r="AE690" t="str">
            <v>Frais bancaire ( 0.5%)</v>
          </cell>
          <cell r="AF690" t="str">
            <v>Frais bancaire ( 0.5%)</v>
          </cell>
          <cell r="AI690">
            <v>71459.211903756179</v>
          </cell>
          <cell r="AL690">
            <v>71459.211903756179</v>
          </cell>
          <cell r="AM690">
            <v>35251.326365000001</v>
          </cell>
          <cell r="AN690">
            <v>0</v>
          </cell>
          <cell r="AO690">
            <v>36207.885538756178</v>
          </cell>
          <cell r="AP690">
            <v>0</v>
          </cell>
        </row>
        <row r="691">
          <cell r="AE691" t="str">
            <v>BUDGET  TOTAL GENERAL DU PROJET</v>
          </cell>
          <cell r="AF691" t="str">
            <v>BUDGET  TOTAL GENERAL DU PROJET</v>
          </cell>
          <cell r="AI691">
            <v>8572390.5649393722</v>
          </cell>
          <cell r="AJ691">
            <v>185336.84</v>
          </cell>
          <cell r="AK691">
            <v>805700.96</v>
          </cell>
          <cell r="AL691">
            <v>9563428.364939373</v>
          </cell>
          <cell r="AM691">
            <v>4203042.9693649998</v>
          </cell>
          <cell r="AN691">
            <v>109227.51999999999</v>
          </cell>
          <cell r="AO691">
            <v>4369347.5955743734</v>
          </cell>
          <cell r="AP691">
            <v>76109.320000000007</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customProperty" Target="../customProperty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customProperty" Target="../customProperty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customProperty" Target="../customProperty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customProperty" Target="../customProperty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customProperty" Target="../customProperty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customProperty" Target="../customProperty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customProperty" Target="../customProperty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customProperty" Target="../customProperty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customProperty" Target="../customProperty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customProperty" Target="../customProperty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customProperty" Target="../customProperty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customProperty" Target="../customProperty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customProperty" Target="../customProperty3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33CC"/>
  </sheetPr>
  <dimension ref="A1:K38"/>
  <sheetViews>
    <sheetView zoomScale="70" zoomScaleNormal="70" zoomScaleSheetLayoutView="120" workbookViewId="0">
      <pane xSplit="11" ySplit="5" topLeftCell="L6" activePane="bottomRight" state="frozen"/>
      <selection pane="topRight" activeCell="L1" sqref="L1"/>
      <selection pane="bottomLeft" activeCell="A6" sqref="A6"/>
      <selection pane="bottomRight" activeCell="A7" sqref="A7:IV8"/>
    </sheetView>
  </sheetViews>
  <sheetFormatPr baseColWidth="10" defaultColWidth="9" defaultRowHeight="14" x14ac:dyDescent="0.3"/>
  <cols>
    <col min="1" max="1" width="11.08203125" style="109" bestFit="1" customWidth="1"/>
    <col min="2" max="2" width="39.08203125" style="109" customWidth="1"/>
    <col min="3" max="3" width="13.08203125" style="109" customWidth="1"/>
    <col min="4" max="5" width="11.08203125" style="109" customWidth="1"/>
    <col min="6" max="6" width="14.5" style="117" customWidth="1"/>
    <col min="7" max="10" width="11.58203125" style="109" customWidth="1"/>
    <col min="11" max="11" width="11.08203125" style="109" customWidth="1"/>
    <col min="12" max="16384" width="9" style="109"/>
  </cols>
  <sheetData>
    <row r="1" spans="1:11" ht="79.5" customHeight="1" thickBot="1" x14ac:dyDescent="0.35">
      <c r="A1" s="786" t="s">
        <v>0</v>
      </c>
      <c r="B1" s="787"/>
      <c r="C1" s="787"/>
      <c r="D1" s="787"/>
      <c r="E1" s="787"/>
      <c r="F1" s="787"/>
      <c r="G1" s="787"/>
      <c r="H1" s="787"/>
      <c r="I1" s="787"/>
      <c r="J1" s="787"/>
      <c r="K1" s="787"/>
    </row>
    <row r="2" spans="1:11" ht="14.5" thickBot="1" x14ac:dyDescent="0.35">
      <c r="A2" s="788" t="s">
        <v>1</v>
      </c>
      <c r="B2" s="789"/>
      <c r="C2" s="789"/>
      <c r="D2" s="789"/>
      <c r="E2" s="789"/>
      <c r="F2" s="789"/>
      <c r="G2" s="789"/>
      <c r="H2" s="789"/>
      <c r="I2" s="789"/>
      <c r="J2" s="789"/>
      <c r="K2" s="789"/>
    </row>
    <row r="3" spans="1:11" ht="14.5" thickBot="1" x14ac:dyDescent="0.35">
      <c r="A3" s="789"/>
      <c r="B3" s="789"/>
      <c r="C3" s="789"/>
      <c r="D3" s="789"/>
      <c r="E3" s="789"/>
      <c r="F3" s="789"/>
      <c r="G3" s="789"/>
      <c r="H3" s="789"/>
      <c r="I3" s="789"/>
      <c r="J3" s="789"/>
      <c r="K3" s="789"/>
    </row>
    <row r="4" spans="1:11" ht="25.5" customHeight="1" thickBot="1" x14ac:dyDescent="0.35">
      <c r="A4" s="791" t="s">
        <v>2</v>
      </c>
      <c r="B4" s="791" t="s">
        <v>3</v>
      </c>
      <c r="C4" s="791" t="s">
        <v>4</v>
      </c>
      <c r="D4" s="791" t="s">
        <v>5</v>
      </c>
      <c r="E4" s="792" t="s">
        <v>6</v>
      </c>
      <c r="F4" s="791" t="s">
        <v>7</v>
      </c>
      <c r="G4" s="791"/>
      <c r="H4" s="791"/>
      <c r="I4" s="791"/>
      <c r="J4" s="791"/>
      <c r="K4" s="791"/>
    </row>
    <row r="5" spans="1:11" ht="28.5" thickBot="1" x14ac:dyDescent="0.35">
      <c r="A5" s="791"/>
      <c r="B5" s="791"/>
      <c r="C5" s="791"/>
      <c r="D5" s="791"/>
      <c r="E5" s="793"/>
      <c r="F5" s="122" t="s">
        <v>8</v>
      </c>
      <c r="G5" s="127" t="s">
        <v>9</v>
      </c>
      <c r="H5" s="127" t="s">
        <v>10</v>
      </c>
      <c r="I5" s="127" t="s">
        <v>11</v>
      </c>
      <c r="J5" s="127" t="s">
        <v>12</v>
      </c>
      <c r="K5" s="127" t="s">
        <v>13</v>
      </c>
    </row>
    <row r="6" spans="1:11" ht="31.5" customHeight="1" thickBot="1" x14ac:dyDescent="0.35">
      <c r="A6" s="126" t="e">
        <v>#REF!</v>
      </c>
      <c r="B6" s="126" t="e">
        <v>#REF!</v>
      </c>
      <c r="C6" s="110"/>
      <c r="D6" s="110"/>
      <c r="E6" s="110"/>
      <c r="F6" s="114"/>
      <c r="G6" s="110"/>
      <c r="H6" s="110"/>
      <c r="I6" s="110"/>
      <c r="J6" s="110"/>
      <c r="K6" s="110"/>
    </row>
    <row r="7" spans="1:11" ht="49.5" customHeight="1" thickBot="1" x14ac:dyDescent="0.35">
      <c r="A7" s="111" t="e">
        <v>#REF!</v>
      </c>
      <c r="B7" s="111" t="e">
        <v>#REF!</v>
      </c>
      <c r="C7" s="112" t="e">
        <v>#REF!</v>
      </c>
      <c r="D7" s="112" t="e">
        <v>#REF!</v>
      </c>
      <c r="E7" s="112" t="e">
        <v>#REF!</v>
      </c>
      <c r="F7" s="115" t="e">
        <v>#REF!</v>
      </c>
      <c r="G7" s="118">
        <v>0</v>
      </c>
      <c r="H7" s="118">
        <v>0</v>
      </c>
      <c r="I7" s="118">
        <v>0</v>
      </c>
      <c r="J7" s="118">
        <v>0</v>
      </c>
      <c r="K7" s="112" t="e">
        <v>#REF!</v>
      </c>
    </row>
    <row r="8" spans="1:11" ht="49.5" customHeight="1" thickBot="1" x14ac:dyDescent="0.35">
      <c r="A8" s="111" t="e">
        <v>#REF!</v>
      </c>
      <c r="B8" s="111" t="e">
        <v>#REF!</v>
      </c>
      <c r="C8" s="112" t="e">
        <v>#REF!</v>
      </c>
      <c r="D8" s="112" t="e">
        <v>#REF!</v>
      </c>
      <c r="E8" s="112" t="e">
        <v>#REF!</v>
      </c>
      <c r="F8" s="115" t="e">
        <v>#REF!</v>
      </c>
      <c r="G8" s="118">
        <v>0</v>
      </c>
      <c r="H8" s="118">
        <v>0</v>
      </c>
      <c r="I8" s="118">
        <v>0</v>
      </c>
      <c r="J8" s="118">
        <v>0</v>
      </c>
      <c r="K8" s="112" t="e">
        <v>#REF!</v>
      </c>
    </row>
    <row r="9" spans="1:11" ht="51" customHeight="1" thickBot="1" x14ac:dyDescent="0.35">
      <c r="A9" s="790" t="s">
        <v>14</v>
      </c>
      <c r="B9" s="790"/>
      <c r="C9" s="113" t="e">
        <f t="shared" ref="C9:J9" si="0">SUM(C7:C8)</f>
        <v>#REF!</v>
      </c>
      <c r="D9" s="113" t="e">
        <f t="shared" si="0"/>
        <v>#REF!</v>
      </c>
      <c r="E9" s="113" t="e">
        <f t="shared" si="0"/>
        <v>#REF!</v>
      </c>
      <c r="F9" s="113" t="e">
        <f t="shared" si="0"/>
        <v>#REF!</v>
      </c>
      <c r="G9" s="116">
        <f t="shared" si="0"/>
        <v>0</v>
      </c>
      <c r="H9" s="116">
        <f t="shared" si="0"/>
        <v>0</v>
      </c>
      <c r="I9" s="116">
        <f t="shared" si="0"/>
        <v>0</v>
      </c>
      <c r="J9" s="116">
        <f t="shared" si="0"/>
        <v>0</v>
      </c>
      <c r="K9" s="113" t="e">
        <f>SUM(K7:K7)</f>
        <v>#REF!</v>
      </c>
    </row>
    <row r="10" spans="1:11" ht="31.5" customHeight="1" thickBot="1" x14ac:dyDescent="0.35">
      <c r="A10" s="126" t="e">
        <v>#REF!</v>
      </c>
      <c r="B10" s="126" t="e">
        <v>#REF!</v>
      </c>
      <c r="C10" s="110"/>
      <c r="D10" s="110"/>
      <c r="E10" s="110"/>
      <c r="F10" s="114"/>
      <c r="G10" s="110"/>
      <c r="H10" s="110"/>
      <c r="I10" s="110"/>
      <c r="J10" s="110"/>
      <c r="K10" s="110"/>
    </row>
    <row r="11" spans="1:11" ht="49.5" customHeight="1" thickBot="1" x14ac:dyDescent="0.35">
      <c r="A11" s="111" t="e">
        <v>#REF!</v>
      </c>
      <c r="B11" s="111" t="e">
        <v>#REF!</v>
      </c>
      <c r="C11" s="112" t="e">
        <v>#REF!</v>
      </c>
      <c r="D11" s="112" t="e">
        <v>#REF!</v>
      </c>
      <c r="E11" s="112" t="e">
        <v>#REF!</v>
      </c>
      <c r="F11" s="115" t="e">
        <v>#REF!</v>
      </c>
      <c r="G11" s="118">
        <v>0</v>
      </c>
      <c r="H11" s="118">
        <v>0</v>
      </c>
      <c r="I11" s="118">
        <v>0</v>
      </c>
      <c r="J11" s="118">
        <v>0</v>
      </c>
      <c r="K11" s="112" t="e">
        <v>#REF!</v>
      </c>
    </row>
    <row r="12" spans="1:11" ht="49.5" customHeight="1" thickBot="1" x14ac:dyDescent="0.35">
      <c r="A12" s="111" t="e">
        <v>#REF!</v>
      </c>
      <c r="B12" s="111" t="e">
        <v>#REF!</v>
      </c>
      <c r="C12" s="112" t="e">
        <v>#REF!</v>
      </c>
      <c r="D12" s="112" t="e">
        <v>#REF!</v>
      </c>
      <c r="E12" s="112" t="e">
        <v>#REF!</v>
      </c>
      <c r="F12" s="115" t="e">
        <v>#REF!</v>
      </c>
      <c r="G12" s="118">
        <v>0</v>
      </c>
      <c r="H12" s="118">
        <v>0</v>
      </c>
      <c r="I12" s="118">
        <v>0</v>
      </c>
      <c r="J12" s="118">
        <v>0</v>
      </c>
      <c r="K12" s="112" t="e">
        <v>#REF!</v>
      </c>
    </row>
    <row r="13" spans="1:11" ht="50.25" customHeight="1" thickBot="1" x14ac:dyDescent="0.35">
      <c r="A13" s="790" t="s">
        <v>15</v>
      </c>
      <c r="B13" s="790"/>
      <c r="C13" s="113" t="e">
        <f t="shared" ref="C13:J13" si="1">SUM(C11:C12)</f>
        <v>#REF!</v>
      </c>
      <c r="D13" s="113" t="e">
        <f t="shared" si="1"/>
        <v>#REF!</v>
      </c>
      <c r="E13" s="113" t="e">
        <f>SUM(E11:E12)</f>
        <v>#REF!</v>
      </c>
      <c r="F13" s="116" t="e">
        <f t="shared" si="1"/>
        <v>#REF!</v>
      </c>
      <c r="G13" s="116">
        <f t="shared" si="1"/>
        <v>0</v>
      </c>
      <c r="H13" s="116">
        <f t="shared" si="1"/>
        <v>0</v>
      </c>
      <c r="I13" s="116">
        <f t="shared" si="1"/>
        <v>0</v>
      </c>
      <c r="J13" s="116">
        <f t="shared" si="1"/>
        <v>0</v>
      </c>
      <c r="K13" s="113" t="e">
        <f>SUM(K11:K11)</f>
        <v>#REF!</v>
      </c>
    </row>
    <row r="14" spans="1:11" ht="32.25" customHeight="1" thickBot="1" x14ac:dyDescent="0.35">
      <c r="A14" s="126" t="e">
        <v>#REF!</v>
      </c>
      <c r="B14" s="126" t="e">
        <v>#REF!</v>
      </c>
      <c r="C14" s="110"/>
      <c r="D14" s="110"/>
      <c r="E14" s="110"/>
      <c r="F14" s="114"/>
      <c r="G14" s="110"/>
      <c r="H14" s="110"/>
      <c r="I14" s="110"/>
      <c r="J14" s="110"/>
      <c r="K14" s="110"/>
    </row>
    <row r="15" spans="1:11" ht="49.5" customHeight="1" thickBot="1" x14ac:dyDescent="0.35">
      <c r="A15" s="111" t="e">
        <v>#REF!</v>
      </c>
      <c r="B15" s="111" t="e">
        <v>#REF!</v>
      </c>
      <c r="C15" s="112" t="e">
        <v>#REF!</v>
      </c>
      <c r="D15" s="112" t="e">
        <v>#REF!</v>
      </c>
      <c r="E15" s="112" t="e">
        <v>#REF!</v>
      </c>
      <c r="F15" s="115" t="e">
        <v>#REF!</v>
      </c>
      <c r="G15" s="118">
        <v>0</v>
      </c>
      <c r="H15" s="118">
        <v>0</v>
      </c>
      <c r="I15" s="118">
        <v>0</v>
      </c>
      <c r="J15" s="118">
        <v>0</v>
      </c>
      <c r="K15" s="112" t="e">
        <v>#REF!</v>
      </c>
    </row>
    <row r="16" spans="1:11" ht="49.5" customHeight="1" thickBot="1" x14ac:dyDescent="0.35">
      <c r="A16" s="111" t="e">
        <v>#REF!</v>
      </c>
      <c r="B16" s="111" t="e">
        <v>#REF!</v>
      </c>
      <c r="C16" s="112" t="e">
        <v>#REF!</v>
      </c>
      <c r="D16" s="112" t="e">
        <v>#REF!</v>
      </c>
      <c r="E16" s="112" t="e">
        <v>#REF!</v>
      </c>
      <c r="F16" s="115" t="e">
        <v>#REF!</v>
      </c>
      <c r="G16" s="118">
        <v>0</v>
      </c>
      <c r="H16" s="118">
        <v>0</v>
      </c>
      <c r="I16" s="118">
        <v>0</v>
      </c>
      <c r="J16" s="118">
        <v>0</v>
      </c>
      <c r="K16" s="112" t="e">
        <v>#REF!</v>
      </c>
    </row>
    <row r="17" spans="1:11" ht="50.25" customHeight="1" thickBot="1" x14ac:dyDescent="0.35">
      <c r="A17" s="790" t="s">
        <v>16</v>
      </c>
      <c r="B17" s="790"/>
      <c r="C17" s="113" t="e">
        <f t="shared" ref="C17:J17" si="2">SUM(C15:C16)</f>
        <v>#REF!</v>
      </c>
      <c r="D17" s="113" t="e">
        <f t="shared" si="2"/>
        <v>#REF!</v>
      </c>
      <c r="E17" s="113" t="e">
        <f>SUM(E15:E16)</f>
        <v>#REF!</v>
      </c>
      <c r="F17" s="113" t="e">
        <f t="shared" si="2"/>
        <v>#REF!</v>
      </c>
      <c r="G17" s="116">
        <f t="shared" si="2"/>
        <v>0</v>
      </c>
      <c r="H17" s="116">
        <f t="shared" si="2"/>
        <v>0</v>
      </c>
      <c r="I17" s="116">
        <f t="shared" si="2"/>
        <v>0</v>
      </c>
      <c r="J17" s="116">
        <f t="shared" si="2"/>
        <v>0</v>
      </c>
      <c r="K17" s="113" t="e">
        <f>SUM(K15:K15)</f>
        <v>#REF!</v>
      </c>
    </row>
    <row r="18" spans="1:11" ht="54.75" customHeight="1" thickBot="1" x14ac:dyDescent="0.35">
      <c r="A18" s="126"/>
      <c r="B18" s="126" t="e">
        <v>#REF!</v>
      </c>
      <c r="C18" s="110"/>
      <c r="D18" s="110"/>
      <c r="E18" s="110"/>
      <c r="F18" s="114"/>
      <c r="G18" s="110"/>
      <c r="H18" s="110"/>
      <c r="I18" s="110"/>
      <c r="J18" s="110"/>
      <c r="K18" s="110"/>
    </row>
    <row r="19" spans="1:11" ht="50.25" customHeight="1" thickBot="1" x14ac:dyDescent="0.35">
      <c r="A19" s="111" t="e">
        <v>#REF!</v>
      </c>
      <c r="B19" s="111" t="e">
        <v>#REF!</v>
      </c>
      <c r="C19" s="112" t="e">
        <v>#REF!</v>
      </c>
      <c r="D19" s="112" t="e">
        <v>#REF!</v>
      </c>
      <c r="E19" s="112" t="e">
        <v>#REF!</v>
      </c>
      <c r="F19" s="115" t="e">
        <v>#REF!</v>
      </c>
      <c r="G19" s="123" t="e">
        <f t="shared" ref="G19:J21" si="3">$F19/3</f>
        <v>#REF!</v>
      </c>
      <c r="H19" s="123" t="e">
        <f t="shared" si="3"/>
        <v>#REF!</v>
      </c>
      <c r="I19" s="123" t="e">
        <f t="shared" si="3"/>
        <v>#REF!</v>
      </c>
      <c r="J19" s="123" t="e">
        <f t="shared" si="3"/>
        <v>#REF!</v>
      </c>
      <c r="K19" s="112" t="e">
        <v>#REF!</v>
      </c>
    </row>
    <row r="20" spans="1:11" ht="50.25" customHeight="1" thickBot="1" x14ac:dyDescent="0.35">
      <c r="A20" s="111" t="e">
        <v>#REF!</v>
      </c>
      <c r="B20" s="111" t="e">
        <v>#REF!</v>
      </c>
      <c r="C20" s="112" t="e">
        <v>#REF!</v>
      </c>
      <c r="D20" s="112" t="e">
        <v>#REF!</v>
      </c>
      <c r="E20" s="112" t="e">
        <v>#REF!</v>
      </c>
      <c r="F20" s="115" t="e">
        <v>#REF!</v>
      </c>
      <c r="G20" s="123" t="e">
        <f t="shared" si="3"/>
        <v>#REF!</v>
      </c>
      <c r="H20" s="123" t="e">
        <f t="shared" si="3"/>
        <v>#REF!</v>
      </c>
      <c r="I20" s="123" t="e">
        <f t="shared" si="3"/>
        <v>#REF!</v>
      </c>
      <c r="J20" s="123" t="e">
        <f t="shared" si="3"/>
        <v>#REF!</v>
      </c>
      <c r="K20" s="112" t="e">
        <v>#REF!</v>
      </c>
    </row>
    <row r="21" spans="1:11" ht="50.25" customHeight="1" thickBot="1" x14ac:dyDescent="0.35">
      <c r="A21" s="111" t="e">
        <v>#REF!</v>
      </c>
      <c r="B21" s="111" t="e">
        <v>#REF!</v>
      </c>
      <c r="C21" s="112" t="e">
        <v>#REF!</v>
      </c>
      <c r="D21" s="112" t="e">
        <v>#REF!</v>
      </c>
      <c r="E21" s="112" t="e">
        <v>#REF!</v>
      </c>
      <c r="F21" s="115" t="e">
        <v>#REF!</v>
      </c>
      <c r="G21" s="123" t="e">
        <f t="shared" si="3"/>
        <v>#REF!</v>
      </c>
      <c r="H21" s="123" t="e">
        <f t="shared" si="3"/>
        <v>#REF!</v>
      </c>
      <c r="I21" s="123" t="e">
        <f t="shared" si="3"/>
        <v>#REF!</v>
      </c>
      <c r="J21" s="123" t="e">
        <f t="shared" si="3"/>
        <v>#REF!</v>
      </c>
      <c r="K21" s="112" t="e">
        <v>#REF!</v>
      </c>
    </row>
    <row r="22" spans="1:11" ht="51" customHeight="1" thickBot="1" x14ac:dyDescent="0.35">
      <c r="A22" s="790" t="s">
        <v>17</v>
      </c>
      <c r="B22" s="790"/>
      <c r="C22" s="113" t="e">
        <f t="shared" ref="C22:K22" si="4">SUM(C19:C21)</f>
        <v>#REF!</v>
      </c>
      <c r="D22" s="113" t="e">
        <f t="shared" si="4"/>
        <v>#REF!</v>
      </c>
      <c r="E22" s="113" t="e">
        <f>SUM(E19:E21)</f>
        <v>#REF!</v>
      </c>
      <c r="F22" s="116" t="e">
        <f t="shared" si="4"/>
        <v>#REF!</v>
      </c>
      <c r="G22" s="116" t="e">
        <f t="shared" si="4"/>
        <v>#REF!</v>
      </c>
      <c r="H22" s="116" t="e">
        <f t="shared" si="4"/>
        <v>#REF!</v>
      </c>
      <c r="I22" s="116" t="e">
        <f t="shared" si="4"/>
        <v>#REF!</v>
      </c>
      <c r="J22" s="116" t="e">
        <f t="shared" si="4"/>
        <v>#REF!</v>
      </c>
      <c r="K22" s="116" t="e">
        <f t="shared" si="4"/>
        <v>#REF!</v>
      </c>
    </row>
    <row r="23" spans="1:11" ht="51" customHeight="1" thickBot="1" x14ac:dyDescent="0.35">
      <c r="A23" s="798" t="s">
        <v>18</v>
      </c>
      <c r="B23" s="798"/>
      <c r="C23" s="119" t="e">
        <f t="shared" ref="C23:K23" si="5">C22+C17+C13+C9</f>
        <v>#REF!</v>
      </c>
      <c r="D23" s="119" t="e">
        <f t="shared" si="5"/>
        <v>#REF!</v>
      </c>
      <c r="E23" s="119" t="e">
        <f>E22+E17+E13+E9</f>
        <v>#REF!</v>
      </c>
      <c r="F23" s="119" t="e">
        <f t="shared" si="5"/>
        <v>#REF!</v>
      </c>
      <c r="G23" s="119" t="e">
        <f t="shared" si="5"/>
        <v>#REF!</v>
      </c>
      <c r="H23" s="119" t="e">
        <f t="shared" si="5"/>
        <v>#REF!</v>
      </c>
      <c r="I23" s="119" t="e">
        <f t="shared" si="5"/>
        <v>#REF!</v>
      </c>
      <c r="J23" s="119" t="e">
        <f t="shared" si="5"/>
        <v>#REF!</v>
      </c>
      <c r="K23" s="119" t="e">
        <f t="shared" si="5"/>
        <v>#REF!</v>
      </c>
    </row>
    <row r="24" spans="1:11" ht="32.25" customHeight="1" thickBot="1" x14ac:dyDescent="0.35">
      <c r="A24" s="799" t="s">
        <v>19</v>
      </c>
      <c r="B24" s="800"/>
      <c r="C24" s="119" t="e">
        <f t="shared" ref="C24:E25" si="6">F24</f>
        <v>#REF!</v>
      </c>
      <c r="D24" s="119">
        <f t="shared" si="6"/>
        <v>0</v>
      </c>
      <c r="E24" s="119">
        <f t="shared" si="6"/>
        <v>0</v>
      </c>
      <c r="F24" s="124" t="e">
        <v>#REF!</v>
      </c>
      <c r="G24" s="121"/>
      <c r="H24" s="125">
        <v>0</v>
      </c>
      <c r="I24" s="125">
        <v>0</v>
      </c>
      <c r="J24" s="125">
        <v>0</v>
      </c>
      <c r="K24" s="120"/>
    </row>
    <row r="25" spans="1:11" ht="32.25" customHeight="1" thickBot="1" x14ac:dyDescent="0.35">
      <c r="A25" s="798" t="s">
        <v>20</v>
      </c>
      <c r="B25" s="798"/>
      <c r="C25" s="119" t="e">
        <f t="shared" si="6"/>
        <v>#REF!</v>
      </c>
      <c r="D25" s="119">
        <f t="shared" si="6"/>
        <v>0</v>
      </c>
      <c r="E25" s="119">
        <f t="shared" si="6"/>
        <v>0</v>
      </c>
      <c r="F25" s="124" t="e">
        <v>#REF!</v>
      </c>
      <c r="G25" s="125">
        <v>0</v>
      </c>
      <c r="H25" s="125">
        <v>0</v>
      </c>
      <c r="I25" s="125">
        <v>0</v>
      </c>
      <c r="J25" s="125">
        <v>0</v>
      </c>
      <c r="K25" s="120"/>
    </row>
    <row r="26" spans="1:11" ht="51.75" customHeight="1" thickBot="1" x14ac:dyDescent="0.35">
      <c r="A26" s="797" t="s">
        <v>21</v>
      </c>
      <c r="B26" s="797"/>
      <c r="C26" s="119" t="e">
        <f>C25+C23=C24</f>
        <v>#REF!</v>
      </c>
      <c r="D26" s="120"/>
      <c r="E26" s="120"/>
      <c r="F26" s="121"/>
      <c r="G26" s="121"/>
      <c r="H26" s="121"/>
      <c r="I26" s="121"/>
      <c r="J26" s="121"/>
      <c r="K26" s="120"/>
    </row>
    <row r="27" spans="1:11" x14ac:dyDescent="0.3">
      <c r="A27" s="796" t="s">
        <v>22</v>
      </c>
      <c r="B27" s="795"/>
      <c r="C27" s="795"/>
      <c r="D27" s="795"/>
      <c r="E27" s="795"/>
      <c r="F27" s="795"/>
      <c r="G27" s="795"/>
      <c r="H27" s="795"/>
      <c r="I27" s="795"/>
      <c r="J27" s="795"/>
      <c r="K27" s="795"/>
    </row>
    <row r="28" spans="1:11" x14ac:dyDescent="0.3">
      <c r="A28" s="794" t="s">
        <v>23</v>
      </c>
      <c r="B28" s="795"/>
      <c r="C28" s="795"/>
      <c r="D28" s="795"/>
      <c r="E28" s="795"/>
      <c r="F28" s="795"/>
      <c r="G28" s="795"/>
      <c r="H28" s="795"/>
      <c r="I28" s="795"/>
      <c r="J28" s="795"/>
      <c r="K28" s="795"/>
    </row>
    <row r="29" spans="1:11" x14ac:dyDescent="0.3">
      <c r="A29" s="794" t="s">
        <v>24</v>
      </c>
      <c r="B29" s="795"/>
      <c r="C29" s="795"/>
      <c r="D29" s="795"/>
      <c r="E29" s="795"/>
      <c r="F29" s="795"/>
      <c r="G29" s="795"/>
      <c r="H29" s="795"/>
      <c r="I29" s="795"/>
      <c r="J29" s="795"/>
      <c r="K29" s="795"/>
    </row>
    <row r="30" spans="1:11" x14ac:dyDescent="0.3">
      <c r="A30" s="796" t="s">
        <v>25</v>
      </c>
      <c r="B30" s="795"/>
      <c r="C30" s="795"/>
      <c r="D30" s="795"/>
      <c r="E30" s="795"/>
      <c r="F30" s="795"/>
      <c r="G30" s="795"/>
      <c r="H30" s="795"/>
      <c r="I30" s="795"/>
      <c r="J30" s="795"/>
      <c r="K30" s="795"/>
    </row>
    <row r="31" spans="1:11" x14ac:dyDescent="0.3">
      <c r="A31" s="796" t="s">
        <v>26</v>
      </c>
      <c r="B31" s="795"/>
      <c r="C31" s="795"/>
      <c r="D31" s="795"/>
      <c r="E31" s="795"/>
      <c r="F31" s="795"/>
      <c r="G31" s="795"/>
      <c r="H31" s="795"/>
      <c r="I31" s="795"/>
      <c r="J31" s="795"/>
      <c r="K31" s="795"/>
    </row>
    <row r="32" spans="1:11" x14ac:dyDescent="0.3">
      <c r="A32" s="796" t="s">
        <v>27</v>
      </c>
      <c r="B32" s="795"/>
      <c r="C32" s="795"/>
      <c r="D32" s="795"/>
      <c r="E32" s="795"/>
      <c r="F32" s="795"/>
      <c r="G32" s="795"/>
      <c r="H32" s="795"/>
      <c r="I32" s="795"/>
      <c r="J32" s="795"/>
      <c r="K32" s="795"/>
    </row>
    <row r="33" spans="1:11" x14ac:dyDescent="0.3">
      <c r="A33" s="796" t="s">
        <v>28</v>
      </c>
      <c r="B33" s="795"/>
      <c r="C33" s="795"/>
      <c r="D33" s="795"/>
      <c r="E33" s="795"/>
      <c r="F33" s="795"/>
      <c r="G33" s="795"/>
      <c r="H33" s="795"/>
      <c r="I33" s="795"/>
      <c r="J33" s="795"/>
      <c r="K33" s="795"/>
    </row>
    <row r="34" spans="1:11" x14ac:dyDescent="0.3">
      <c r="A34" s="796" t="s">
        <v>29</v>
      </c>
      <c r="B34" s="795"/>
      <c r="C34" s="795"/>
      <c r="D34" s="795"/>
      <c r="E34" s="795"/>
      <c r="F34" s="795"/>
      <c r="G34" s="795"/>
      <c r="H34" s="795"/>
      <c r="I34" s="795"/>
      <c r="J34" s="795"/>
      <c r="K34" s="795"/>
    </row>
    <row r="35" spans="1:11" x14ac:dyDescent="0.3">
      <c r="A35" s="794" t="s">
        <v>30</v>
      </c>
      <c r="B35" s="795"/>
      <c r="C35" s="795"/>
      <c r="D35" s="795"/>
      <c r="E35" s="795"/>
      <c r="F35" s="795"/>
      <c r="G35" s="795"/>
      <c r="H35" s="795"/>
      <c r="I35" s="795"/>
      <c r="J35" s="795"/>
      <c r="K35" s="795"/>
    </row>
    <row r="36" spans="1:11" x14ac:dyDescent="0.3">
      <c r="A36" s="794" t="s">
        <v>31</v>
      </c>
      <c r="B36" s="795"/>
      <c r="C36" s="795"/>
      <c r="D36" s="795"/>
      <c r="E36" s="795"/>
      <c r="F36" s="795"/>
      <c r="G36" s="795"/>
      <c r="H36" s="795"/>
      <c r="I36" s="795"/>
      <c r="J36" s="795"/>
      <c r="K36" s="795"/>
    </row>
    <row r="37" spans="1:11" x14ac:dyDescent="0.3">
      <c r="A37" s="794" t="s">
        <v>32</v>
      </c>
      <c r="B37" s="795"/>
      <c r="C37" s="795"/>
      <c r="D37" s="795"/>
      <c r="E37" s="795"/>
      <c r="F37" s="795"/>
      <c r="G37" s="795"/>
      <c r="H37" s="795"/>
      <c r="I37" s="795"/>
      <c r="J37" s="795"/>
      <c r="K37" s="795"/>
    </row>
    <row r="38" spans="1:11" x14ac:dyDescent="0.3">
      <c r="A38" s="801" t="s">
        <v>33</v>
      </c>
      <c r="B38" s="795"/>
      <c r="C38" s="795"/>
      <c r="D38" s="795"/>
      <c r="E38" s="795"/>
      <c r="F38" s="795"/>
      <c r="G38" s="795"/>
      <c r="H38" s="795"/>
      <c r="I38" s="795"/>
      <c r="J38" s="795"/>
      <c r="K38" s="795"/>
    </row>
  </sheetData>
  <mergeCells count="28">
    <mergeCell ref="A37:K37"/>
    <mergeCell ref="A38:K38"/>
    <mergeCell ref="A31:K31"/>
    <mergeCell ref="A32:K32"/>
    <mergeCell ref="A33:K33"/>
    <mergeCell ref="A34:K34"/>
    <mergeCell ref="A35:K35"/>
    <mergeCell ref="A36:K36"/>
    <mergeCell ref="A29:K29"/>
    <mergeCell ref="A30:K30"/>
    <mergeCell ref="A17:B17"/>
    <mergeCell ref="A26:B26"/>
    <mergeCell ref="A25:B25"/>
    <mergeCell ref="A24:B24"/>
    <mergeCell ref="A28:K28"/>
    <mergeCell ref="A27:K27"/>
    <mergeCell ref="A23:B23"/>
    <mergeCell ref="A22:B22"/>
    <mergeCell ref="A1:K1"/>
    <mergeCell ref="A2:K3"/>
    <mergeCell ref="A13:B13"/>
    <mergeCell ref="F4:K4"/>
    <mergeCell ref="A4:A5"/>
    <mergeCell ref="B4:B5"/>
    <mergeCell ref="C4:C5"/>
    <mergeCell ref="D4:D5"/>
    <mergeCell ref="E4:E5"/>
    <mergeCell ref="A9:B9"/>
  </mergeCells>
  <hyperlinks>
    <hyperlink ref="A28" location="_ftnref1" display="_ftnref1"/>
    <hyperlink ref="A29" location="_ftnref2" display="_ftnref2"/>
    <hyperlink ref="A35" location="_ftnref3" display="_ftnref3"/>
    <hyperlink ref="A36" location="_ftnref4" display="_ftnref4"/>
    <hyperlink ref="A37" location="_ftnref5" display="_ftnref5"/>
  </hyperlinks>
  <pageMargins left="0.37541666666666668" right="0.27625" top="0.75" bottom="0.75" header="0.3" footer="0.3"/>
  <pageSetup scale="68" orientation="portrait" r:id="rId1"/>
  <customProperties>
    <customPr name="QAA_DRILLPATH_NODE_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339933"/>
  </sheetPr>
  <dimension ref="A2:G34"/>
  <sheetViews>
    <sheetView view="pageBreakPreview" topLeftCell="A18" zoomScale="115" zoomScaleNormal="100" zoomScaleSheetLayoutView="115" workbookViewId="0">
      <selection activeCell="A29" sqref="A29:G34"/>
    </sheetView>
  </sheetViews>
  <sheetFormatPr baseColWidth="10" defaultColWidth="9.9140625" defaultRowHeight="14" x14ac:dyDescent="0.3"/>
  <cols>
    <col min="1" max="1" width="3.58203125" style="625" customWidth="1"/>
    <col min="2" max="2" width="30" style="625" bestFit="1" customWidth="1"/>
    <col min="3" max="3" width="6.9140625" style="625" customWidth="1"/>
    <col min="4" max="4" width="8.08203125" style="625" bestFit="1" customWidth="1"/>
    <col min="5" max="5" width="9.9140625" style="625"/>
    <col min="6" max="6" width="11.1640625" style="625" customWidth="1"/>
    <col min="7" max="7" width="12.1640625" style="625" customWidth="1"/>
    <col min="8" max="16384" width="9.9140625" style="625"/>
  </cols>
  <sheetData>
    <row r="2" spans="1:7" x14ac:dyDescent="0.3">
      <c r="A2" s="661" t="s">
        <v>1969</v>
      </c>
      <c r="B2" s="718"/>
      <c r="C2" s="718"/>
      <c r="D2" s="718"/>
      <c r="E2" s="718"/>
      <c r="F2" s="719"/>
      <c r="G2" s="720"/>
    </row>
    <row r="3" spans="1:7" x14ac:dyDescent="0.3">
      <c r="A3" s="721"/>
      <c r="B3" s="721"/>
      <c r="C3" s="721"/>
      <c r="D3" s="721"/>
      <c r="E3" s="721"/>
      <c r="F3" s="721"/>
      <c r="G3" s="721"/>
    </row>
    <row r="4" spans="1:7" x14ac:dyDescent="0.3">
      <c r="A4" s="626" t="s">
        <v>738</v>
      </c>
      <c r="B4" s="627" t="s">
        <v>1831</v>
      </c>
      <c r="C4" s="626" t="s">
        <v>75</v>
      </c>
      <c r="D4" s="626" t="s">
        <v>78</v>
      </c>
      <c r="E4" s="626" t="s">
        <v>736</v>
      </c>
      <c r="F4" s="628" t="s">
        <v>737</v>
      </c>
      <c r="G4" s="627" t="s">
        <v>1832</v>
      </c>
    </row>
    <row r="5" spans="1:7" x14ac:dyDescent="0.3">
      <c r="A5" s="632">
        <v>1</v>
      </c>
      <c r="B5" s="644" t="s">
        <v>1970</v>
      </c>
      <c r="C5" s="632" t="s">
        <v>480</v>
      </c>
      <c r="D5" s="632">
        <v>6</v>
      </c>
      <c r="E5" s="662"/>
      <c r="F5" s="634"/>
      <c r="G5" s="687"/>
    </row>
    <row r="6" spans="1:7" x14ac:dyDescent="0.3">
      <c r="A6" s="632">
        <v>2</v>
      </c>
      <c r="B6" s="644" t="s">
        <v>1911</v>
      </c>
      <c r="C6" s="632" t="s">
        <v>480</v>
      </c>
      <c r="D6" s="722">
        <v>700</v>
      </c>
      <c r="E6" s="662"/>
      <c r="F6" s="634"/>
      <c r="G6" s="687"/>
    </row>
    <row r="7" spans="1:7" ht="16.5" x14ac:dyDescent="0.3">
      <c r="A7" s="632">
        <v>3</v>
      </c>
      <c r="B7" s="644" t="s">
        <v>1841</v>
      </c>
      <c r="C7" s="632" t="s">
        <v>1842</v>
      </c>
      <c r="D7" s="632">
        <v>3</v>
      </c>
      <c r="E7" s="662"/>
      <c r="F7" s="634"/>
      <c r="G7" s="687" t="s">
        <v>1927</v>
      </c>
    </row>
    <row r="8" spans="1:7" x14ac:dyDescent="0.3">
      <c r="A8" s="632">
        <v>4</v>
      </c>
      <c r="B8" s="644" t="s">
        <v>1844</v>
      </c>
      <c r="C8" s="632" t="s">
        <v>1845</v>
      </c>
      <c r="D8" s="632">
        <v>10</v>
      </c>
      <c r="E8" s="662"/>
      <c r="F8" s="634"/>
      <c r="G8" s="687"/>
    </row>
    <row r="9" spans="1:7" x14ac:dyDescent="0.3">
      <c r="A9" s="632">
        <v>5</v>
      </c>
      <c r="B9" s="644" t="s">
        <v>1846</v>
      </c>
      <c r="C9" s="632" t="s">
        <v>1847</v>
      </c>
      <c r="D9" s="632">
        <v>0.5</v>
      </c>
      <c r="E9" s="662"/>
      <c r="F9" s="634"/>
      <c r="G9" s="687"/>
    </row>
    <row r="10" spans="1:7" x14ac:dyDescent="0.3">
      <c r="A10" s="632">
        <v>6</v>
      </c>
      <c r="B10" s="644" t="s">
        <v>1912</v>
      </c>
      <c r="C10" s="632" t="s">
        <v>480</v>
      </c>
      <c r="D10" s="632">
        <v>4</v>
      </c>
      <c r="E10" s="662"/>
      <c r="F10" s="634"/>
      <c r="G10" s="687"/>
    </row>
    <row r="11" spans="1:7" x14ac:dyDescent="0.3">
      <c r="A11" s="632">
        <v>7</v>
      </c>
      <c r="B11" s="644" t="s">
        <v>1848</v>
      </c>
      <c r="C11" s="632" t="s">
        <v>480</v>
      </c>
      <c r="D11" s="632">
        <v>3</v>
      </c>
      <c r="E11" s="662"/>
      <c r="F11" s="634"/>
      <c r="G11" s="687"/>
    </row>
    <row r="12" spans="1:7" x14ac:dyDescent="0.3">
      <c r="A12" s="632">
        <v>8</v>
      </c>
      <c r="B12" s="644" t="s">
        <v>1849</v>
      </c>
      <c r="C12" s="632" t="s">
        <v>1847</v>
      </c>
      <c r="D12" s="632">
        <v>0.5</v>
      </c>
      <c r="E12" s="662"/>
      <c r="F12" s="634"/>
      <c r="G12" s="687"/>
    </row>
    <row r="13" spans="1:7" x14ac:dyDescent="0.3">
      <c r="A13" s="632">
        <v>9</v>
      </c>
      <c r="B13" s="644" t="s">
        <v>1913</v>
      </c>
      <c r="C13" s="632" t="s">
        <v>480</v>
      </c>
      <c r="D13" s="632">
        <v>3</v>
      </c>
      <c r="E13" s="662"/>
      <c r="F13" s="634"/>
      <c r="G13" s="687"/>
    </row>
    <row r="14" spans="1:7" ht="16.5" x14ac:dyDescent="0.3">
      <c r="A14" s="632">
        <v>10</v>
      </c>
      <c r="B14" s="644" t="s">
        <v>1853</v>
      </c>
      <c r="C14" s="632" t="s">
        <v>1868</v>
      </c>
      <c r="D14" s="632">
        <v>1</v>
      </c>
      <c r="E14" s="662"/>
      <c r="F14" s="634"/>
      <c r="G14" s="687"/>
    </row>
    <row r="15" spans="1:7" x14ac:dyDescent="0.3">
      <c r="A15" s="632">
        <v>11</v>
      </c>
      <c r="B15" s="644" t="s">
        <v>1915</v>
      </c>
      <c r="C15" s="632" t="s">
        <v>480</v>
      </c>
      <c r="D15" s="632">
        <v>3</v>
      </c>
      <c r="E15" s="662"/>
      <c r="F15" s="634"/>
      <c r="G15" s="687"/>
    </row>
    <row r="16" spans="1:7" x14ac:dyDescent="0.3">
      <c r="A16" s="632">
        <v>12</v>
      </c>
      <c r="B16" s="644" t="s">
        <v>1854</v>
      </c>
      <c r="C16" s="632" t="s">
        <v>480</v>
      </c>
      <c r="D16" s="632">
        <v>2</v>
      </c>
      <c r="E16" s="662"/>
      <c r="F16" s="634"/>
      <c r="G16" s="687"/>
    </row>
    <row r="17" spans="1:7" x14ac:dyDescent="0.3">
      <c r="A17" s="632">
        <v>13</v>
      </c>
      <c r="B17" s="644" t="s">
        <v>1916</v>
      </c>
      <c r="C17" s="632" t="s">
        <v>480</v>
      </c>
      <c r="D17" s="632">
        <v>3</v>
      </c>
      <c r="E17" s="662"/>
      <c r="F17" s="634"/>
      <c r="G17" s="687"/>
    </row>
    <row r="18" spans="1:7" x14ac:dyDescent="0.3">
      <c r="A18" s="632">
        <v>14</v>
      </c>
      <c r="B18" s="644" t="s">
        <v>1917</v>
      </c>
      <c r="C18" s="632" t="s">
        <v>480</v>
      </c>
      <c r="D18" s="632">
        <v>2</v>
      </c>
      <c r="E18" s="662"/>
      <c r="F18" s="634"/>
      <c r="G18" s="687"/>
    </row>
    <row r="19" spans="1:7" ht="16.5" x14ac:dyDescent="0.3">
      <c r="A19" s="632">
        <v>15</v>
      </c>
      <c r="B19" s="644" t="s">
        <v>1856</v>
      </c>
      <c r="C19" s="632" t="s">
        <v>1868</v>
      </c>
      <c r="D19" s="632">
        <v>1</v>
      </c>
      <c r="E19" s="662"/>
      <c r="F19" s="634"/>
      <c r="G19" s="687"/>
    </row>
    <row r="20" spans="1:7" x14ac:dyDescent="0.3">
      <c r="A20" s="632">
        <v>16</v>
      </c>
      <c r="B20" s="644" t="s">
        <v>1936</v>
      </c>
      <c r="C20" s="632" t="s">
        <v>480</v>
      </c>
      <c r="D20" s="632">
        <v>2</v>
      </c>
      <c r="E20" s="662"/>
      <c r="F20" s="634"/>
      <c r="G20" s="687"/>
    </row>
    <row r="21" spans="1:7" x14ac:dyDescent="0.3">
      <c r="A21" s="632">
        <v>17</v>
      </c>
      <c r="B21" s="644" t="s">
        <v>1919</v>
      </c>
      <c r="C21" s="632" t="s">
        <v>480</v>
      </c>
      <c r="D21" s="632">
        <v>1</v>
      </c>
      <c r="E21" s="662"/>
      <c r="F21" s="634"/>
      <c r="G21" s="687"/>
    </row>
    <row r="22" spans="1:7" x14ac:dyDescent="0.3">
      <c r="A22" s="632">
        <v>18</v>
      </c>
      <c r="B22" s="644" t="s">
        <v>1971</v>
      </c>
      <c r="C22" s="632" t="s">
        <v>480</v>
      </c>
      <c r="D22" s="632">
        <v>2</v>
      </c>
      <c r="E22" s="662"/>
      <c r="F22" s="634"/>
      <c r="G22" s="687"/>
    </row>
    <row r="23" spans="1:7" x14ac:dyDescent="0.3">
      <c r="A23" s="632">
        <v>19</v>
      </c>
      <c r="B23" s="644" t="s">
        <v>1920</v>
      </c>
      <c r="C23" s="632" t="s">
        <v>480</v>
      </c>
      <c r="D23" s="632">
        <v>1</v>
      </c>
      <c r="E23" s="662"/>
      <c r="F23" s="634"/>
      <c r="G23" s="687"/>
    </row>
    <row r="24" spans="1:7" x14ac:dyDescent="0.3">
      <c r="A24" s="632">
        <v>20</v>
      </c>
      <c r="B24" s="644" t="s">
        <v>1972</v>
      </c>
      <c r="C24" s="632" t="s">
        <v>480</v>
      </c>
      <c r="D24" s="632">
        <v>1</v>
      </c>
      <c r="E24" s="662"/>
      <c r="F24" s="634"/>
      <c r="G24" s="687"/>
    </row>
    <row r="25" spans="1:7" x14ac:dyDescent="0.3">
      <c r="A25" s="632">
        <v>21</v>
      </c>
      <c r="B25" s="644" t="s">
        <v>1922</v>
      </c>
      <c r="C25" s="632" t="s">
        <v>480</v>
      </c>
      <c r="D25" s="632">
        <v>1</v>
      </c>
      <c r="E25" s="662"/>
      <c r="F25" s="634"/>
      <c r="G25" s="687"/>
    </row>
    <row r="26" spans="1:7" x14ac:dyDescent="0.3">
      <c r="A26" s="663" t="s">
        <v>1859</v>
      </c>
      <c r="B26" s="636"/>
      <c r="C26" s="637"/>
      <c r="D26" s="636"/>
      <c r="E26" s="638"/>
      <c r="F26" s="628">
        <f>SUM(F5:F25)</f>
        <v>0</v>
      </c>
      <c r="G26" s="639"/>
    </row>
    <row r="27" spans="1:7" x14ac:dyDescent="0.3">
      <c r="A27" s="723">
        <v>17</v>
      </c>
      <c r="B27" s="724" t="s">
        <v>1860</v>
      </c>
      <c r="C27" s="725"/>
      <c r="D27" s="725"/>
      <c r="E27" s="726"/>
      <c r="F27" s="634">
        <f>PRODUCT(F26,0.3)</f>
        <v>0</v>
      </c>
      <c r="G27" s="671"/>
    </row>
    <row r="28" spans="1:7" x14ac:dyDescent="0.3">
      <c r="A28" s="663" t="s">
        <v>1923</v>
      </c>
      <c r="B28" s="636"/>
      <c r="C28" s="637"/>
      <c r="D28" s="636"/>
      <c r="E28" s="638"/>
      <c r="F28" s="628">
        <f>SUM(F26:F27)</f>
        <v>0</v>
      </c>
      <c r="G28" s="639"/>
    </row>
    <row r="29" spans="1:7" x14ac:dyDescent="0.3">
      <c r="A29" s="671"/>
      <c r="B29" s="671"/>
      <c r="C29" s="671"/>
      <c r="D29" s="671"/>
      <c r="E29" s="671"/>
      <c r="F29" s="671"/>
      <c r="G29" s="671"/>
    </row>
    <row r="30" spans="1:7" x14ac:dyDescent="0.3">
      <c r="A30" s="671"/>
      <c r="B30" s="671" t="s">
        <v>2112</v>
      </c>
      <c r="C30" s="671"/>
      <c r="D30" s="671"/>
      <c r="E30" s="671"/>
      <c r="F30" s="671"/>
      <c r="G30" s="671"/>
    </row>
    <row r="31" spans="1:7" x14ac:dyDescent="0.3">
      <c r="A31" s="671"/>
      <c r="B31" s="671"/>
      <c r="C31" s="671"/>
      <c r="D31" s="671"/>
      <c r="E31" s="671"/>
      <c r="F31" s="671"/>
      <c r="G31" s="671"/>
    </row>
    <row r="32" spans="1:7" x14ac:dyDescent="0.3">
      <c r="A32" s="671"/>
      <c r="B32" s="671" t="s">
        <v>2113</v>
      </c>
      <c r="C32" s="671"/>
      <c r="D32" s="671"/>
      <c r="E32" s="671"/>
      <c r="F32" s="671"/>
      <c r="G32" s="671"/>
    </row>
    <row r="33" spans="1:7" x14ac:dyDescent="0.3">
      <c r="A33" s="671"/>
      <c r="B33" s="671"/>
      <c r="C33" s="671"/>
      <c r="D33" s="671"/>
      <c r="E33" s="671"/>
      <c r="F33" s="671"/>
      <c r="G33" s="671"/>
    </row>
    <row r="34" spans="1:7" x14ac:dyDescent="0.3">
      <c r="A34" s="671"/>
      <c r="B34" s="671" t="s">
        <v>2114</v>
      </c>
      <c r="C34" s="671"/>
      <c r="D34" s="671"/>
      <c r="E34" s="671"/>
      <c r="F34" s="671"/>
      <c r="G34" s="671"/>
    </row>
  </sheetData>
  <printOptions horizontalCentered="1"/>
  <pageMargins left="0.70866141732283472" right="0.70866141732283472" top="0.74803149606299213" bottom="0.74803149606299213" header="0.31496062992125984" footer="0.31496062992125984"/>
  <pageSetup paperSize="9" scale="97" orientation="portrait" r:id="rId1"/>
  <customProperties>
    <customPr name="QAA_DRILLPATH_NODE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002060"/>
  </sheetPr>
  <dimension ref="A2:G65"/>
  <sheetViews>
    <sheetView view="pageBreakPreview" topLeftCell="A45" zoomScaleNormal="100" zoomScaleSheetLayoutView="100" workbookViewId="0">
      <selection activeCell="A60" sqref="A60:G65"/>
    </sheetView>
  </sheetViews>
  <sheetFormatPr baseColWidth="10" defaultColWidth="9.9140625" defaultRowHeight="14" x14ac:dyDescent="0.35"/>
  <cols>
    <col min="1" max="1" width="2.9140625" style="652" bestFit="1" customWidth="1"/>
    <col min="2" max="2" width="33.4140625" style="652" bestFit="1" customWidth="1"/>
    <col min="3" max="3" width="5.08203125" style="652" customWidth="1"/>
    <col min="4" max="4" width="7.9140625" style="652" bestFit="1" customWidth="1"/>
    <col min="5" max="5" width="9.9140625" style="652"/>
    <col min="6" max="6" width="11.08203125" style="652" customWidth="1"/>
    <col min="7" max="7" width="16.58203125" style="652" bestFit="1" customWidth="1"/>
    <col min="8" max="16384" width="9.9140625" style="652"/>
  </cols>
  <sheetData>
    <row r="2" spans="1:7" x14ac:dyDescent="0.35">
      <c r="A2" s="661" t="s">
        <v>1973</v>
      </c>
      <c r="B2" s="622"/>
      <c r="C2" s="622"/>
      <c r="D2" s="622"/>
      <c r="E2" s="622"/>
      <c r="F2" s="661"/>
      <c r="G2" s="623"/>
    </row>
    <row r="4" spans="1:7" x14ac:dyDescent="0.35">
      <c r="A4" s="626" t="s">
        <v>738</v>
      </c>
      <c r="B4" s="627" t="s">
        <v>1831</v>
      </c>
      <c r="C4" s="626" t="s">
        <v>75</v>
      </c>
      <c r="D4" s="626" t="s">
        <v>78</v>
      </c>
      <c r="E4" s="626" t="s">
        <v>736</v>
      </c>
      <c r="F4" s="628" t="s">
        <v>737</v>
      </c>
      <c r="G4" s="627" t="s">
        <v>1832</v>
      </c>
    </row>
    <row r="5" spans="1:7" x14ac:dyDescent="0.35">
      <c r="A5" s="629" t="s">
        <v>1974</v>
      </c>
      <c r="B5" s="630"/>
      <c r="C5" s="630"/>
      <c r="D5" s="630"/>
      <c r="E5" s="630"/>
      <c r="F5" s="630"/>
      <c r="G5" s="631"/>
    </row>
    <row r="6" spans="1:7" ht="16.5" x14ac:dyDescent="0.35">
      <c r="A6" s="632">
        <v>1</v>
      </c>
      <c r="B6" s="644" t="s">
        <v>1838</v>
      </c>
      <c r="C6" s="632" t="s">
        <v>1868</v>
      </c>
      <c r="D6" s="632">
        <v>4</v>
      </c>
      <c r="E6" s="662"/>
      <c r="F6" s="634"/>
      <c r="G6" s="687"/>
    </row>
    <row r="7" spans="1:7" x14ac:dyDescent="0.35">
      <c r="A7" s="632">
        <v>2</v>
      </c>
      <c r="B7" s="644" t="s">
        <v>1846</v>
      </c>
      <c r="C7" s="632" t="s">
        <v>1847</v>
      </c>
      <c r="D7" s="632">
        <v>1</v>
      </c>
      <c r="E7" s="662"/>
      <c r="F7" s="634"/>
      <c r="G7" s="687"/>
    </row>
    <row r="8" spans="1:7" x14ac:dyDescent="0.35">
      <c r="A8" s="632">
        <v>3</v>
      </c>
      <c r="B8" s="644" t="s">
        <v>1975</v>
      </c>
      <c r="C8" s="632" t="s">
        <v>480</v>
      </c>
      <c r="D8" s="632">
        <v>1</v>
      </c>
      <c r="E8" s="662"/>
      <c r="F8" s="634"/>
      <c r="G8" s="687" t="s">
        <v>1976</v>
      </c>
    </row>
    <row r="9" spans="1:7" x14ac:dyDescent="0.35">
      <c r="A9" s="632">
        <v>4</v>
      </c>
      <c r="B9" s="644" t="s">
        <v>1890</v>
      </c>
      <c r="C9" s="632" t="s">
        <v>480</v>
      </c>
      <c r="D9" s="632">
        <v>1</v>
      </c>
      <c r="E9" s="662"/>
      <c r="F9" s="634"/>
      <c r="G9" s="687"/>
    </row>
    <row r="10" spans="1:7" x14ac:dyDescent="0.35">
      <c r="A10" s="632">
        <v>5</v>
      </c>
      <c r="B10" s="644" t="s">
        <v>1951</v>
      </c>
      <c r="C10" s="632" t="s">
        <v>480</v>
      </c>
      <c r="D10" s="632">
        <v>5</v>
      </c>
      <c r="E10" s="662"/>
      <c r="F10" s="634"/>
      <c r="G10" s="687"/>
    </row>
    <row r="11" spans="1:7" x14ac:dyDescent="0.35">
      <c r="A11" s="629" t="s">
        <v>1977</v>
      </c>
      <c r="B11" s="630"/>
      <c r="C11" s="630"/>
      <c r="D11" s="630"/>
      <c r="E11" s="630"/>
      <c r="F11" s="630"/>
      <c r="G11" s="631"/>
    </row>
    <row r="12" spans="1:7" x14ac:dyDescent="0.35">
      <c r="A12" s="632">
        <v>1</v>
      </c>
      <c r="B12" s="644" t="s">
        <v>1844</v>
      </c>
      <c r="C12" s="632" t="s">
        <v>1845</v>
      </c>
      <c r="D12" s="632">
        <v>2</v>
      </c>
      <c r="E12" s="662"/>
      <c r="F12" s="634"/>
      <c r="G12" s="687"/>
    </row>
    <row r="13" spans="1:7" ht="16.5" x14ac:dyDescent="0.35">
      <c r="A13" s="632">
        <v>2</v>
      </c>
      <c r="B13" s="644" t="s">
        <v>1853</v>
      </c>
      <c r="C13" s="632" t="s">
        <v>1868</v>
      </c>
      <c r="D13" s="632">
        <v>1</v>
      </c>
      <c r="E13" s="662"/>
      <c r="F13" s="634"/>
      <c r="G13" s="687"/>
    </row>
    <row r="14" spans="1:7" ht="16.5" x14ac:dyDescent="0.35">
      <c r="A14" s="632">
        <v>3</v>
      </c>
      <c r="B14" s="644" t="s">
        <v>1856</v>
      </c>
      <c r="C14" s="632" t="s">
        <v>1868</v>
      </c>
      <c r="D14" s="632">
        <v>0.5</v>
      </c>
      <c r="E14" s="662"/>
      <c r="F14" s="634"/>
      <c r="G14" s="687"/>
    </row>
    <row r="15" spans="1:7" x14ac:dyDescent="0.35">
      <c r="A15" s="629" t="s">
        <v>1978</v>
      </c>
      <c r="B15" s="630"/>
      <c r="C15" s="630"/>
      <c r="D15" s="630"/>
      <c r="E15" s="630"/>
      <c r="F15" s="630"/>
      <c r="G15" s="631"/>
    </row>
    <row r="16" spans="1:7" x14ac:dyDescent="0.35">
      <c r="A16" s="632">
        <v>1</v>
      </c>
      <c r="B16" s="644" t="s">
        <v>1911</v>
      </c>
      <c r="C16" s="632" t="s">
        <v>480</v>
      </c>
      <c r="D16" s="632">
        <v>1550</v>
      </c>
      <c r="E16" s="662"/>
      <c r="F16" s="634"/>
      <c r="G16" s="687"/>
    </row>
    <row r="17" spans="1:7" x14ac:dyDescent="0.35">
      <c r="A17" s="632">
        <v>2</v>
      </c>
      <c r="B17" s="644" t="s">
        <v>1844</v>
      </c>
      <c r="C17" s="632" t="s">
        <v>1845</v>
      </c>
      <c r="D17" s="632">
        <v>9</v>
      </c>
      <c r="E17" s="662"/>
      <c r="F17" s="634"/>
      <c r="G17" s="687"/>
    </row>
    <row r="18" spans="1:7" x14ac:dyDescent="0.35">
      <c r="A18" s="632">
        <v>3</v>
      </c>
      <c r="B18" s="644" t="s">
        <v>1979</v>
      </c>
      <c r="C18" s="632" t="s">
        <v>480</v>
      </c>
      <c r="D18" s="632">
        <v>2</v>
      </c>
      <c r="E18" s="662"/>
      <c r="F18" s="634"/>
      <c r="G18" s="687"/>
    </row>
    <row r="19" spans="1:7" ht="16.5" x14ac:dyDescent="0.35">
      <c r="A19" s="632">
        <v>4</v>
      </c>
      <c r="B19" s="644" t="s">
        <v>1856</v>
      </c>
      <c r="C19" s="632" t="s">
        <v>1868</v>
      </c>
      <c r="D19" s="632">
        <v>1</v>
      </c>
      <c r="E19" s="662"/>
      <c r="F19" s="634"/>
      <c r="G19" s="687"/>
    </row>
    <row r="20" spans="1:7" x14ac:dyDescent="0.35">
      <c r="A20" s="629" t="s">
        <v>1980</v>
      </c>
      <c r="B20" s="630"/>
      <c r="C20" s="630"/>
      <c r="D20" s="630"/>
      <c r="E20" s="630"/>
      <c r="F20" s="630"/>
      <c r="G20" s="631"/>
    </row>
    <row r="21" spans="1:7" x14ac:dyDescent="0.35">
      <c r="A21" s="632">
        <v>1</v>
      </c>
      <c r="B21" s="644" t="s">
        <v>1844</v>
      </c>
      <c r="C21" s="632" t="s">
        <v>1845</v>
      </c>
      <c r="D21" s="632">
        <v>2</v>
      </c>
      <c r="E21" s="662"/>
      <c r="F21" s="634"/>
      <c r="G21" s="687"/>
    </row>
    <row r="22" spans="1:7" x14ac:dyDescent="0.35">
      <c r="A22" s="632">
        <v>2</v>
      </c>
      <c r="B22" s="644" t="s">
        <v>1846</v>
      </c>
      <c r="C22" s="632" t="s">
        <v>1847</v>
      </c>
      <c r="D22" s="632">
        <v>1</v>
      </c>
      <c r="E22" s="662"/>
      <c r="F22" s="634"/>
      <c r="G22" s="687"/>
    </row>
    <row r="23" spans="1:7" x14ac:dyDescent="0.35">
      <c r="A23" s="632">
        <v>3</v>
      </c>
      <c r="B23" s="644" t="s">
        <v>1942</v>
      </c>
      <c r="C23" s="632" t="s">
        <v>480</v>
      </c>
      <c r="D23" s="632">
        <v>2</v>
      </c>
      <c r="E23" s="662"/>
      <c r="F23" s="634"/>
      <c r="G23" s="687"/>
    </row>
    <row r="24" spans="1:7" x14ac:dyDescent="0.35">
      <c r="A24" s="632">
        <v>4</v>
      </c>
      <c r="B24" s="644" t="s">
        <v>1848</v>
      </c>
      <c r="C24" s="632" t="s">
        <v>480</v>
      </c>
      <c r="D24" s="632">
        <v>3</v>
      </c>
      <c r="E24" s="662"/>
      <c r="F24" s="634"/>
      <c r="G24" s="687"/>
    </row>
    <row r="25" spans="1:7" x14ac:dyDescent="0.35">
      <c r="A25" s="632">
        <v>5</v>
      </c>
      <c r="B25" s="644" t="s">
        <v>1849</v>
      </c>
      <c r="C25" s="632" t="s">
        <v>1847</v>
      </c>
      <c r="D25" s="632">
        <v>1</v>
      </c>
      <c r="E25" s="662"/>
      <c r="F25" s="634"/>
      <c r="G25" s="687"/>
    </row>
    <row r="26" spans="1:7" ht="16.5" x14ac:dyDescent="0.35">
      <c r="A26" s="632">
        <v>6</v>
      </c>
      <c r="B26" s="644" t="s">
        <v>1850</v>
      </c>
      <c r="C26" s="632" t="s">
        <v>1868</v>
      </c>
      <c r="D26" s="632">
        <v>0.5</v>
      </c>
      <c r="E26" s="662"/>
      <c r="F26" s="634"/>
      <c r="G26" s="687"/>
    </row>
    <row r="27" spans="1:7" x14ac:dyDescent="0.35">
      <c r="A27" s="632">
        <v>7</v>
      </c>
      <c r="B27" s="644" t="s">
        <v>1890</v>
      </c>
      <c r="C27" s="632" t="s">
        <v>480</v>
      </c>
      <c r="D27" s="632">
        <v>4</v>
      </c>
      <c r="E27" s="662"/>
      <c r="F27" s="634"/>
      <c r="G27" s="687"/>
    </row>
    <row r="28" spans="1:7" ht="16.5" x14ac:dyDescent="0.35">
      <c r="A28" s="632">
        <v>8</v>
      </c>
      <c r="B28" s="644" t="s">
        <v>1856</v>
      </c>
      <c r="C28" s="632" t="s">
        <v>1868</v>
      </c>
      <c r="D28" s="632">
        <v>0.3</v>
      </c>
      <c r="E28" s="662"/>
      <c r="F28" s="634"/>
      <c r="G28" s="687"/>
    </row>
    <row r="29" spans="1:7" x14ac:dyDescent="0.35">
      <c r="A29" s="629" t="s">
        <v>1981</v>
      </c>
      <c r="B29" s="630"/>
      <c r="C29" s="630"/>
      <c r="D29" s="630"/>
      <c r="E29" s="630"/>
      <c r="F29" s="630"/>
      <c r="G29" s="631"/>
    </row>
    <row r="30" spans="1:7" ht="16.5" x14ac:dyDescent="0.35">
      <c r="A30" s="632">
        <v>1</v>
      </c>
      <c r="B30" s="644" t="s">
        <v>1888</v>
      </c>
      <c r="C30" s="632" t="s">
        <v>480</v>
      </c>
      <c r="D30" s="632">
        <v>8</v>
      </c>
      <c r="E30" s="662"/>
      <c r="F30" s="634"/>
      <c r="G30" s="687" t="s">
        <v>1945</v>
      </c>
    </row>
    <row r="31" spans="1:7" x14ac:dyDescent="0.35">
      <c r="A31" s="632">
        <v>2</v>
      </c>
      <c r="B31" s="644" t="s">
        <v>1846</v>
      </c>
      <c r="C31" s="632" t="s">
        <v>1847</v>
      </c>
      <c r="D31" s="632">
        <v>2</v>
      </c>
      <c r="E31" s="662"/>
      <c r="F31" s="634"/>
      <c r="G31" s="687"/>
    </row>
    <row r="32" spans="1:7" x14ac:dyDescent="0.35">
      <c r="A32" s="632">
        <v>3</v>
      </c>
      <c r="B32" s="644" t="s">
        <v>1982</v>
      </c>
      <c r="C32" s="632" t="s">
        <v>1847</v>
      </c>
      <c r="D32" s="632">
        <v>1</v>
      </c>
      <c r="E32" s="662"/>
      <c r="F32" s="634"/>
      <c r="G32" s="687"/>
    </row>
    <row r="33" spans="1:7" x14ac:dyDescent="0.35">
      <c r="A33" s="632">
        <v>4</v>
      </c>
      <c r="B33" s="644" t="s">
        <v>1906</v>
      </c>
      <c r="C33" s="632" t="s">
        <v>480</v>
      </c>
      <c r="D33" s="632">
        <v>4</v>
      </c>
      <c r="E33" s="662"/>
      <c r="F33" s="634"/>
      <c r="G33" s="687"/>
    </row>
    <row r="34" spans="1:7" x14ac:dyDescent="0.35">
      <c r="A34" s="632">
        <v>5</v>
      </c>
      <c r="B34" s="727" t="s">
        <v>1983</v>
      </c>
      <c r="C34" s="728" t="s">
        <v>480</v>
      </c>
      <c r="D34" s="728">
        <v>5</v>
      </c>
      <c r="E34" s="729"/>
      <c r="F34" s="730"/>
      <c r="G34" s="731"/>
    </row>
    <row r="35" spans="1:7" x14ac:dyDescent="0.35">
      <c r="A35" s="630" t="s">
        <v>1984</v>
      </c>
      <c r="B35" s="630"/>
      <c r="C35" s="630"/>
      <c r="D35" s="630"/>
      <c r="E35" s="630"/>
      <c r="F35" s="631"/>
      <c r="G35" s="630"/>
    </row>
    <row r="36" spans="1:7" x14ac:dyDescent="0.35">
      <c r="A36" s="632">
        <v>1</v>
      </c>
      <c r="B36" s="644" t="s">
        <v>1985</v>
      </c>
      <c r="C36" s="632" t="s">
        <v>480</v>
      </c>
      <c r="D36" s="632">
        <v>2</v>
      </c>
      <c r="E36" s="662"/>
      <c r="F36" s="634"/>
      <c r="G36" s="687"/>
    </row>
    <row r="37" spans="1:7" x14ac:dyDescent="0.35">
      <c r="A37" s="632">
        <v>2</v>
      </c>
      <c r="B37" s="644" t="s">
        <v>1986</v>
      </c>
      <c r="C37" s="632" t="s">
        <v>1987</v>
      </c>
      <c r="D37" s="632">
        <v>4</v>
      </c>
      <c r="E37" s="662"/>
      <c r="F37" s="634"/>
      <c r="G37" s="687"/>
    </row>
    <row r="38" spans="1:7" x14ac:dyDescent="0.35">
      <c r="A38" s="632">
        <v>3</v>
      </c>
      <c r="B38" s="644" t="s">
        <v>1988</v>
      </c>
      <c r="C38" s="632" t="s">
        <v>480</v>
      </c>
      <c r="D38" s="632">
        <v>2</v>
      </c>
      <c r="E38" s="662"/>
      <c r="F38" s="634"/>
      <c r="G38" s="687"/>
    </row>
    <row r="39" spans="1:7" x14ac:dyDescent="0.35">
      <c r="A39" s="632">
        <v>4</v>
      </c>
      <c r="B39" s="644" t="s">
        <v>1989</v>
      </c>
      <c r="C39" s="632" t="s">
        <v>480</v>
      </c>
      <c r="D39" s="632">
        <v>2</v>
      </c>
      <c r="E39" s="662"/>
      <c r="F39" s="634"/>
      <c r="G39" s="687"/>
    </row>
    <row r="40" spans="1:7" x14ac:dyDescent="0.35">
      <c r="A40" s="632">
        <v>5</v>
      </c>
      <c r="B40" s="644" t="s">
        <v>1990</v>
      </c>
      <c r="C40" s="632" t="s">
        <v>480</v>
      </c>
      <c r="D40" s="632">
        <v>2</v>
      </c>
      <c r="E40" s="662"/>
      <c r="F40" s="634"/>
      <c r="G40" s="687"/>
    </row>
    <row r="41" spans="1:7" x14ac:dyDescent="0.35">
      <c r="A41" s="629" t="s">
        <v>1991</v>
      </c>
      <c r="B41" s="630"/>
      <c r="C41" s="630"/>
      <c r="D41" s="630"/>
      <c r="E41" s="630"/>
      <c r="F41" s="630"/>
      <c r="G41" s="631"/>
    </row>
    <row r="42" spans="1:7" x14ac:dyDescent="0.35">
      <c r="A42" s="632">
        <v>1</v>
      </c>
      <c r="B42" s="644" t="s">
        <v>1844</v>
      </c>
      <c r="C42" s="632" t="s">
        <v>1845</v>
      </c>
      <c r="D42" s="632">
        <v>8</v>
      </c>
      <c r="E42" s="662"/>
      <c r="F42" s="634"/>
      <c r="G42" s="687"/>
    </row>
    <row r="43" spans="1:7" ht="16.5" x14ac:dyDescent="0.35">
      <c r="A43" s="632">
        <v>2</v>
      </c>
      <c r="B43" s="644" t="s">
        <v>1856</v>
      </c>
      <c r="C43" s="632" t="s">
        <v>1868</v>
      </c>
      <c r="D43" s="632">
        <v>1.5</v>
      </c>
      <c r="E43" s="662"/>
      <c r="F43" s="634"/>
      <c r="G43" s="687"/>
    </row>
    <row r="44" spans="1:7" x14ac:dyDescent="0.35">
      <c r="A44" s="629" t="s">
        <v>1992</v>
      </c>
      <c r="B44" s="630"/>
      <c r="C44" s="630"/>
      <c r="D44" s="630"/>
      <c r="E44" s="630"/>
      <c r="F44" s="630"/>
      <c r="G44" s="631"/>
    </row>
    <row r="45" spans="1:7" ht="12.65" customHeight="1" x14ac:dyDescent="0.35">
      <c r="A45" s="632">
        <v>1</v>
      </c>
      <c r="B45" s="644" t="s">
        <v>1841</v>
      </c>
      <c r="C45" s="632" t="s">
        <v>1842</v>
      </c>
      <c r="D45" s="632">
        <v>3</v>
      </c>
      <c r="E45" s="662"/>
      <c r="F45" s="634"/>
      <c r="G45" s="687" t="s">
        <v>1993</v>
      </c>
    </row>
    <row r="46" spans="1:7" ht="12.9" customHeight="1" x14ac:dyDescent="0.35">
      <c r="A46" s="632">
        <v>2</v>
      </c>
      <c r="B46" s="644" t="s">
        <v>1841</v>
      </c>
      <c r="C46" s="632" t="s">
        <v>1842</v>
      </c>
      <c r="D46" s="632">
        <v>15</v>
      </c>
      <c r="E46" s="662"/>
      <c r="F46" s="634"/>
      <c r="G46" s="687" t="s">
        <v>1994</v>
      </c>
    </row>
    <row r="47" spans="1:7" x14ac:dyDescent="0.35">
      <c r="A47" s="632">
        <v>3</v>
      </c>
      <c r="B47" s="644" t="s">
        <v>1844</v>
      </c>
      <c r="C47" s="632" t="s">
        <v>1845</v>
      </c>
      <c r="D47" s="632">
        <v>4</v>
      </c>
      <c r="E47" s="662"/>
      <c r="F47" s="634"/>
      <c r="G47" s="687"/>
    </row>
    <row r="48" spans="1:7" x14ac:dyDescent="0.35">
      <c r="A48" s="632">
        <v>4</v>
      </c>
      <c r="B48" s="644" t="s">
        <v>1995</v>
      </c>
      <c r="C48" s="632" t="s">
        <v>498</v>
      </c>
      <c r="D48" s="632">
        <v>1</v>
      </c>
      <c r="E48" s="662"/>
      <c r="F48" s="634"/>
      <c r="G48" s="687"/>
    </row>
    <row r="49" spans="1:7" x14ac:dyDescent="0.35">
      <c r="A49" s="632">
        <v>5</v>
      </c>
      <c r="B49" s="644" t="s">
        <v>1996</v>
      </c>
      <c r="C49" s="632" t="s">
        <v>498</v>
      </c>
      <c r="D49" s="632">
        <v>4</v>
      </c>
      <c r="E49" s="662"/>
      <c r="F49" s="634"/>
      <c r="G49" s="687"/>
    </row>
    <row r="50" spans="1:7" x14ac:dyDescent="0.35">
      <c r="A50" s="632">
        <v>6</v>
      </c>
      <c r="B50" s="644" t="s">
        <v>1946</v>
      </c>
      <c r="C50" s="632" t="s">
        <v>498</v>
      </c>
      <c r="D50" s="632">
        <v>1</v>
      </c>
      <c r="E50" s="662"/>
      <c r="F50" s="634"/>
      <c r="G50" s="687"/>
    </row>
    <row r="51" spans="1:7" x14ac:dyDescent="0.35">
      <c r="A51" s="632">
        <v>7</v>
      </c>
      <c r="B51" s="644" t="s">
        <v>1902</v>
      </c>
      <c r="C51" s="632" t="s">
        <v>1953</v>
      </c>
      <c r="D51" s="632">
        <v>0.5</v>
      </c>
      <c r="E51" s="662"/>
      <c r="F51" s="634"/>
      <c r="G51" s="687"/>
    </row>
    <row r="52" spans="1:7" x14ac:dyDescent="0.35">
      <c r="A52" s="632">
        <v>8</v>
      </c>
      <c r="B52" s="644" t="s">
        <v>1997</v>
      </c>
      <c r="C52" s="632" t="s">
        <v>498</v>
      </c>
      <c r="D52" s="632">
        <v>2</v>
      </c>
      <c r="E52" s="662"/>
      <c r="F52" s="634"/>
      <c r="G52" s="687"/>
    </row>
    <row r="53" spans="1:7" x14ac:dyDescent="0.35">
      <c r="A53" s="629" t="s">
        <v>1998</v>
      </c>
      <c r="B53" s="630"/>
      <c r="C53" s="630"/>
      <c r="D53" s="630"/>
      <c r="E53" s="630"/>
      <c r="F53" s="630"/>
      <c r="G53" s="631"/>
    </row>
    <row r="54" spans="1:7" x14ac:dyDescent="0.35">
      <c r="A54" s="632">
        <v>1</v>
      </c>
      <c r="B54" s="644" t="s">
        <v>1930</v>
      </c>
      <c r="C54" s="632" t="s">
        <v>126</v>
      </c>
      <c r="D54" s="632">
        <v>2</v>
      </c>
      <c r="E54" s="662"/>
      <c r="F54" s="634"/>
      <c r="G54" s="687" t="s">
        <v>1999</v>
      </c>
    </row>
    <row r="55" spans="1:7" x14ac:dyDescent="0.35">
      <c r="A55" s="632">
        <v>2</v>
      </c>
      <c r="B55" s="644" t="s">
        <v>1932</v>
      </c>
      <c r="C55" s="632" t="s">
        <v>126</v>
      </c>
      <c r="D55" s="632">
        <v>2</v>
      </c>
      <c r="E55" s="662"/>
      <c r="F55" s="634"/>
      <c r="G55" s="687" t="s">
        <v>2000</v>
      </c>
    </row>
    <row r="56" spans="1:7" x14ac:dyDescent="0.35">
      <c r="A56" s="663" t="s">
        <v>1859</v>
      </c>
      <c r="B56" s="636"/>
      <c r="C56" s="637"/>
      <c r="D56" s="636"/>
      <c r="E56" s="638"/>
      <c r="F56" s="628">
        <f>SUM(F6:F10,F12:F14,F16:F19,F21:F28,F30:F34,F36:F40,F42:F43,F54:F55,F45:F52)</f>
        <v>0</v>
      </c>
      <c r="G56" s="639"/>
    </row>
    <row r="57" spans="1:7" x14ac:dyDescent="0.35">
      <c r="A57" s="653">
        <v>1</v>
      </c>
      <c r="B57" s="732" t="s">
        <v>2001</v>
      </c>
      <c r="C57" s="733"/>
      <c r="D57" s="733"/>
      <c r="E57" s="734"/>
      <c r="F57" s="634">
        <f>PRODUCT(F56,0.3)</f>
        <v>0</v>
      </c>
    </row>
    <row r="58" spans="1:7" x14ac:dyDescent="0.35">
      <c r="A58" s="636" t="s">
        <v>2002</v>
      </c>
      <c r="B58" s="637"/>
      <c r="C58" s="636"/>
      <c r="D58" s="638"/>
      <c r="E58" s="628"/>
      <c r="F58" s="628">
        <f>SUM(F56:F57)</f>
        <v>0</v>
      </c>
      <c r="G58" s="636"/>
    </row>
    <row r="59" spans="1:7" x14ac:dyDescent="0.35">
      <c r="A59" s="663" t="s">
        <v>2003</v>
      </c>
      <c r="B59" s="636"/>
      <c r="C59" s="637"/>
      <c r="D59" s="636"/>
      <c r="E59" s="638"/>
      <c r="F59" s="628">
        <f>PRODUCT(F58,1/2)</f>
        <v>0</v>
      </c>
      <c r="G59" s="639"/>
    </row>
    <row r="60" spans="1:7" x14ac:dyDescent="0.3">
      <c r="A60" s="671"/>
      <c r="B60" s="671"/>
      <c r="C60" s="671"/>
      <c r="D60" s="671"/>
      <c r="E60" s="671"/>
      <c r="F60" s="671"/>
      <c r="G60" s="671"/>
    </row>
    <row r="61" spans="1:7" x14ac:dyDescent="0.3">
      <c r="A61" s="671"/>
      <c r="B61" s="671" t="s">
        <v>2112</v>
      </c>
      <c r="C61" s="671"/>
      <c r="D61" s="671"/>
      <c r="E61" s="671"/>
      <c r="F61" s="671"/>
      <c r="G61" s="671"/>
    </row>
    <row r="62" spans="1:7" x14ac:dyDescent="0.3">
      <c r="A62" s="671"/>
      <c r="B62" s="671"/>
      <c r="C62" s="671"/>
      <c r="D62" s="671"/>
      <c r="E62" s="671"/>
      <c r="F62" s="671"/>
      <c r="G62" s="671"/>
    </row>
    <row r="63" spans="1:7" x14ac:dyDescent="0.3">
      <c r="A63" s="671"/>
      <c r="B63" s="671" t="s">
        <v>2113</v>
      </c>
      <c r="C63" s="671"/>
      <c r="D63" s="671"/>
      <c r="E63" s="671"/>
      <c r="F63" s="671"/>
      <c r="G63" s="671"/>
    </row>
    <row r="64" spans="1:7" x14ac:dyDescent="0.3">
      <c r="A64" s="671"/>
      <c r="B64" s="671"/>
      <c r="C64" s="671"/>
      <c r="D64" s="671"/>
      <c r="E64" s="671"/>
      <c r="F64" s="671"/>
      <c r="G64" s="671"/>
    </row>
    <row r="65" spans="1:7" x14ac:dyDescent="0.3">
      <c r="A65" s="671"/>
      <c r="B65" s="671" t="s">
        <v>2114</v>
      </c>
      <c r="C65" s="671"/>
      <c r="D65" s="671"/>
      <c r="E65" s="671"/>
      <c r="F65" s="671"/>
      <c r="G65" s="671"/>
    </row>
  </sheetData>
  <printOptions horizontalCentered="1"/>
  <pageMargins left="0.70866141732283472" right="0.70866141732283472" top="0.74803149606299213" bottom="0.74803149606299213" header="0.31496062992125984" footer="0.31496062992125984"/>
  <pageSetup paperSize="9" scale="80" orientation="portrait" r:id="rId1"/>
  <customProperties>
    <customPr name="QAA_DRILLPATH_NODE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0070C0"/>
  </sheetPr>
  <dimension ref="A2:J39"/>
  <sheetViews>
    <sheetView view="pageBreakPreview" topLeftCell="A24" zoomScale="115" zoomScaleNormal="100" zoomScaleSheetLayoutView="115" workbookViewId="0">
      <selection activeCell="A34" sqref="A34:G39"/>
    </sheetView>
  </sheetViews>
  <sheetFormatPr baseColWidth="10" defaultColWidth="9.9140625" defaultRowHeight="14" x14ac:dyDescent="0.3"/>
  <cols>
    <col min="1" max="1" width="4.08203125" style="625" customWidth="1"/>
    <col min="2" max="2" width="31.9140625" style="625" bestFit="1" customWidth="1"/>
    <col min="3" max="3" width="5.4140625" style="625" bestFit="1" customWidth="1"/>
    <col min="4" max="4" width="8.08203125" style="625" bestFit="1" customWidth="1"/>
    <col min="5" max="5" width="9.9140625" style="625"/>
    <col min="6" max="6" width="13" style="625" customWidth="1"/>
    <col min="7" max="7" width="14.1640625" style="625" bestFit="1" customWidth="1"/>
    <col min="8" max="16384" width="9.9140625" style="625"/>
  </cols>
  <sheetData>
    <row r="2" spans="1:7" x14ac:dyDescent="0.3">
      <c r="A2" s="885" t="s">
        <v>2004</v>
      </c>
      <c r="B2" s="885"/>
      <c r="C2" s="885"/>
      <c r="D2" s="885"/>
      <c r="E2" s="885"/>
      <c r="F2" s="885"/>
      <c r="G2" s="886"/>
    </row>
    <row r="3" spans="1:7" x14ac:dyDescent="0.3">
      <c r="A3" s="735"/>
      <c r="B3" s="736"/>
      <c r="C3" s="736"/>
      <c r="D3" s="736"/>
      <c r="E3" s="736"/>
      <c r="F3" s="736"/>
      <c r="G3" s="735"/>
    </row>
    <row r="4" spans="1:7" x14ac:dyDescent="0.3">
      <c r="A4" s="626" t="s">
        <v>738</v>
      </c>
      <c r="B4" s="627" t="s">
        <v>1831</v>
      </c>
      <c r="C4" s="626" t="s">
        <v>75</v>
      </c>
      <c r="D4" s="626" t="s">
        <v>78</v>
      </c>
      <c r="E4" s="626" t="s">
        <v>736</v>
      </c>
      <c r="F4" s="628" t="s">
        <v>737</v>
      </c>
      <c r="G4" s="627" t="s">
        <v>1832</v>
      </c>
    </row>
    <row r="5" spans="1:7" x14ac:dyDescent="0.3">
      <c r="A5" s="632">
        <v>1</v>
      </c>
      <c r="B5" s="644" t="s">
        <v>1866</v>
      </c>
      <c r="C5" s="632" t="s">
        <v>1839</v>
      </c>
      <c r="D5" s="632">
        <v>1</v>
      </c>
      <c r="E5" s="662"/>
      <c r="F5" s="634"/>
      <c r="G5" s="687"/>
    </row>
    <row r="6" spans="1:7" ht="16.5" x14ac:dyDescent="0.3">
      <c r="A6" s="632">
        <v>2</v>
      </c>
      <c r="B6" s="644" t="s">
        <v>2005</v>
      </c>
      <c r="C6" s="632" t="s">
        <v>1868</v>
      </c>
      <c r="D6" s="632">
        <v>20.790000000000003</v>
      </c>
      <c r="E6" s="662"/>
      <c r="F6" s="634"/>
      <c r="G6" s="687"/>
    </row>
    <row r="7" spans="1:7" x14ac:dyDescent="0.3">
      <c r="A7" s="632">
        <v>3</v>
      </c>
      <c r="B7" s="644" t="s">
        <v>2006</v>
      </c>
      <c r="C7" s="632" t="s">
        <v>480</v>
      </c>
      <c r="D7" s="632">
        <v>5</v>
      </c>
      <c r="E7" s="662"/>
      <c r="F7" s="634"/>
      <c r="G7" s="687"/>
    </row>
    <row r="8" spans="1:7" x14ac:dyDescent="0.3">
      <c r="A8" s="632">
        <v>4</v>
      </c>
      <c r="B8" s="664" t="s">
        <v>1911</v>
      </c>
      <c r="C8" s="665" t="s">
        <v>480</v>
      </c>
      <c r="D8" s="737">
        <v>2680</v>
      </c>
      <c r="E8" s="666"/>
      <c r="F8" s="667"/>
      <c r="G8" s="687"/>
    </row>
    <row r="9" spans="1:7" x14ac:dyDescent="0.3">
      <c r="A9" s="632">
        <v>5</v>
      </c>
      <c r="B9" s="664" t="s">
        <v>2007</v>
      </c>
      <c r="C9" s="665" t="s">
        <v>480</v>
      </c>
      <c r="D9" s="737">
        <v>3</v>
      </c>
      <c r="E9" s="666"/>
      <c r="F9" s="667"/>
      <c r="G9" s="687"/>
    </row>
    <row r="10" spans="1:7" ht="16.5" x14ac:dyDescent="0.3">
      <c r="A10" s="632">
        <v>6</v>
      </c>
      <c r="B10" s="644" t="s">
        <v>1888</v>
      </c>
      <c r="C10" s="632" t="s">
        <v>480</v>
      </c>
      <c r="D10" s="632">
        <v>22</v>
      </c>
      <c r="E10" s="662"/>
      <c r="F10" s="634"/>
      <c r="G10" s="687"/>
    </row>
    <row r="11" spans="1:7" x14ac:dyDescent="0.3">
      <c r="A11" s="632">
        <v>7</v>
      </c>
      <c r="B11" s="644" t="s">
        <v>1844</v>
      </c>
      <c r="C11" s="632" t="s">
        <v>1845</v>
      </c>
      <c r="D11" s="632">
        <v>63</v>
      </c>
      <c r="E11" s="662"/>
      <c r="F11" s="634"/>
      <c r="G11" s="687"/>
    </row>
    <row r="12" spans="1:7" x14ac:dyDescent="0.3">
      <c r="A12" s="632">
        <v>8</v>
      </c>
      <c r="B12" s="664" t="s">
        <v>1846</v>
      </c>
      <c r="C12" s="665" t="s">
        <v>1847</v>
      </c>
      <c r="D12" s="665">
        <v>6</v>
      </c>
      <c r="E12" s="666"/>
      <c r="F12" s="667"/>
      <c r="G12" s="687"/>
    </row>
    <row r="13" spans="1:7" x14ac:dyDescent="0.3">
      <c r="A13" s="632">
        <v>9</v>
      </c>
      <c r="B13" s="644" t="s">
        <v>1982</v>
      </c>
      <c r="C13" s="632" t="s">
        <v>1847</v>
      </c>
      <c r="D13" s="632">
        <v>0.75</v>
      </c>
      <c r="E13" s="662"/>
      <c r="F13" s="634"/>
      <c r="G13" s="687"/>
    </row>
    <row r="14" spans="1:7" x14ac:dyDescent="0.3">
      <c r="A14" s="632">
        <v>10</v>
      </c>
      <c r="B14" s="644" t="s">
        <v>1943</v>
      </c>
      <c r="C14" s="632" t="s">
        <v>480</v>
      </c>
      <c r="D14" s="632">
        <v>13</v>
      </c>
      <c r="E14" s="662"/>
      <c r="F14" s="634"/>
      <c r="G14" s="687"/>
    </row>
    <row r="15" spans="1:7" x14ac:dyDescent="0.3">
      <c r="A15" s="632">
        <v>11</v>
      </c>
      <c r="B15" s="644" t="s">
        <v>1848</v>
      </c>
      <c r="C15" s="632" t="s">
        <v>480</v>
      </c>
      <c r="D15" s="632">
        <v>6</v>
      </c>
      <c r="E15" s="662"/>
      <c r="F15" s="634"/>
      <c r="G15" s="687"/>
    </row>
    <row r="16" spans="1:7" x14ac:dyDescent="0.3">
      <c r="A16" s="632">
        <v>12</v>
      </c>
      <c r="B16" s="644" t="s">
        <v>1942</v>
      </c>
      <c r="C16" s="632" t="s">
        <v>480</v>
      </c>
      <c r="D16" s="632">
        <v>3</v>
      </c>
      <c r="E16" s="662"/>
      <c r="F16" s="634"/>
      <c r="G16" s="687"/>
    </row>
    <row r="17" spans="1:10" x14ac:dyDescent="0.3">
      <c r="A17" s="632">
        <v>13</v>
      </c>
      <c r="B17" s="644" t="s">
        <v>1849</v>
      </c>
      <c r="C17" s="632" t="s">
        <v>1847</v>
      </c>
      <c r="D17" s="632">
        <v>2</v>
      </c>
      <c r="E17" s="662"/>
      <c r="F17" s="634"/>
      <c r="G17" s="687"/>
    </row>
    <row r="18" spans="1:10" ht="16.5" x14ac:dyDescent="0.3">
      <c r="A18" s="632">
        <v>14</v>
      </c>
      <c r="B18" s="644" t="s">
        <v>1850</v>
      </c>
      <c r="C18" s="632" t="s">
        <v>1868</v>
      </c>
      <c r="D18" s="632">
        <v>2</v>
      </c>
      <c r="E18" s="662"/>
      <c r="F18" s="634"/>
      <c r="G18" s="687"/>
    </row>
    <row r="19" spans="1:10" x14ac:dyDescent="0.3">
      <c r="A19" s="632">
        <v>15</v>
      </c>
      <c r="B19" s="644" t="s">
        <v>1944</v>
      </c>
      <c r="C19" s="632" t="s">
        <v>480</v>
      </c>
      <c r="D19" s="632">
        <v>3</v>
      </c>
      <c r="E19" s="662"/>
      <c r="F19" s="634"/>
      <c r="G19" s="687" t="s">
        <v>1945</v>
      </c>
    </row>
    <row r="20" spans="1:10" ht="16.5" x14ac:dyDescent="0.3">
      <c r="A20" s="632">
        <v>16</v>
      </c>
      <c r="B20" s="644" t="s">
        <v>1853</v>
      </c>
      <c r="C20" s="632" t="s">
        <v>1868</v>
      </c>
      <c r="D20" s="632">
        <v>10</v>
      </c>
      <c r="E20" s="662"/>
      <c r="F20" s="634"/>
      <c r="G20" s="687"/>
    </row>
    <row r="21" spans="1:10" x14ac:dyDescent="0.3">
      <c r="A21" s="632">
        <v>17</v>
      </c>
      <c r="B21" s="644" t="s">
        <v>1930</v>
      </c>
      <c r="C21" s="632" t="s">
        <v>480</v>
      </c>
      <c r="D21" s="632">
        <v>0.5</v>
      </c>
      <c r="E21" s="662"/>
      <c r="F21" s="634"/>
      <c r="G21" s="644" t="s">
        <v>1931</v>
      </c>
    </row>
    <row r="22" spans="1:10" x14ac:dyDescent="0.3">
      <c r="A22" s="632">
        <v>18</v>
      </c>
      <c r="B22" s="644" t="s">
        <v>1932</v>
      </c>
      <c r="C22" s="632" t="s">
        <v>480</v>
      </c>
      <c r="D22" s="632">
        <v>1.5</v>
      </c>
      <c r="E22" s="662"/>
      <c r="F22" s="634"/>
      <c r="G22" s="644" t="s">
        <v>1933</v>
      </c>
    </row>
    <row r="23" spans="1:10" x14ac:dyDescent="0.3">
      <c r="A23" s="632">
        <v>19</v>
      </c>
      <c r="B23" s="644" t="s">
        <v>1906</v>
      </c>
      <c r="C23" s="632" t="s">
        <v>480</v>
      </c>
      <c r="D23" s="632">
        <v>6</v>
      </c>
      <c r="E23" s="662"/>
      <c r="F23" s="634"/>
      <c r="G23" s="687"/>
    </row>
    <row r="24" spans="1:10" x14ac:dyDescent="0.3">
      <c r="A24" s="632">
        <v>20</v>
      </c>
      <c r="B24" s="644" t="s">
        <v>2008</v>
      </c>
      <c r="C24" s="632" t="s">
        <v>480</v>
      </c>
      <c r="D24" s="632">
        <v>13</v>
      </c>
      <c r="E24" s="662"/>
      <c r="F24" s="634"/>
      <c r="G24" s="687"/>
    </row>
    <row r="25" spans="1:10" x14ac:dyDescent="0.3">
      <c r="A25" s="632">
        <v>21</v>
      </c>
      <c r="B25" s="644" t="s">
        <v>2009</v>
      </c>
      <c r="C25" s="632" t="s">
        <v>480</v>
      </c>
      <c r="D25" s="632">
        <v>1</v>
      </c>
      <c r="E25" s="662"/>
      <c r="F25" s="634"/>
      <c r="G25" s="687" t="s">
        <v>2010</v>
      </c>
    </row>
    <row r="26" spans="1:10" ht="16.5" x14ac:dyDescent="0.3">
      <c r="A26" s="632">
        <v>22</v>
      </c>
      <c r="B26" s="644" t="s">
        <v>1856</v>
      </c>
      <c r="C26" s="632" t="s">
        <v>1868</v>
      </c>
      <c r="D26" s="632">
        <v>9</v>
      </c>
      <c r="E26" s="662"/>
      <c r="F26" s="634"/>
      <c r="G26" s="687"/>
    </row>
    <row r="27" spans="1:10" x14ac:dyDescent="0.3">
      <c r="A27" s="632">
        <v>23</v>
      </c>
      <c r="B27" s="664" t="s">
        <v>1983</v>
      </c>
      <c r="C27" s="665" t="s">
        <v>480</v>
      </c>
      <c r="D27" s="665">
        <v>9</v>
      </c>
      <c r="E27" s="666"/>
      <c r="F27" s="667"/>
      <c r="G27" s="687"/>
    </row>
    <row r="28" spans="1:10" x14ac:dyDescent="0.3">
      <c r="A28" s="632">
        <v>24</v>
      </c>
      <c r="B28" s="644" t="s">
        <v>1909</v>
      </c>
      <c r="C28" s="632" t="s">
        <v>480</v>
      </c>
      <c r="D28" s="632">
        <v>4</v>
      </c>
      <c r="E28" s="662"/>
      <c r="F28" s="634"/>
      <c r="G28" s="687"/>
    </row>
    <row r="29" spans="1:10" x14ac:dyDescent="0.3">
      <c r="A29" s="632">
        <v>25</v>
      </c>
      <c r="B29" s="644" t="s">
        <v>2011</v>
      </c>
      <c r="C29" s="632" t="s">
        <v>480</v>
      </c>
      <c r="D29" s="632">
        <v>3</v>
      </c>
      <c r="E29" s="662"/>
      <c r="F29" s="634"/>
      <c r="G29" s="687"/>
    </row>
    <row r="30" spans="1:10" x14ac:dyDescent="0.3">
      <c r="A30" s="629" t="s">
        <v>1859</v>
      </c>
      <c r="B30" s="630"/>
      <c r="C30" s="636"/>
      <c r="D30" s="691"/>
      <c r="E30" s="638"/>
      <c r="F30" s="628">
        <f>SUM(F5:F29)</f>
        <v>0</v>
      </c>
      <c r="G30" s="627"/>
      <c r="J30" s="738"/>
    </row>
    <row r="31" spans="1:10" x14ac:dyDescent="0.3">
      <c r="A31" s="665">
        <v>31</v>
      </c>
      <c r="B31" s="647" t="s">
        <v>1940</v>
      </c>
      <c r="C31" s="648"/>
      <c r="D31" s="648"/>
      <c r="E31" s="649"/>
      <c r="F31" s="634">
        <f>PRODUCT(F30,0.3)</f>
        <v>0</v>
      </c>
      <c r="G31" s="687"/>
    </row>
    <row r="32" spans="1:10" x14ac:dyDescent="0.3">
      <c r="A32" s="629" t="s">
        <v>2012</v>
      </c>
      <c r="B32" s="630"/>
      <c r="C32" s="636"/>
      <c r="D32" s="691"/>
      <c r="E32" s="638"/>
      <c r="F32" s="628">
        <f>SUM(F30:F31)</f>
        <v>0</v>
      </c>
      <c r="G32" s="627"/>
    </row>
    <row r="33" spans="1:7" x14ac:dyDescent="0.3">
      <c r="A33" s="629" t="s">
        <v>2013</v>
      </c>
      <c r="B33" s="630"/>
      <c r="C33" s="636"/>
      <c r="D33" s="691"/>
      <c r="E33" s="638"/>
      <c r="F33" s="628">
        <f>PRODUCT(F32,1/3)</f>
        <v>0</v>
      </c>
      <c r="G33" s="627"/>
    </row>
    <row r="34" spans="1:7" x14ac:dyDescent="0.3">
      <c r="A34" s="671"/>
      <c r="B34" s="671"/>
      <c r="C34" s="671"/>
      <c r="D34" s="671"/>
      <c r="E34" s="671"/>
      <c r="F34" s="671"/>
      <c r="G34" s="671"/>
    </row>
    <row r="35" spans="1:7" x14ac:dyDescent="0.3">
      <c r="A35" s="671"/>
      <c r="B35" s="671" t="s">
        <v>2112</v>
      </c>
      <c r="C35" s="671"/>
      <c r="D35" s="671"/>
      <c r="E35" s="671"/>
      <c r="F35" s="671"/>
      <c r="G35" s="671"/>
    </row>
    <row r="36" spans="1:7" x14ac:dyDescent="0.3">
      <c r="A36" s="671"/>
      <c r="B36" s="671"/>
      <c r="C36" s="671"/>
      <c r="D36" s="671"/>
      <c r="E36" s="671"/>
      <c r="F36" s="671"/>
      <c r="G36" s="671"/>
    </row>
    <row r="37" spans="1:7" x14ac:dyDescent="0.3">
      <c r="A37" s="671"/>
      <c r="B37" s="671" t="s">
        <v>2113</v>
      </c>
      <c r="C37" s="671"/>
      <c r="D37" s="671"/>
      <c r="E37" s="671"/>
      <c r="F37" s="671"/>
      <c r="G37" s="671"/>
    </row>
    <row r="38" spans="1:7" x14ac:dyDescent="0.3">
      <c r="A38" s="671"/>
      <c r="B38" s="671"/>
      <c r="C38" s="671"/>
      <c r="D38" s="671"/>
      <c r="E38" s="671"/>
      <c r="F38" s="671"/>
      <c r="G38" s="671"/>
    </row>
    <row r="39" spans="1:7" x14ac:dyDescent="0.3">
      <c r="A39" s="671"/>
      <c r="B39" s="671" t="s">
        <v>2114</v>
      </c>
      <c r="C39" s="671"/>
      <c r="D39" s="671"/>
      <c r="E39" s="671"/>
      <c r="F39" s="671"/>
      <c r="G39" s="671"/>
    </row>
  </sheetData>
  <mergeCells count="1">
    <mergeCell ref="A2:G2"/>
  </mergeCells>
  <printOptions horizontalCentered="1"/>
  <pageMargins left="0.70866141732283472" right="0.70866141732283472" top="0.74803149606299213" bottom="0.74803149606299213" header="0.31496062992125984" footer="0.31496062992125984"/>
  <pageSetup paperSize="9" scale="92" orientation="portrait" r:id="rId1"/>
  <customProperties>
    <customPr name="QAA_DRILLPATH_NODE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2" tint="-0.249977111117893"/>
  </sheetPr>
  <dimension ref="A2:J44"/>
  <sheetViews>
    <sheetView view="pageBreakPreview" topLeftCell="A22" zoomScaleNormal="100" zoomScaleSheetLayoutView="100" workbookViewId="0">
      <selection activeCell="A39" sqref="A39:G44"/>
    </sheetView>
  </sheetViews>
  <sheetFormatPr baseColWidth="10" defaultColWidth="9.9140625" defaultRowHeight="14" x14ac:dyDescent="0.3"/>
  <cols>
    <col min="1" max="1" width="4.08203125" style="625" customWidth="1"/>
    <col min="2" max="2" width="31.9140625" style="625" bestFit="1" customWidth="1"/>
    <col min="3" max="3" width="6.58203125" style="625" bestFit="1" customWidth="1"/>
    <col min="4" max="4" width="7.9140625" style="625" bestFit="1" customWidth="1"/>
    <col min="5" max="5" width="7.5" style="625" bestFit="1" customWidth="1"/>
    <col min="6" max="6" width="10.08203125" style="625" bestFit="1" customWidth="1"/>
    <col min="7" max="7" width="31.9140625" style="625" bestFit="1" customWidth="1"/>
    <col min="8" max="16384" width="9.9140625" style="625"/>
  </cols>
  <sheetData>
    <row r="2" spans="1:7" x14ac:dyDescent="0.3">
      <c r="A2" s="719" t="s">
        <v>2014</v>
      </c>
      <c r="B2" s="719"/>
      <c r="C2" s="719"/>
      <c r="D2" s="719"/>
      <c r="E2" s="719"/>
      <c r="F2" s="719"/>
      <c r="G2" s="739"/>
    </row>
    <row r="3" spans="1:7" x14ac:dyDescent="0.3">
      <c r="A3" s="735"/>
      <c r="B3" s="736"/>
      <c r="C3" s="736"/>
      <c r="D3" s="736"/>
      <c r="E3" s="736"/>
      <c r="F3" s="736"/>
      <c r="G3" s="735"/>
    </row>
    <row r="4" spans="1:7" x14ac:dyDescent="0.3">
      <c r="A4" s="626" t="s">
        <v>738</v>
      </c>
      <c r="B4" s="627" t="s">
        <v>1831</v>
      </c>
      <c r="C4" s="626" t="s">
        <v>75</v>
      </c>
      <c r="D4" s="626" t="s">
        <v>78</v>
      </c>
      <c r="E4" s="626" t="s">
        <v>736</v>
      </c>
      <c r="F4" s="628" t="s">
        <v>737</v>
      </c>
      <c r="G4" s="627" t="s">
        <v>1832</v>
      </c>
    </row>
    <row r="5" spans="1:7" x14ac:dyDescent="0.3">
      <c r="A5" s="632">
        <v>1</v>
      </c>
      <c r="B5" s="644" t="s">
        <v>1866</v>
      </c>
      <c r="C5" s="632" t="s">
        <v>428</v>
      </c>
      <c r="D5" s="632">
        <v>1</v>
      </c>
      <c r="E5" s="662"/>
      <c r="F5" s="634"/>
      <c r="G5" s="687"/>
    </row>
    <row r="6" spans="1:7" ht="16.5" x14ac:dyDescent="0.3">
      <c r="A6" s="632">
        <v>2</v>
      </c>
      <c r="B6" s="644" t="s">
        <v>2005</v>
      </c>
      <c r="C6" s="632" t="s">
        <v>1868</v>
      </c>
      <c r="D6" s="632">
        <v>23.1</v>
      </c>
      <c r="E6" s="662"/>
      <c r="F6" s="634"/>
      <c r="G6" s="687"/>
    </row>
    <row r="7" spans="1:7" x14ac:dyDescent="0.3">
      <c r="A7" s="632">
        <v>3</v>
      </c>
      <c r="B7" s="644" t="s">
        <v>2006</v>
      </c>
      <c r="C7" s="632" t="s">
        <v>480</v>
      </c>
      <c r="D7" s="632">
        <v>5</v>
      </c>
      <c r="E7" s="662"/>
      <c r="F7" s="634"/>
      <c r="G7" s="687"/>
    </row>
    <row r="8" spans="1:7" x14ac:dyDescent="0.3">
      <c r="A8" s="632">
        <v>4</v>
      </c>
      <c r="B8" s="664" t="s">
        <v>1911</v>
      </c>
      <c r="C8" s="665" t="s">
        <v>480</v>
      </c>
      <c r="D8" s="737">
        <v>2982</v>
      </c>
      <c r="E8" s="666"/>
      <c r="F8" s="667"/>
      <c r="G8" s="687"/>
    </row>
    <row r="9" spans="1:7" x14ac:dyDescent="0.3">
      <c r="A9" s="632">
        <v>5</v>
      </c>
      <c r="B9" s="644" t="s">
        <v>2007</v>
      </c>
      <c r="C9" s="665" t="s">
        <v>480</v>
      </c>
      <c r="D9" s="632">
        <v>3</v>
      </c>
      <c r="E9" s="662"/>
      <c r="F9" s="667"/>
      <c r="G9" s="687"/>
    </row>
    <row r="10" spans="1:7" ht="16.5" x14ac:dyDescent="0.3">
      <c r="A10" s="632">
        <v>6</v>
      </c>
      <c r="B10" s="644" t="s">
        <v>1841</v>
      </c>
      <c r="C10" s="632" t="s">
        <v>1842</v>
      </c>
      <c r="D10" s="632">
        <v>0.55000000000000004</v>
      </c>
      <c r="E10" s="662"/>
      <c r="F10" s="634"/>
      <c r="G10" s="687" t="s">
        <v>2015</v>
      </c>
    </row>
    <row r="11" spans="1:7" ht="16.5" x14ac:dyDescent="0.3">
      <c r="A11" s="632">
        <v>7</v>
      </c>
      <c r="B11" s="644" t="s">
        <v>1888</v>
      </c>
      <c r="C11" s="632" t="s">
        <v>480</v>
      </c>
      <c r="D11" s="632">
        <v>22</v>
      </c>
      <c r="E11" s="662"/>
      <c r="F11" s="634"/>
      <c r="G11" s="687"/>
    </row>
    <row r="12" spans="1:7" x14ac:dyDescent="0.3">
      <c r="A12" s="632">
        <v>8</v>
      </c>
      <c r="B12" s="644" t="s">
        <v>1844</v>
      </c>
      <c r="C12" s="632" t="s">
        <v>1845</v>
      </c>
      <c r="D12" s="632">
        <v>63</v>
      </c>
      <c r="E12" s="662"/>
      <c r="F12" s="634"/>
      <c r="G12" s="687"/>
    </row>
    <row r="13" spans="1:7" x14ac:dyDescent="0.3">
      <c r="A13" s="632">
        <v>9</v>
      </c>
      <c r="B13" s="664" t="s">
        <v>1846</v>
      </c>
      <c r="C13" s="665" t="s">
        <v>1847</v>
      </c>
      <c r="D13" s="665">
        <v>6</v>
      </c>
      <c r="E13" s="666"/>
      <c r="F13" s="667"/>
      <c r="G13" s="687"/>
    </row>
    <row r="14" spans="1:7" x14ac:dyDescent="0.3">
      <c r="A14" s="632">
        <v>10</v>
      </c>
      <c r="B14" s="644" t="s">
        <v>1982</v>
      </c>
      <c r="C14" s="632" t="s">
        <v>1847</v>
      </c>
      <c r="D14" s="632">
        <v>1</v>
      </c>
      <c r="E14" s="662"/>
      <c r="F14" s="634"/>
      <c r="G14" s="687"/>
    </row>
    <row r="15" spans="1:7" x14ac:dyDescent="0.3">
      <c r="A15" s="632">
        <v>11</v>
      </c>
      <c r="B15" s="644" t="s">
        <v>2016</v>
      </c>
      <c r="C15" s="632" t="s">
        <v>480</v>
      </c>
      <c r="D15" s="632">
        <v>1</v>
      </c>
      <c r="E15" s="662"/>
      <c r="F15" s="634"/>
      <c r="G15" s="687"/>
    </row>
    <row r="16" spans="1:7" x14ac:dyDescent="0.3">
      <c r="A16" s="632">
        <v>12</v>
      </c>
      <c r="B16" s="644" t="s">
        <v>2017</v>
      </c>
      <c r="C16" s="632" t="s">
        <v>480</v>
      </c>
      <c r="D16" s="632">
        <v>3</v>
      </c>
      <c r="E16" s="662"/>
      <c r="F16" s="634"/>
      <c r="G16" s="687"/>
    </row>
    <row r="17" spans="1:7" x14ac:dyDescent="0.3">
      <c r="A17" s="632">
        <v>13</v>
      </c>
      <c r="B17" s="644" t="s">
        <v>1943</v>
      </c>
      <c r="C17" s="632" t="s">
        <v>480</v>
      </c>
      <c r="D17" s="632">
        <v>13</v>
      </c>
      <c r="E17" s="662"/>
      <c r="F17" s="634"/>
      <c r="G17" s="687"/>
    </row>
    <row r="18" spans="1:7" x14ac:dyDescent="0.3">
      <c r="A18" s="632">
        <v>14</v>
      </c>
      <c r="B18" s="644" t="s">
        <v>1848</v>
      </c>
      <c r="C18" s="632" t="s">
        <v>480</v>
      </c>
      <c r="D18" s="632">
        <v>6</v>
      </c>
      <c r="E18" s="662"/>
      <c r="F18" s="634"/>
      <c r="G18" s="687"/>
    </row>
    <row r="19" spans="1:7" x14ac:dyDescent="0.3">
      <c r="A19" s="632">
        <v>15</v>
      </c>
      <c r="B19" s="644" t="s">
        <v>1942</v>
      </c>
      <c r="C19" s="632" t="s">
        <v>480</v>
      </c>
      <c r="D19" s="632">
        <v>6</v>
      </c>
      <c r="E19" s="662"/>
      <c r="F19" s="634"/>
      <c r="G19" s="687"/>
    </row>
    <row r="20" spans="1:7" x14ac:dyDescent="0.3">
      <c r="A20" s="632">
        <v>16</v>
      </c>
      <c r="B20" s="644" t="s">
        <v>1849</v>
      </c>
      <c r="C20" s="632" t="s">
        <v>1847</v>
      </c>
      <c r="D20" s="632">
        <v>2</v>
      </c>
      <c r="E20" s="662"/>
      <c r="F20" s="634"/>
      <c r="G20" s="687"/>
    </row>
    <row r="21" spans="1:7" ht="16.5" x14ac:dyDescent="0.3">
      <c r="A21" s="632">
        <v>17</v>
      </c>
      <c r="B21" s="644" t="s">
        <v>1850</v>
      </c>
      <c r="C21" s="632" t="s">
        <v>1868</v>
      </c>
      <c r="D21" s="632">
        <v>2.5</v>
      </c>
      <c r="E21" s="662"/>
      <c r="F21" s="634"/>
      <c r="G21" s="687"/>
    </row>
    <row r="22" spans="1:7" x14ac:dyDescent="0.3">
      <c r="A22" s="632">
        <v>18</v>
      </c>
      <c r="B22" s="664" t="s">
        <v>1944</v>
      </c>
      <c r="C22" s="665" t="s">
        <v>480</v>
      </c>
      <c r="D22" s="665">
        <v>5</v>
      </c>
      <c r="E22" s="666"/>
      <c r="F22" s="667"/>
      <c r="G22" s="687" t="s">
        <v>1945</v>
      </c>
    </row>
    <row r="23" spans="1:7" x14ac:dyDescent="0.3">
      <c r="A23" s="632">
        <v>19</v>
      </c>
      <c r="B23" s="644" t="s">
        <v>2018</v>
      </c>
      <c r="C23" s="632" t="s">
        <v>480</v>
      </c>
      <c r="D23" s="632">
        <v>1</v>
      </c>
      <c r="E23" s="662"/>
      <c r="F23" s="634"/>
      <c r="G23" s="687"/>
    </row>
    <row r="24" spans="1:7" ht="16.5" x14ac:dyDescent="0.3">
      <c r="A24" s="632">
        <v>20</v>
      </c>
      <c r="B24" s="644" t="s">
        <v>1853</v>
      </c>
      <c r="C24" s="632" t="s">
        <v>1868</v>
      </c>
      <c r="D24" s="632">
        <v>10</v>
      </c>
      <c r="E24" s="662"/>
      <c r="F24" s="634"/>
      <c r="G24" s="687"/>
    </row>
    <row r="25" spans="1:7" x14ac:dyDescent="0.3">
      <c r="A25" s="632">
        <v>21</v>
      </c>
      <c r="B25" s="644" t="s">
        <v>1930</v>
      </c>
      <c r="C25" s="632" t="s">
        <v>480</v>
      </c>
      <c r="D25" s="632">
        <v>1</v>
      </c>
      <c r="E25" s="662"/>
      <c r="F25" s="634"/>
      <c r="G25" s="644" t="s">
        <v>1931</v>
      </c>
    </row>
    <row r="26" spans="1:7" x14ac:dyDescent="0.3">
      <c r="A26" s="632">
        <v>22</v>
      </c>
      <c r="B26" s="644" t="s">
        <v>1932</v>
      </c>
      <c r="C26" s="632" t="s">
        <v>480</v>
      </c>
      <c r="D26" s="632">
        <v>2</v>
      </c>
      <c r="E26" s="662"/>
      <c r="F26" s="634"/>
      <c r="G26" s="644" t="s">
        <v>1933</v>
      </c>
    </row>
    <row r="27" spans="1:7" x14ac:dyDescent="0.3">
      <c r="A27" s="632">
        <v>23</v>
      </c>
      <c r="B27" s="644" t="s">
        <v>2008</v>
      </c>
      <c r="C27" s="632" t="s">
        <v>480</v>
      </c>
      <c r="D27" s="632">
        <v>13</v>
      </c>
      <c r="E27" s="662"/>
      <c r="F27" s="634"/>
      <c r="G27" s="644"/>
    </row>
    <row r="28" spans="1:7" x14ac:dyDescent="0.3">
      <c r="A28" s="632">
        <v>24</v>
      </c>
      <c r="B28" s="644" t="s">
        <v>1906</v>
      </c>
      <c r="C28" s="632" t="s">
        <v>480</v>
      </c>
      <c r="D28" s="632">
        <v>6</v>
      </c>
      <c r="E28" s="662"/>
      <c r="F28" s="634"/>
      <c r="G28" s="687"/>
    </row>
    <row r="29" spans="1:7" x14ac:dyDescent="0.3">
      <c r="A29" s="632">
        <v>25</v>
      </c>
      <c r="B29" s="644" t="s">
        <v>2009</v>
      </c>
      <c r="C29" s="632" t="s">
        <v>480</v>
      </c>
      <c r="D29" s="632">
        <v>3</v>
      </c>
      <c r="E29" s="662"/>
      <c r="F29" s="634"/>
      <c r="G29" s="687" t="s">
        <v>2010</v>
      </c>
    </row>
    <row r="30" spans="1:7" x14ac:dyDescent="0.3">
      <c r="A30" s="632">
        <v>26</v>
      </c>
      <c r="B30" s="644" t="s">
        <v>2019</v>
      </c>
      <c r="C30" s="632" t="s">
        <v>480</v>
      </c>
      <c r="D30" s="632">
        <v>1</v>
      </c>
      <c r="E30" s="662"/>
      <c r="F30" s="634"/>
      <c r="G30" s="687" t="s">
        <v>2020</v>
      </c>
    </row>
    <row r="31" spans="1:7" ht="16.5" x14ac:dyDescent="0.3">
      <c r="A31" s="632">
        <v>27</v>
      </c>
      <c r="B31" s="644" t="s">
        <v>1856</v>
      </c>
      <c r="C31" s="632" t="s">
        <v>1868</v>
      </c>
      <c r="D31" s="632">
        <v>9</v>
      </c>
      <c r="E31" s="662"/>
      <c r="F31" s="634"/>
      <c r="G31" s="687"/>
    </row>
    <row r="32" spans="1:7" x14ac:dyDescent="0.3">
      <c r="A32" s="632">
        <v>28</v>
      </c>
      <c r="B32" s="664" t="s">
        <v>1983</v>
      </c>
      <c r="C32" s="665" t="s">
        <v>480</v>
      </c>
      <c r="D32" s="665">
        <v>10</v>
      </c>
      <c r="E32" s="666"/>
      <c r="F32" s="667"/>
      <c r="G32" s="687"/>
    </row>
    <row r="33" spans="1:10" x14ac:dyDescent="0.3">
      <c r="A33" s="632">
        <v>29</v>
      </c>
      <c r="B33" s="644" t="s">
        <v>1909</v>
      </c>
      <c r="C33" s="632" t="s">
        <v>480</v>
      </c>
      <c r="D33" s="632">
        <v>4</v>
      </c>
      <c r="E33" s="662"/>
      <c r="F33" s="634"/>
      <c r="G33" s="687"/>
    </row>
    <row r="34" spans="1:10" x14ac:dyDescent="0.3">
      <c r="A34" s="632">
        <v>30</v>
      </c>
      <c r="B34" s="644" t="s">
        <v>2011</v>
      </c>
      <c r="C34" s="632" t="s">
        <v>480</v>
      </c>
      <c r="D34" s="632">
        <v>6</v>
      </c>
      <c r="E34" s="662"/>
      <c r="F34" s="634"/>
      <c r="G34" s="687"/>
    </row>
    <row r="35" spans="1:10" x14ac:dyDescent="0.3">
      <c r="A35" s="629" t="s">
        <v>1859</v>
      </c>
      <c r="B35" s="630"/>
      <c r="C35" s="636"/>
      <c r="D35" s="691"/>
      <c r="E35" s="638"/>
      <c r="F35" s="628">
        <f>SUM(F5:F34)</f>
        <v>0</v>
      </c>
      <c r="G35" s="627"/>
      <c r="J35" s="738"/>
    </row>
    <row r="36" spans="1:10" x14ac:dyDescent="0.3">
      <c r="A36" s="665">
        <v>29</v>
      </c>
      <c r="B36" s="647" t="s">
        <v>1940</v>
      </c>
      <c r="C36" s="648"/>
      <c r="D36" s="648"/>
      <c r="E36" s="649"/>
      <c r="F36" s="634">
        <f>PRODUCT(F35,0.3)</f>
        <v>0</v>
      </c>
      <c r="G36" s="687"/>
    </row>
    <row r="37" spans="1:10" x14ac:dyDescent="0.3">
      <c r="A37" s="629" t="s">
        <v>2021</v>
      </c>
      <c r="B37" s="630"/>
      <c r="C37" s="636"/>
      <c r="D37" s="691"/>
      <c r="E37" s="638"/>
      <c r="F37" s="628">
        <f>SUM(F35:F36)</f>
        <v>0</v>
      </c>
      <c r="G37" s="627"/>
    </row>
    <row r="38" spans="1:10" x14ac:dyDescent="0.3">
      <c r="A38" s="629" t="s">
        <v>2022</v>
      </c>
      <c r="B38" s="630"/>
      <c r="C38" s="636"/>
      <c r="D38" s="691"/>
      <c r="E38" s="638"/>
      <c r="F38" s="628">
        <f>PRODUCT(F37,1/3)</f>
        <v>0</v>
      </c>
      <c r="G38" s="627"/>
    </row>
    <row r="39" spans="1:10" x14ac:dyDescent="0.3">
      <c r="A39" s="671"/>
      <c r="B39" s="671"/>
      <c r="C39" s="671"/>
      <c r="D39" s="671"/>
      <c r="E39" s="671"/>
      <c r="F39" s="671"/>
      <c r="G39" s="671"/>
    </row>
    <row r="40" spans="1:10" x14ac:dyDescent="0.3">
      <c r="A40" s="671"/>
      <c r="B40" s="671" t="s">
        <v>2112</v>
      </c>
      <c r="C40" s="671"/>
      <c r="D40" s="671"/>
      <c r="E40" s="671"/>
      <c r="F40" s="671"/>
      <c r="G40" s="671"/>
    </row>
    <row r="41" spans="1:10" x14ac:dyDescent="0.3">
      <c r="A41" s="671"/>
      <c r="B41" s="671"/>
      <c r="C41" s="671"/>
      <c r="D41" s="671"/>
      <c r="E41" s="671"/>
      <c r="F41" s="671"/>
      <c r="G41" s="671"/>
    </row>
    <row r="42" spans="1:10" x14ac:dyDescent="0.3">
      <c r="A42" s="671"/>
      <c r="B42" s="671" t="s">
        <v>2113</v>
      </c>
      <c r="C42" s="671"/>
      <c r="D42" s="671"/>
      <c r="E42" s="671"/>
      <c r="F42" s="671"/>
      <c r="G42" s="671"/>
    </row>
    <row r="43" spans="1:10" x14ac:dyDescent="0.3">
      <c r="A43" s="671"/>
      <c r="B43" s="671"/>
      <c r="C43" s="671"/>
      <c r="D43" s="671"/>
      <c r="E43" s="671"/>
      <c r="F43" s="671"/>
      <c r="G43" s="671"/>
    </row>
    <row r="44" spans="1:10" x14ac:dyDescent="0.3">
      <c r="A44" s="671"/>
      <c r="B44" s="671" t="s">
        <v>2114</v>
      </c>
      <c r="C44" s="671"/>
      <c r="D44" s="671"/>
      <c r="E44" s="671"/>
      <c r="F44" s="671"/>
      <c r="G44" s="671"/>
    </row>
  </sheetData>
  <printOptions horizontalCentered="1"/>
  <pageMargins left="0.70866141732283472" right="0.70866141732283472" top="0.74803149606299213" bottom="0.74803149606299213" header="0.31496062992125984" footer="0.31496062992125984"/>
  <pageSetup paperSize="9" scale="80" orientation="portrait" r:id="rId1"/>
  <customProperties>
    <customPr name="QAA_DRILLPATH_NODE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FFCCFF"/>
  </sheetPr>
  <dimension ref="A2:G64"/>
  <sheetViews>
    <sheetView view="pageBreakPreview" topLeftCell="A42" zoomScale="85" zoomScaleNormal="100" zoomScaleSheetLayoutView="85" workbookViewId="0">
      <selection activeCell="A59" sqref="A59:G64"/>
    </sheetView>
  </sheetViews>
  <sheetFormatPr baseColWidth="10" defaultColWidth="9.9140625" defaultRowHeight="14" x14ac:dyDescent="0.3"/>
  <cols>
    <col min="1" max="1" width="2.9140625" style="625" bestFit="1" customWidth="1"/>
    <col min="2" max="2" width="61.58203125" style="625" bestFit="1" customWidth="1"/>
    <col min="3" max="3" width="7.08203125" style="625" customWidth="1"/>
    <col min="4" max="4" width="9.9140625" style="625"/>
    <col min="5" max="6" width="11.58203125" style="625" customWidth="1"/>
    <col min="7" max="7" width="16.9140625" style="625" customWidth="1"/>
    <col min="8" max="16384" width="9.9140625" style="625"/>
  </cols>
  <sheetData>
    <row r="2" spans="1:7" x14ac:dyDescent="0.3">
      <c r="A2" s="661" t="s">
        <v>2023</v>
      </c>
      <c r="B2" s="622"/>
      <c r="C2" s="622"/>
      <c r="D2" s="622"/>
      <c r="E2" s="661"/>
      <c r="F2" s="661"/>
      <c r="G2" s="623"/>
    </row>
    <row r="3" spans="1:7" x14ac:dyDescent="0.3">
      <c r="B3" s="652"/>
      <c r="C3" s="652"/>
      <c r="D3" s="652"/>
      <c r="E3" s="652"/>
      <c r="F3" s="652"/>
      <c r="G3" s="652"/>
    </row>
    <row r="4" spans="1:7" x14ac:dyDescent="0.3">
      <c r="A4" s="626" t="s">
        <v>738</v>
      </c>
      <c r="B4" s="627" t="s">
        <v>1831</v>
      </c>
      <c r="C4" s="626" t="s">
        <v>75</v>
      </c>
      <c r="D4" s="626" t="s">
        <v>78</v>
      </c>
      <c r="E4" s="628" t="s">
        <v>736</v>
      </c>
      <c r="F4" s="628" t="s">
        <v>737</v>
      </c>
      <c r="G4" s="627" t="s">
        <v>1832</v>
      </c>
    </row>
    <row r="5" spans="1:7" x14ac:dyDescent="0.3">
      <c r="A5" s="629" t="s">
        <v>1838</v>
      </c>
      <c r="B5" s="630"/>
      <c r="C5" s="630"/>
      <c r="D5" s="630"/>
      <c r="E5" s="630"/>
      <c r="F5" s="630"/>
      <c r="G5" s="631"/>
    </row>
    <row r="6" spans="1:7" ht="16.5" x14ac:dyDescent="0.3">
      <c r="A6" s="632">
        <v>1</v>
      </c>
      <c r="B6" s="644" t="s">
        <v>2024</v>
      </c>
      <c r="C6" s="632" t="s">
        <v>1842</v>
      </c>
      <c r="D6" s="740">
        <v>0.108</v>
      </c>
      <c r="E6" s="634"/>
      <c r="F6" s="634"/>
      <c r="G6" s="687"/>
    </row>
    <row r="7" spans="1:7" ht="16.5" x14ac:dyDescent="0.3">
      <c r="A7" s="745">
        <v>2</v>
      </c>
      <c r="B7" s="746" t="s">
        <v>2025</v>
      </c>
      <c r="C7" s="745" t="s">
        <v>1842</v>
      </c>
      <c r="D7" s="747">
        <v>0.9375</v>
      </c>
      <c r="E7" s="748"/>
      <c r="F7" s="634"/>
      <c r="G7" s="687"/>
    </row>
    <row r="8" spans="1:7" x14ac:dyDescent="0.3">
      <c r="A8" s="663" t="s">
        <v>1864</v>
      </c>
      <c r="B8" s="636"/>
      <c r="C8" s="637"/>
      <c r="D8" s="636"/>
      <c r="E8" s="698"/>
      <c r="F8" s="698">
        <f>F6+F7</f>
        <v>0</v>
      </c>
      <c r="G8" s="639"/>
    </row>
    <row r="9" spans="1:7" ht="16" x14ac:dyDescent="0.3">
      <c r="A9" s="749" t="s">
        <v>2026</v>
      </c>
      <c r="B9" s="750"/>
      <c r="C9" s="750"/>
      <c r="D9" s="750"/>
      <c r="E9" s="750"/>
      <c r="F9" s="630"/>
      <c r="G9" s="631"/>
    </row>
    <row r="10" spans="1:7" x14ac:dyDescent="0.3">
      <c r="A10" s="632">
        <v>3</v>
      </c>
      <c r="B10" s="644" t="s">
        <v>1844</v>
      </c>
      <c r="C10" s="632" t="s">
        <v>1845</v>
      </c>
      <c r="D10" s="740">
        <v>3.5</v>
      </c>
      <c r="E10" s="634"/>
      <c r="F10" s="634"/>
      <c r="G10" s="687"/>
    </row>
    <row r="11" spans="1:7" x14ac:dyDescent="0.3">
      <c r="A11" s="632">
        <v>4</v>
      </c>
      <c r="B11" s="644" t="s">
        <v>1846</v>
      </c>
      <c r="C11" s="632" t="s">
        <v>1847</v>
      </c>
      <c r="D11" s="632">
        <v>1</v>
      </c>
      <c r="E11" s="634"/>
      <c r="F11" s="634"/>
      <c r="G11" s="687"/>
    </row>
    <row r="12" spans="1:7" ht="16.5" x14ac:dyDescent="0.3">
      <c r="A12" s="632">
        <v>5</v>
      </c>
      <c r="B12" s="644" t="s">
        <v>2027</v>
      </c>
      <c r="C12" s="632" t="s">
        <v>1868</v>
      </c>
      <c r="D12" s="740">
        <v>1.6199999999999999E-2</v>
      </c>
      <c r="E12" s="634"/>
      <c r="F12" s="634"/>
      <c r="G12" s="687"/>
    </row>
    <row r="13" spans="1:7" ht="16.5" x14ac:dyDescent="0.3">
      <c r="A13" s="632">
        <v>6</v>
      </c>
      <c r="B13" s="644" t="s">
        <v>1850</v>
      </c>
      <c r="C13" s="632" t="s">
        <v>1868</v>
      </c>
      <c r="D13" s="740">
        <v>8.6400000000000005E-2</v>
      </c>
      <c r="E13" s="634"/>
      <c r="F13" s="634"/>
      <c r="G13" s="687"/>
    </row>
    <row r="14" spans="1:7" x14ac:dyDescent="0.3">
      <c r="A14" s="632">
        <v>7</v>
      </c>
      <c r="B14" s="644" t="s">
        <v>1854</v>
      </c>
      <c r="C14" s="632" t="s">
        <v>480</v>
      </c>
      <c r="D14" s="740">
        <v>4.3636363636363633</v>
      </c>
      <c r="E14" s="634"/>
      <c r="F14" s="634"/>
      <c r="G14" s="687"/>
    </row>
    <row r="15" spans="1:7" ht="16.5" x14ac:dyDescent="0.3">
      <c r="A15" s="745">
        <v>8</v>
      </c>
      <c r="B15" s="746" t="s">
        <v>1856</v>
      </c>
      <c r="C15" s="745" t="s">
        <v>1868</v>
      </c>
      <c r="D15" s="747">
        <v>4.3200000000000002E-2</v>
      </c>
      <c r="E15" s="748"/>
      <c r="F15" s="634"/>
      <c r="G15" s="687"/>
    </row>
    <row r="16" spans="1:7" x14ac:dyDescent="0.3">
      <c r="A16" s="663" t="s">
        <v>1864</v>
      </c>
      <c r="B16" s="636"/>
      <c r="C16" s="637"/>
      <c r="D16" s="636"/>
      <c r="E16" s="698"/>
      <c r="F16" s="698">
        <f>SUM(F10:F15)</f>
        <v>0</v>
      </c>
      <c r="G16" s="639"/>
    </row>
    <row r="17" spans="1:7" ht="16" x14ac:dyDescent="0.3">
      <c r="A17" s="749" t="s">
        <v>2028</v>
      </c>
      <c r="B17" s="750"/>
      <c r="C17" s="750"/>
      <c r="D17" s="750"/>
      <c r="E17" s="750"/>
      <c r="F17" s="630"/>
      <c r="G17" s="631"/>
    </row>
    <row r="18" spans="1:7" x14ac:dyDescent="0.3">
      <c r="A18" s="632">
        <v>9</v>
      </c>
      <c r="B18" s="644" t="s">
        <v>1844</v>
      </c>
      <c r="C18" s="632" t="s">
        <v>1845</v>
      </c>
      <c r="D18" s="740">
        <v>5.625</v>
      </c>
      <c r="E18" s="634"/>
      <c r="F18" s="634"/>
      <c r="G18" s="687" t="s">
        <v>2029</v>
      </c>
    </row>
    <row r="19" spans="1:7" x14ac:dyDescent="0.3">
      <c r="A19" s="632">
        <v>10</v>
      </c>
      <c r="B19" s="644" t="s">
        <v>1846</v>
      </c>
      <c r="C19" s="632" t="s">
        <v>1847</v>
      </c>
      <c r="D19" s="632">
        <v>0.5</v>
      </c>
      <c r="E19" s="634"/>
      <c r="F19" s="634"/>
      <c r="G19" s="687"/>
    </row>
    <row r="20" spans="1:7" ht="16.5" x14ac:dyDescent="0.3">
      <c r="A20" s="632">
        <v>11</v>
      </c>
      <c r="B20" s="644" t="s">
        <v>2027</v>
      </c>
      <c r="C20" s="632" t="s">
        <v>1868</v>
      </c>
      <c r="D20" s="740">
        <v>0.140625</v>
      </c>
      <c r="E20" s="634"/>
      <c r="F20" s="634"/>
      <c r="G20" s="687"/>
    </row>
    <row r="21" spans="1:7" ht="16.5" x14ac:dyDescent="0.3">
      <c r="A21" s="632">
        <v>12</v>
      </c>
      <c r="B21" s="644" t="s">
        <v>1850</v>
      </c>
      <c r="C21" s="632" t="s">
        <v>1868</v>
      </c>
      <c r="D21" s="740">
        <v>0.75</v>
      </c>
      <c r="E21" s="634"/>
      <c r="F21" s="634"/>
      <c r="G21" s="687"/>
    </row>
    <row r="22" spans="1:7" x14ac:dyDescent="0.3">
      <c r="A22" s="632">
        <v>13</v>
      </c>
      <c r="B22" s="644" t="s">
        <v>1854</v>
      </c>
      <c r="C22" s="632" t="s">
        <v>480</v>
      </c>
      <c r="D22" s="740">
        <v>2.8484848484848486</v>
      </c>
      <c r="E22" s="634"/>
      <c r="F22" s="634"/>
      <c r="G22" s="687"/>
    </row>
    <row r="23" spans="1:7" ht="16.5" x14ac:dyDescent="0.3">
      <c r="A23" s="745">
        <v>14</v>
      </c>
      <c r="B23" s="746" t="s">
        <v>1856</v>
      </c>
      <c r="C23" s="745" t="s">
        <v>1868</v>
      </c>
      <c r="D23" s="747">
        <v>0.375</v>
      </c>
      <c r="E23" s="748"/>
      <c r="F23" s="634"/>
      <c r="G23" s="687"/>
    </row>
    <row r="24" spans="1:7" x14ac:dyDescent="0.3">
      <c r="A24" s="663" t="s">
        <v>1864</v>
      </c>
      <c r="B24" s="636"/>
      <c r="C24" s="637"/>
      <c r="D24" s="636"/>
      <c r="E24" s="698"/>
      <c r="F24" s="698">
        <f>SUM(F18:F23)</f>
        <v>0</v>
      </c>
      <c r="G24" s="639"/>
    </row>
    <row r="25" spans="1:7" x14ac:dyDescent="0.3">
      <c r="A25" s="749" t="s">
        <v>2030</v>
      </c>
      <c r="B25" s="750"/>
      <c r="C25" s="750"/>
      <c r="D25" s="750"/>
      <c r="E25" s="750"/>
      <c r="F25" s="630"/>
      <c r="G25" s="631"/>
    </row>
    <row r="26" spans="1:7" ht="16.5" x14ac:dyDescent="0.3">
      <c r="A26" s="632">
        <v>15</v>
      </c>
      <c r="B26" s="644" t="s">
        <v>1888</v>
      </c>
      <c r="C26" s="632" t="s">
        <v>480</v>
      </c>
      <c r="D26" s="632">
        <v>6</v>
      </c>
      <c r="E26" s="634"/>
      <c r="F26" s="634"/>
      <c r="G26" s="687" t="s">
        <v>1907</v>
      </c>
    </row>
    <row r="27" spans="1:7" x14ac:dyDescent="0.3">
      <c r="A27" s="632">
        <v>16</v>
      </c>
      <c r="B27" s="644" t="s">
        <v>1846</v>
      </c>
      <c r="C27" s="632" t="s">
        <v>1847</v>
      </c>
      <c r="D27" s="632">
        <v>5</v>
      </c>
      <c r="E27" s="634"/>
      <c r="F27" s="634"/>
      <c r="G27" s="687"/>
    </row>
    <row r="28" spans="1:7" x14ac:dyDescent="0.3">
      <c r="A28" s="632">
        <v>17</v>
      </c>
      <c r="B28" s="644" t="s">
        <v>1982</v>
      </c>
      <c r="C28" s="632" t="s">
        <v>480</v>
      </c>
      <c r="D28" s="740">
        <v>1.9031250000000002</v>
      </c>
      <c r="E28" s="634"/>
      <c r="F28" s="634"/>
      <c r="G28" s="687"/>
    </row>
    <row r="29" spans="1:7" x14ac:dyDescent="0.3">
      <c r="A29" s="632">
        <v>18</v>
      </c>
      <c r="B29" s="644" t="s">
        <v>2031</v>
      </c>
      <c r="C29" s="632" t="s">
        <v>480</v>
      </c>
      <c r="D29" s="632">
        <v>0.5</v>
      </c>
      <c r="E29" s="634"/>
      <c r="F29" s="634"/>
      <c r="G29" s="687"/>
    </row>
    <row r="30" spans="1:7" x14ac:dyDescent="0.3">
      <c r="A30" s="632">
        <v>19</v>
      </c>
      <c r="B30" s="644" t="s">
        <v>2032</v>
      </c>
      <c r="C30" s="632" t="s">
        <v>480</v>
      </c>
      <c r="D30" s="632">
        <v>3</v>
      </c>
      <c r="E30" s="634"/>
      <c r="F30" s="634"/>
      <c r="G30" s="687"/>
    </row>
    <row r="31" spans="1:7" x14ac:dyDescent="0.3">
      <c r="A31" s="632">
        <v>20</v>
      </c>
      <c r="B31" s="644" t="s">
        <v>1944</v>
      </c>
      <c r="C31" s="632" t="s">
        <v>480</v>
      </c>
      <c r="D31" s="632">
        <v>12</v>
      </c>
      <c r="E31" s="634"/>
      <c r="F31" s="634"/>
      <c r="G31" s="687" t="s">
        <v>1945</v>
      </c>
    </row>
    <row r="32" spans="1:7" x14ac:dyDescent="0.3">
      <c r="A32" s="632">
        <v>21</v>
      </c>
      <c r="B32" s="644" t="s">
        <v>1906</v>
      </c>
      <c r="C32" s="632" t="s">
        <v>480</v>
      </c>
      <c r="D32" s="740">
        <v>1.0606060606060606</v>
      </c>
      <c r="E32" s="634"/>
      <c r="F32" s="634"/>
      <c r="G32" s="687"/>
    </row>
    <row r="33" spans="1:7" x14ac:dyDescent="0.3">
      <c r="A33" s="632">
        <v>22</v>
      </c>
      <c r="B33" s="644" t="s">
        <v>2033</v>
      </c>
      <c r="C33" s="632" t="s">
        <v>480</v>
      </c>
      <c r="D33" s="632">
        <v>4</v>
      </c>
      <c r="E33" s="634"/>
      <c r="F33" s="634"/>
      <c r="G33" s="687"/>
    </row>
    <row r="34" spans="1:7" x14ac:dyDescent="0.3">
      <c r="A34" s="745">
        <v>23</v>
      </c>
      <c r="B34" s="746" t="s">
        <v>2034</v>
      </c>
      <c r="C34" s="745" t="s">
        <v>480</v>
      </c>
      <c r="D34" s="747">
        <v>5.4687500000000009</v>
      </c>
      <c r="E34" s="748"/>
      <c r="F34" s="634"/>
      <c r="G34" s="687"/>
    </row>
    <row r="35" spans="1:7" x14ac:dyDescent="0.3">
      <c r="A35" s="663" t="s">
        <v>1864</v>
      </c>
      <c r="B35" s="636"/>
      <c r="C35" s="637"/>
      <c r="D35" s="636"/>
      <c r="E35" s="698"/>
      <c r="F35" s="698">
        <f>SUM(F26:F34)</f>
        <v>0</v>
      </c>
      <c r="G35" s="639"/>
    </row>
    <row r="36" spans="1:7" x14ac:dyDescent="0.3">
      <c r="A36" s="749" t="s">
        <v>2035</v>
      </c>
      <c r="B36" s="750"/>
      <c r="C36" s="750"/>
      <c r="D36" s="750"/>
      <c r="E36" s="750"/>
      <c r="F36" s="630"/>
      <c r="G36" s="631"/>
    </row>
    <row r="37" spans="1:7" x14ac:dyDescent="0.3">
      <c r="A37" s="632">
        <v>24</v>
      </c>
      <c r="B37" s="644" t="s">
        <v>1849</v>
      </c>
      <c r="C37" s="632" t="s">
        <v>1847</v>
      </c>
      <c r="D37" s="632">
        <v>1</v>
      </c>
      <c r="E37" s="634"/>
      <c r="F37" s="634"/>
      <c r="G37" s="687"/>
    </row>
    <row r="38" spans="1:7" ht="16.5" x14ac:dyDescent="0.3">
      <c r="A38" s="632">
        <v>25</v>
      </c>
      <c r="B38" s="644" t="s">
        <v>2036</v>
      </c>
      <c r="C38" s="632" t="s">
        <v>1842</v>
      </c>
      <c r="D38" s="632">
        <v>1</v>
      </c>
      <c r="E38" s="634"/>
      <c r="F38" s="634"/>
      <c r="G38" s="687"/>
    </row>
    <row r="39" spans="1:7" x14ac:dyDescent="0.3">
      <c r="A39" s="745">
        <v>26</v>
      </c>
      <c r="B39" s="746" t="s">
        <v>2037</v>
      </c>
      <c r="C39" s="745" t="s">
        <v>480</v>
      </c>
      <c r="D39" s="745">
        <v>2</v>
      </c>
      <c r="E39" s="748"/>
      <c r="F39" s="634"/>
      <c r="G39" s="687"/>
    </row>
    <row r="40" spans="1:7" x14ac:dyDescent="0.3">
      <c r="A40" s="663" t="s">
        <v>1864</v>
      </c>
      <c r="B40" s="636"/>
      <c r="C40" s="637"/>
      <c r="D40" s="636"/>
      <c r="E40" s="698"/>
      <c r="F40" s="698">
        <f>SUM(F37:F39)</f>
        <v>0</v>
      </c>
      <c r="G40" s="639"/>
    </row>
    <row r="41" spans="1:7" x14ac:dyDescent="0.3">
      <c r="A41" s="749" t="s">
        <v>2038</v>
      </c>
      <c r="B41" s="750"/>
      <c r="C41" s="750"/>
      <c r="D41" s="750"/>
      <c r="E41" s="750"/>
      <c r="F41" s="630"/>
      <c r="G41" s="631"/>
    </row>
    <row r="42" spans="1:7" x14ac:dyDescent="0.3">
      <c r="A42" s="632">
        <v>27</v>
      </c>
      <c r="B42" s="644" t="s">
        <v>2039</v>
      </c>
      <c r="C42" s="632" t="s">
        <v>480</v>
      </c>
      <c r="D42" s="632">
        <v>720</v>
      </c>
      <c r="E42" s="634"/>
      <c r="F42" s="634"/>
      <c r="G42" s="687"/>
    </row>
    <row r="43" spans="1:7" x14ac:dyDescent="0.3">
      <c r="A43" s="632">
        <v>28</v>
      </c>
      <c r="B43" s="644" t="s">
        <v>2040</v>
      </c>
      <c r="C43" s="632" t="s">
        <v>1845</v>
      </c>
      <c r="D43" s="632">
        <v>2</v>
      </c>
      <c r="E43" s="634"/>
      <c r="F43" s="634"/>
      <c r="G43" s="687"/>
    </row>
    <row r="44" spans="1:7" ht="16.5" x14ac:dyDescent="0.3">
      <c r="A44" s="632">
        <v>29</v>
      </c>
      <c r="B44" s="644" t="s">
        <v>2027</v>
      </c>
      <c r="C44" s="632" t="s">
        <v>1868</v>
      </c>
      <c r="D44" s="632">
        <v>0.2</v>
      </c>
      <c r="E44" s="634"/>
      <c r="F44" s="634"/>
      <c r="G44" s="687"/>
    </row>
    <row r="45" spans="1:7" x14ac:dyDescent="0.3">
      <c r="A45" s="632">
        <v>30</v>
      </c>
      <c r="B45" s="644" t="s">
        <v>2041</v>
      </c>
      <c r="C45" s="632" t="s">
        <v>480</v>
      </c>
      <c r="D45" s="632">
        <v>1</v>
      </c>
      <c r="E45" s="634"/>
      <c r="F45" s="634"/>
      <c r="G45" s="687"/>
    </row>
    <row r="46" spans="1:7" x14ac:dyDescent="0.3">
      <c r="A46" s="632">
        <v>31</v>
      </c>
      <c r="B46" s="644" t="s">
        <v>2042</v>
      </c>
      <c r="C46" s="632" t="s">
        <v>480</v>
      </c>
      <c r="D46" s="632">
        <v>1</v>
      </c>
      <c r="E46" s="634"/>
      <c r="F46" s="634"/>
      <c r="G46" s="687"/>
    </row>
    <row r="47" spans="1:7" ht="16.5" x14ac:dyDescent="0.3">
      <c r="A47" s="632">
        <v>32</v>
      </c>
      <c r="B47" s="644" t="s">
        <v>1856</v>
      </c>
      <c r="C47" s="632" t="s">
        <v>1868</v>
      </c>
      <c r="D47" s="632">
        <v>0.3</v>
      </c>
      <c r="E47" s="634"/>
      <c r="F47" s="634"/>
      <c r="G47" s="687"/>
    </row>
    <row r="48" spans="1:7" x14ac:dyDescent="0.3">
      <c r="A48" s="745">
        <v>33</v>
      </c>
      <c r="B48" s="746" t="s">
        <v>2043</v>
      </c>
      <c r="C48" s="745" t="s">
        <v>480</v>
      </c>
      <c r="D48" s="745">
        <v>1</v>
      </c>
      <c r="E48" s="748"/>
      <c r="F48" s="634"/>
      <c r="G48" s="687"/>
    </row>
    <row r="49" spans="1:7" x14ac:dyDescent="0.3">
      <c r="A49" s="663" t="s">
        <v>1864</v>
      </c>
      <c r="B49" s="636"/>
      <c r="C49" s="637"/>
      <c r="D49" s="636"/>
      <c r="E49" s="698"/>
      <c r="F49" s="698">
        <f>SUM(F42:F48)</f>
        <v>0</v>
      </c>
      <c r="G49" s="639"/>
    </row>
    <row r="50" spans="1:7" x14ac:dyDescent="0.3">
      <c r="A50" s="749" t="s">
        <v>2044</v>
      </c>
      <c r="B50" s="750"/>
      <c r="C50" s="750"/>
      <c r="D50" s="750"/>
      <c r="E50" s="750"/>
      <c r="F50" s="630"/>
      <c r="G50" s="631"/>
    </row>
    <row r="51" spans="1:7" x14ac:dyDescent="0.3">
      <c r="A51" s="632">
        <v>34</v>
      </c>
      <c r="B51" s="644" t="s">
        <v>1911</v>
      </c>
      <c r="C51" s="632" t="s">
        <v>480</v>
      </c>
      <c r="D51" s="632">
        <v>370</v>
      </c>
      <c r="E51" s="634"/>
      <c r="F51" s="634"/>
      <c r="G51" s="687"/>
    </row>
    <row r="52" spans="1:7" x14ac:dyDescent="0.3">
      <c r="A52" s="632">
        <v>35</v>
      </c>
      <c r="B52" s="644" t="s">
        <v>1844</v>
      </c>
      <c r="C52" s="632" t="s">
        <v>1845</v>
      </c>
      <c r="D52" s="632">
        <v>3</v>
      </c>
      <c r="E52" s="634"/>
      <c r="F52" s="634"/>
      <c r="G52" s="687"/>
    </row>
    <row r="53" spans="1:7" ht="16.5" x14ac:dyDescent="0.3">
      <c r="A53" s="632">
        <v>36</v>
      </c>
      <c r="B53" s="644" t="s">
        <v>1850</v>
      </c>
      <c r="C53" s="632" t="s">
        <v>1868</v>
      </c>
      <c r="D53" s="632">
        <v>1</v>
      </c>
      <c r="E53" s="634"/>
      <c r="F53" s="634"/>
      <c r="G53" s="687"/>
    </row>
    <row r="54" spans="1:7" ht="16.5" x14ac:dyDescent="0.3">
      <c r="A54" s="632">
        <v>37</v>
      </c>
      <c r="B54" s="746" t="s">
        <v>1856</v>
      </c>
      <c r="C54" s="745" t="s">
        <v>1868</v>
      </c>
      <c r="D54" s="745">
        <v>0.5</v>
      </c>
      <c r="E54" s="748"/>
      <c r="F54" s="634"/>
      <c r="G54" s="687"/>
    </row>
    <row r="55" spans="1:7" x14ac:dyDescent="0.3">
      <c r="A55" s="663" t="s">
        <v>1864</v>
      </c>
      <c r="B55" s="754"/>
      <c r="C55" s="753"/>
      <c r="D55" s="754"/>
      <c r="E55" s="755"/>
      <c r="F55" s="698">
        <f>SUM(F51:F54)</f>
        <v>0</v>
      </c>
      <c r="G55" s="639"/>
    </row>
    <row r="56" spans="1:7" x14ac:dyDescent="0.3">
      <c r="A56" s="663" t="s">
        <v>1859</v>
      </c>
      <c r="B56" s="752"/>
      <c r="C56" s="753"/>
      <c r="D56" s="754"/>
      <c r="E56" s="755"/>
      <c r="F56" s="698">
        <f>SUM(F8,F16,F24,F35,F40,F49,F55)</f>
        <v>0</v>
      </c>
      <c r="G56" s="639"/>
    </row>
    <row r="57" spans="1:7" x14ac:dyDescent="0.3">
      <c r="A57" s="625">
        <v>38</v>
      </c>
      <c r="B57" s="756" t="s">
        <v>1860</v>
      </c>
      <c r="C57" s="757"/>
      <c r="D57" s="757"/>
      <c r="E57" s="758"/>
      <c r="F57" s="751">
        <f>F56*0.3</f>
        <v>0</v>
      </c>
      <c r="G57" s="671"/>
    </row>
    <row r="58" spans="1:7" x14ac:dyDescent="0.3">
      <c r="A58" s="663" t="s">
        <v>1923</v>
      </c>
      <c r="B58" s="636"/>
      <c r="C58" s="637"/>
      <c r="D58" s="636"/>
      <c r="E58" s="698"/>
      <c r="F58" s="698">
        <f>SUM(F55:F56)</f>
        <v>0</v>
      </c>
      <c r="G58" s="639"/>
    </row>
    <row r="59" spans="1:7" x14ac:dyDescent="0.3">
      <c r="A59" s="671"/>
      <c r="B59" s="671"/>
      <c r="C59" s="671"/>
      <c r="D59" s="671"/>
      <c r="E59" s="671"/>
      <c r="F59" s="671"/>
      <c r="G59" s="671"/>
    </row>
    <row r="60" spans="1:7" x14ac:dyDescent="0.3">
      <c r="A60" s="671"/>
      <c r="B60" s="671" t="s">
        <v>2112</v>
      </c>
      <c r="C60" s="671"/>
      <c r="D60" s="671"/>
      <c r="E60" s="671"/>
      <c r="F60" s="671"/>
      <c r="G60" s="671"/>
    </row>
    <row r="61" spans="1:7" x14ac:dyDescent="0.3">
      <c r="A61" s="671"/>
      <c r="B61" s="671"/>
      <c r="C61" s="671"/>
      <c r="D61" s="671"/>
      <c r="E61" s="671"/>
      <c r="F61" s="671"/>
      <c r="G61" s="671"/>
    </row>
    <row r="62" spans="1:7" x14ac:dyDescent="0.3">
      <c r="A62" s="671"/>
      <c r="B62" s="671" t="s">
        <v>2113</v>
      </c>
      <c r="C62" s="671"/>
      <c r="D62" s="671"/>
      <c r="E62" s="671"/>
      <c r="F62" s="671"/>
      <c r="G62" s="671"/>
    </row>
    <row r="63" spans="1:7" x14ac:dyDescent="0.3">
      <c r="A63" s="671"/>
      <c r="B63" s="671"/>
      <c r="C63" s="671"/>
      <c r="D63" s="671"/>
      <c r="E63" s="671"/>
      <c r="F63" s="671"/>
      <c r="G63" s="671"/>
    </row>
    <row r="64" spans="1:7" x14ac:dyDescent="0.3">
      <c r="A64" s="671"/>
      <c r="B64" s="671" t="s">
        <v>2114</v>
      </c>
      <c r="C64" s="671"/>
      <c r="D64" s="671"/>
      <c r="E64" s="671"/>
      <c r="F64" s="671"/>
      <c r="G64" s="671"/>
    </row>
  </sheetData>
  <printOptions horizontalCentered="1"/>
  <pageMargins left="0.70866141732283472" right="0.70866141732283472" top="0.74803149606299213" bottom="0.74803149606299213" header="0.31496062992125984" footer="0.31496062992125984"/>
  <pageSetup paperSize="9" scale="65" orientation="portrait" r:id="rId1"/>
  <customProperties>
    <customPr name="QAA_DRILLPATH_NODE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00B050"/>
  </sheetPr>
  <dimension ref="A2:H40"/>
  <sheetViews>
    <sheetView view="pageBreakPreview" topLeftCell="A27" zoomScale="115" zoomScaleNormal="100" zoomScaleSheetLayoutView="115" workbookViewId="0">
      <selection activeCell="A35" sqref="A35:G40"/>
    </sheetView>
  </sheetViews>
  <sheetFormatPr baseColWidth="10" defaultColWidth="9.9140625" defaultRowHeight="14" x14ac:dyDescent="0.3"/>
  <cols>
    <col min="1" max="1" width="2.9140625" style="625" bestFit="1" customWidth="1"/>
    <col min="2" max="2" width="35.9140625" style="625" bestFit="1" customWidth="1"/>
    <col min="3" max="3" width="5.1640625" style="625" bestFit="1" customWidth="1"/>
    <col min="4" max="4" width="8.08203125" style="625" bestFit="1" customWidth="1"/>
    <col min="5" max="5" width="10.08203125" style="625" bestFit="1" customWidth="1"/>
    <col min="6" max="6" width="13.08203125" style="625" bestFit="1" customWidth="1"/>
    <col min="7" max="16384" width="9.9140625" style="625"/>
  </cols>
  <sheetData>
    <row r="2" spans="1:8" x14ac:dyDescent="0.3">
      <c r="A2" s="661" t="s">
        <v>2045</v>
      </c>
      <c r="B2" s="622"/>
      <c r="C2" s="622"/>
      <c r="D2" s="622"/>
      <c r="E2" s="622"/>
      <c r="F2" s="661"/>
      <c r="G2" s="623"/>
    </row>
    <row r="3" spans="1:8" x14ac:dyDescent="0.3">
      <c r="A3" s="741"/>
      <c r="B3" s="741"/>
      <c r="C3" s="741"/>
      <c r="D3" s="741"/>
      <c r="E3" s="741"/>
      <c r="F3" s="741"/>
      <c r="G3" s="675"/>
    </row>
    <row r="4" spans="1:8" x14ac:dyDescent="0.3">
      <c r="A4" s="626" t="s">
        <v>738</v>
      </c>
      <c r="B4" s="627" t="s">
        <v>1831</v>
      </c>
      <c r="C4" s="626" t="s">
        <v>75</v>
      </c>
      <c r="D4" s="626" t="s">
        <v>78</v>
      </c>
      <c r="E4" s="626" t="s">
        <v>736</v>
      </c>
      <c r="F4" s="628" t="s">
        <v>737</v>
      </c>
      <c r="G4" s="627" t="s">
        <v>1832</v>
      </c>
    </row>
    <row r="5" spans="1:8" x14ac:dyDescent="0.3">
      <c r="A5" s="629" t="s">
        <v>2046</v>
      </c>
      <c r="B5" s="630"/>
      <c r="C5" s="630"/>
      <c r="D5" s="630"/>
      <c r="E5" s="630"/>
      <c r="F5" s="630"/>
      <c r="G5" s="631"/>
    </row>
    <row r="6" spans="1:8" ht="15" customHeight="1" x14ac:dyDescent="0.3">
      <c r="A6" s="632">
        <v>1</v>
      </c>
      <c r="B6" s="644" t="s">
        <v>2047</v>
      </c>
      <c r="C6" s="632" t="s">
        <v>2048</v>
      </c>
      <c r="D6" s="632">
        <v>14.45</v>
      </c>
      <c r="E6" s="662"/>
      <c r="F6" s="634"/>
      <c r="G6" s="687"/>
      <c r="H6" s="742"/>
    </row>
    <row r="7" spans="1:8" ht="12.9" customHeight="1" x14ac:dyDescent="0.3">
      <c r="A7" s="629" t="s">
        <v>2049</v>
      </c>
      <c r="B7" s="630"/>
      <c r="C7" s="630"/>
      <c r="D7" s="630"/>
      <c r="E7" s="630"/>
      <c r="F7" s="630"/>
      <c r="G7" s="631"/>
    </row>
    <row r="8" spans="1:8" ht="14.4" customHeight="1" x14ac:dyDescent="0.3">
      <c r="A8" s="632">
        <v>2</v>
      </c>
      <c r="B8" s="644" t="s">
        <v>1844</v>
      </c>
      <c r="C8" s="632" t="s">
        <v>1845</v>
      </c>
      <c r="D8" s="740">
        <v>1.6320000000000001</v>
      </c>
      <c r="E8" s="662"/>
      <c r="F8" s="634"/>
      <c r="G8" s="687"/>
    </row>
    <row r="9" spans="1:8" ht="15" customHeight="1" x14ac:dyDescent="0.3">
      <c r="A9" s="632">
        <v>3</v>
      </c>
      <c r="B9" s="644" t="s">
        <v>1846</v>
      </c>
      <c r="C9" s="632" t="s">
        <v>1847</v>
      </c>
      <c r="D9" s="740">
        <v>0.5</v>
      </c>
      <c r="E9" s="662"/>
      <c r="F9" s="634"/>
      <c r="G9" s="687"/>
    </row>
    <row r="10" spans="1:8" ht="12.9" customHeight="1" x14ac:dyDescent="0.3">
      <c r="A10" s="632">
        <v>4</v>
      </c>
      <c r="B10" s="644" t="s">
        <v>1941</v>
      </c>
      <c r="C10" s="632" t="s">
        <v>480</v>
      </c>
      <c r="D10" s="740">
        <v>2.3652173913043479</v>
      </c>
      <c r="E10" s="662"/>
      <c r="F10" s="634"/>
      <c r="G10" s="687"/>
    </row>
    <row r="11" spans="1:8" ht="12.9" customHeight="1" x14ac:dyDescent="0.3">
      <c r="A11" s="632">
        <v>5</v>
      </c>
      <c r="B11" s="644" t="s">
        <v>1942</v>
      </c>
      <c r="C11" s="632" t="s">
        <v>480</v>
      </c>
      <c r="D11" s="740">
        <v>2.0144927536231885</v>
      </c>
      <c r="E11" s="662"/>
      <c r="F11" s="634"/>
      <c r="G11" s="687"/>
    </row>
    <row r="12" spans="1:8" ht="12.9" customHeight="1" x14ac:dyDescent="0.3">
      <c r="A12" s="632">
        <v>6</v>
      </c>
      <c r="B12" s="644" t="s">
        <v>1849</v>
      </c>
      <c r="C12" s="632" t="s">
        <v>1847</v>
      </c>
      <c r="D12" s="740">
        <v>0.5</v>
      </c>
      <c r="E12" s="662"/>
      <c r="F12" s="634"/>
      <c r="G12" s="687"/>
    </row>
    <row r="13" spans="1:8" ht="12.9" customHeight="1" x14ac:dyDescent="0.3">
      <c r="A13" s="632">
        <v>7</v>
      </c>
      <c r="B13" s="644" t="s">
        <v>1850</v>
      </c>
      <c r="C13" s="632" t="s">
        <v>2048</v>
      </c>
      <c r="D13" s="740">
        <v>0.21760000000000002</v>
      </c>
      <c r="E13" s="662"/>
      <c r="F13" s="634"/>
      <c r="G13" s="687"/>
    </row>
    <row r="14" spans="1:8" ht="12.9" customHeight="1" x14ac:dyDescent="0.3">
      <c r="A14" s="632">
        <v>8</v>
      </c>
      <c r="B14" s="644" t="s">
        <v>1890</v>
      </c>
      <c r="C14" s="632" t="s">
        <v>480</v>
      </c>
      <c r="D14" s="740">
        <v>2</v>
      </c>
      <c r="E14" s="662"/>
      <c r="F14" s="634"/>
      <c r="G14" s="687"/>
    </row>
    <row r="15" spans="1:8" ht="12.9" customHeight="1" x14ac:dyDescent="0.3">
      <c r="A15" s="632">
        <v>9</v>
      </c>
      <c r="B15" s="644" t="s">
        <v>1856</v>
      </c>
      <c r="C15" s="632" t="s">
        <v>2048</v>
      </c>
      <c r="D15" s="740">
        <v>0.10880000000000001</v>
      </c>
      <c r="E15" s="662"/>
      <c r="F15" s="634"/>
      <c r="G15" s="687"/>
    </row>
    <row r="16" spans="1:8" ht="12.9" customHeight="1" x14ac:dyDescent="0.3">
      <c r="A16" s="629" t="s">
        <v>2050</v>
      </c>
      <c r="B16" s="630"/>
      <c r="C16" s="630"/>
      <c r="D16" s="630"/>
      <c r="E16" s="630"/>
      <c r="F16" s="630"/>
      <c r="G16" s="631"/>
    </row>
    <row r="17" spans="1:7" ht="12.9" customHeight="1" x14ac:dyDescent="0.3">
      <c r="A17" s="632">
        <v>10</v>
      </c>
      <c r="B17" s="644" t="s">
        <v>1911</v>
      </c>
      <c r="C17" s="632" t="s">
        <v>480</v>
      </c>
      <c r="D17" s="740">
        <v>825.71428571428567</v>
      </c>
      <c r="E17" s="662"/>
      <c r="F17" s="634"/>
      <c r="G17" s="687"/>
    </row>
    <row r="18" spans="1:7" ht="12.9" customHeight="1" x14ac:dyDescent="0.3">
      <c r="A18" s="632">
        <v>11</v>
      </c>
      <c r="B18" s="644" t="s">
        <v>1844</v>
      </c>
      <c r="C18" s="632" t="s">
        <v>1845</v>
      </c>
      <c r="D18" s="740">
        <v>1.734</v>
      </c>
      <c r="E18" s="662"/>
      <c r="F18" s="634"/>
      <c r="G18" s="687"/>
    </row>
    <row r="19" spans="1:7" ht="12.9" customHeight="1" x14ac:dyDescent="0.3">
      <c r="A19" s="632">
        <v>12</v>
      </c>
      <c r="B19" s="644" t="s">
        <v>1856</v>
      </c>
      <c r="C19" s="632" t="s">
        <v>2048</v>
      </c>
      <c r="D19" s="740">
        <v>0.28899999999999998</v>
      </c>
      <c r="E19" s="662"/>
      <c r="F19" s="634"/>
      <c r="G19" s="687"/>
    </row>
    <row r="20" spans="1:7" ht="12.9" customHeight="1" x14ac:dyDescent="0.3">
      <c r="A20" s="629" t="s">
        <v>2051</v>
      </c>
      <c r="B20" s="630"/>
      <c r="C20" s="630"/>
      <c r="D20" s="630"/>
      <c r="E20" s="630"/>
      <c r="F20" s="630"/>
      <c r="G20" s="631"/>
    </row>
    <row r="21" spans="1:7" ht="14.15" customHeight="1" x14ac:dyDescent="0.3">
      <c r="A21" s="632">
        <v>13</v>
      </c>
      <c r="B21" s="644" t="s">
        <v>1844</v>
      </c>
      <c r="C21" s="632" t="s">
        <v>2048</v>
      </c>
      <c r="D21" s="740">
        <v>2.4275999999999995</v>
      </c>
      <c r="E21" s="662"/>
      <c r="F21" s="634"/>
      <c r="G21" s="687"/>
    </row>
    <row r="22" spans="1:7" ht="14.4" customHeight="1" x14ac:dyDescent="0.3">
      <c r="A22" s="632">
        <v>14</v>
      </c>
      <c r="B22" s="644" t="s">
        <v>1848</v>
      </c>
      <c r="C22" s="632" t="s">
        <v>480</v>
      </c>
      <c r="D22" s="740">
        <v>3.3507246376811595</v>
      </c>
      <c r="E22" s="662"/>
      <c r="F22" s="634"/>
      <c r="G22" s="687"/>
    </row>
    <row r="23" spans="1:7" ht="12.9" customHeight="1" x14ac:dyDescent="0.3">
      <c r="A23" s="632">
        <v>15</v>
      </c>
      <c r="B23" s="644" t="s">
        <v>1849</v>
      </c>
      <c r="C23" s="632" t="s">
        <v>1847</v>
      </c>
      <c r="D23" s="740">
        <v>1</v>
      </c>
      <c r="E23" s="662"/>
      <c r="F23" s="634"/>
      <c r="G23" s="687"/>
    </row>
    <row r="24" spans="1:7" ht="12.9" customHeight="1" x14ac:dyDescent="0.3">
      <c r="A24" s="632">
        <v>16</v>
      </c>
      <c r="B24" s="644" t="s">
        <v>1850</v>
      </c>
      <c r="C24" s="632" t="s">
        <v>1847</v>
      </c>
      <c r="D24" s="740">
        <v>0.27743999999999996</v>
      </c>
      <c r="E24" s="662"/>
      <c r="F24" s="634"/>
      <c r="G24" s="687"/>
    </row>
    <row r="25" spans="1:7" ht="12.9" customHeight="1" x14ac:dyDescent="0.3">
      <c r="A25" s="632">
        <v>17</v>
      </c>
      <c r="B25" s="644" t="s">
        <v>1890</v>
      </c>
      <c r="C25" s="632" t="s">
        <v>480</v>
      </c>
      <c r="D25" s="740">
        <v>4.378787878787878</v>
      </c>
      <c r="E25" s="662"/>
      <c r="F25" s="634"/>
      <c r="G25" s="687"/>
    </row>
    <row r="26" spans="1:7" ht="12.9" customHeight="1" x14ac:dyDescent="0.3">
      <c r="A26" s="632">
        <v>18</v>
      </c>
      <c r="B26" s="644" t="s">
        <v>1856</v>
      </c>
      <c r="C26" s="632" t="s">
        <v>2048</v>
      </c>
      <c r="D26" s="740">
        <v>0.13871999999999998</v>
      </c>
      <c r="E26" s="662"/>
      <c r="F26" s="634"/>
      <c r="G26" s="687"/>
    </row>
    <row r="27" spans="1:7" ht="12.9" customHeight="1" x14ac:dyDescent="0.3">
      <c r="A27" s="629" t="s">
        <v>2052</v>
      </c>
      <c r="B27" s="630"/>
      <c r="C27" s="630"/>
      <c r="D27" s="630"/>
      <c r="E27" s="630"/>
      <c r="F27" s="630"/>
      <c r="G27" s="631"/>
    </row>
    <row r="28" spans="1:7" ht="14.4" customHeight="1" x14ac:dyDescent="0.3">
      <c r="A28" s="632">
        <v>19</v>
      </c>
      <c r="B28" s="644" t="s">
        <v>1844</v>
      </c>
      <c r="C28" s="632" t="s">
        <v>1845</v>
      </c>
      <c r="D28" s="632">
        <v>1.5</v>
      </c>
      <c r="E28" s="662"/>
      <c r="F28" s="634"/>
      <c r="G28" s="671"/>
    </row>
    <row r="29" spans="1:7" ht="12.9" customHeight="1" x14ac:dyDescent="0.3">
      <c r="A29" s="632">
        <v>20</v>
      </c>
      <c r="B29" s="644" t="s">
        <v>1856</v>
      </c>
      <c r="C29" s="632" t="s">
        <v>2048</v>
      </c>
      <c r="D29" s="632">
        <v>0.2</v>
      </c>
      <c r="E29" s="662"/>
      <c r="F29" s="634"/>
      <c r="G29" s="671"/>
    </row>
    <row r="30" spans="1:7" ht="12.9" customHeight="1" x14ac:dyDescent="0.3">
      <c r="A30" s="629" t="s">
        <v>2053</v>
      </c>
      <c r="B30" s="630"/>
      <c r="C30" s="630"/>
      <c r="D30" s="630"/>
      <c r="E30" s="630"/>
      <c r="F30" s="630"/>
      <c r="G30" s="631"/>
    </row>
    <row r="31" spans="1:7" ht="12.9" customHeight="1" x14ac:dyDescent="0.3">
      <c r="A31" s="632">
        <v>21</v>
      </c>
      <c r="B31" s="644" t="s">
        <v>2054</v>
      </c>
      <c r="C31" s="632" t="s">
        <v>480</v>
      </c>
      <c r="D31" s="632">
        <v>1</v>
      </c>
      <c r="E31" s="662"/>
      <c r="F31" s="634"/>
      <c r="G31" s="687"/>
    </row>
    <row r="32" spans="1:7" x14ac:dyDescent="0.3">
      <c r="A32" s="663" t="s">
        <v>1939</v>
      </c>
      <c r="B32" s="636"/>
      <c r="C32" s="637"/>
      <c r="D32" s="636"/>
      <c r="E32" s="638"/>
      <c r="F32" s="628">
        <f>SUM(F6,F8:F15,F17:F19,F21:F26,F28:F29,F31)</f>
        <v>0</v>
      </c>
      <c r="G32" s="639"/>
    </row>
    <row r="33" spans="1:7" x14ac:dyDescent="0.3">
      <c r="A33" s="632">
        <v>22</v>
      </c>
      <c r="B33" s="647" t="s">
        <v>2055</v>
      </c>
      <c r="C33" s="648"/>
      <c r="D33" s="648"/>
      <c r="E33" s="649"/>
      <c r="F33" s="634">
        <f>F32*0.3</f>
        <v>0</v>
      </c>
      <c r="G33" s="671"/>
    </row>
    <row r="34" spans="1:7" x14ac:dyDescent="0.3">
      <c r="A34" s="663" t="s">
        <v>1923</v>
      </c>
      <c r="B34" s="636"/>
      <c r="C34" s="637"/>
      <c r="D34" s="636"/>
      <c r="E34" s="638"/>
      <c r="F34" s="628">
        <f>SUM(F32:F33)</f>
        <v>0</v>
      </c>
      <c r="G34" s="639"/>
    </row>
    <row r="35" spans="1:7" x14ac:dyDescent="0.3">
      <c r="A35" s="671"/>
      <c r="B35" s="671"/>
      <c r="C35" s="671"/>
      <c r="D35" s="671"/>
      <c r="E35" s="671"/>
      <c r="F35" s="671"/>
      <c r="G35" s="671"/>
    </row>
    <row r="36" spans="1:7" x14ac:dyDescent="0.3">
      <c r="A36" s="671"/>
      <c r="B36" s="671" t="s">
        <v>2112</v>
      </c>
      <c r="C36" s="671"/>
      <c r="D36" s="671"/>
      <c r="E36" s="671"/>
      <c r="F36" s="671"/>
      <c r="G36" s="671"/>
    </row>
    <row r="37" spans="1:7" x14ac:dyDescent="0.3">
      <c r="A37" s="671"/>
      <c r="B37" s="671"/>
      <c r="C37" s="671"/>
      <c r="D37" s="671"/>
      <c r="E37" s="671"/>
      <c r="F37" s="671"/>
      <c r="G37" s="671"/>
    </row>
    <row r="38" spans="1:7" x14ac:dyDescent="0.3">
      <c r="A38" s="671"/>
      <c r="B38" s="671" t="s">
        <v>2113</v>
      </c>
      <c r="C38" s="671"/>
      <c r="D38" s="671"/>
      <c r="E38" s="671"/>
      <c r="F38" s="671"/>
      <c r="G38" s="671"/>
    </row>
    <row r="39" spans="1:7" x14ac:dyDescent="0.3">
      <c r="A39" s="671"/>
      <c r="B39" s="671"/>
      <c r="C39" s="671"/>
      <c r="D39" s="671"/>
      <c r="E39" s="671"/>
      <c r="F39" s="671"/>
      <c r="G39" s="671"/>
    </row>
    <row r="40" spans="1:7" x14ac:dyDescent="0.3">
      <c r="A40" s="671"/>
      <c r="B40" s="671" t="s">
        <v>2114</v>
      </c>
      <c r="C40" s="671"/>
      <c r="D40" s="671"/>
      <c r="E40" s="671"/>
      <c r="F40" s="671"/>
      <c r="G40" s="671"/>
    </row>
  </sheetData>
  <printOptions horizontalCentered="1"/>
  <pageMargins left="0.70866141732283472" right="0.70866141732283472" top="0.74803149606299213" bottom="0.74803149606299213" header="0.31496062992125984" footer="0.31496062992125984"/>
  <pageSetup paperSize="9" scale="93" orientation="portrait" r:id="rId1"/>
  <customProperties>
    <customPr name="QAA_DRILLPATH_NODE_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2" tint="-0.499984740745262"/>
  </sheetPr>
  <dimension ref="A2:G21"/>
  <sheetViews>
    <sheetView view="pageBreakPreview" topLeftCell="A10" zoomScale="130" zoomScaleNormal="100" zoomScaleSheetLayoutView="130" workbookViewId="0">
      <selection activeCell="A16" sqref="A16:G21"/>
    </sheetView>
  </sheetViews>
  <sheetFormatPr baseColWidth="10" defaultColWidth="9.9140625" defaultRowHeight="14" x14ac:dyDescent="0.3"/>
  <cols>
    <col min="1" max="1" width="2.9140625" style="625" bestFit="1" customWidth="1"/>
    <col min="2" max="2" width="30.4140625" style="625" bestFit="1" customWidth="1"/>
    <col min="3" max="3" width="5.4140625" style="625" bestFit="1" customWidth="1"/>
    <col min="4" max="4" width="8.1640625" style="625" bestFit="1" customWidth="1"/>
    <col min="5" max="5" width="9.9140625" style="625"/>
    <col min="6" max="6" width="11.1640625" style="625" customWidth="1"/>
    <col min="7" max="16384" width="9.9140625" style="625"/>
  </cols>
  <sheetData>
    <row r="2" spans="1:7" x14ac:dyDescent="0.3">
      <c r="A2" s="661" t="s">
        <v>2056</v>
      </c>
      <c r="B2" s="622"/>
      <c r="C2" s="622"/>
      <c r="D2" s="622"/>
      <c r="E2" s="622"/>
      <c r="F2" s="661"/>
      <c r="G2" s="623"/>
    </row>
    <row r="4" spans="1:7" x14ac:dyDescent="0.3">
      <c r="A4" s="626" t="s">
        <v>738</v>
      </c>
      <c r="B4" s="627" t="s">
        <v>1831</v>
      </c>
      <c r="C4" s="626" t="s">
        <v>75</v>
      </c>
      <c r="D4" s="626" t="s">
        <v>78</v>
      </c>
      <c r="E4" s="626" t="s">
        <v>736</v>
      </c>
      <c r="F4" s="628" t="s">
        <v>737</v>
      </c>
      <c r="G4" s="627" t="s">
        <v>1832</v>
      </c>
    </row>
    <row r="5" spans="1:7" x14ac:dyDescent="0.3">
      <c r="A5" s="632">
        <v>1</v>
      </c>
      <c r="B5" s="644" t="s">
        <v>1844</v>
      </c>
      <c r="C5" s="632" t="s">
        <v>1845</v>
      </c>
      <c r="D5" s="632">
        <v>15</v>
      </c>
      <c r="E5" s="662"/>
      <c r="F5" s="634"/>
      <c r="G5" s="687"/>
    </row>
    <row r="6" spans="1:7" ht="16.5" x14ac:dyDescent="0.3">
      <c r="A6" s="632">
        <v>2</v>
      </c>
      <c r="B6" s="644" t="s">
        <v>1856</v>
      </c>
      <c r="C6" s="632" t="s">
        <v>1868</v>
      </c>
      <c r="D6" s="632">
        <v>3</v>
      </c>
      <c r="E6" s="662"/>
      <c r="F6" s="634"/>
      <c r="G6" s="687"/>
    </row>
    <row r="7" spans="1:7" ht="16.5" x14ac:dyDescent="0.3">
      <c r="A7" s="632">
        <v>3</v>
      </c>
      <c r="B7" s="644" t="s">
        <v>1850</v>
      </c>
      <c r="C7" s="632" t="s">
        <v>1868</v>
      </c>
      <c r="D7" s="632">
        <v>2</v>
      </c>
      <c r="E7" s="662"/>
      <c r="F7" s="634"/>
      <c r="G7" s="687"/>
    </row>
    <row r="8" spans="1:7" x14ac:dyDescent="0.3">
      <c r="A8" s="632">
        <v>4</v>
      </c>
      <c r="B8" s="644" t="s">
        <v>1911</v>
      </c>
      <c r="C8" s="632" t="s">
        <v>480</v>
      </c>
      <c r="D8" s="722">
        <v>1500</v>
      </c>
      <c r="E8" s="662"/>
      <c r="F8" s="634"/>
      <c r="G8" s="687"/>
    </row>
    <row r="9" spans="1:7" x14ac:dyDescent="0.3">
      <c r="A9" s="632">
        <v>5</v>
      </c>
      <c r="B9" s="644" t="s">
        <v>2057</v>
      </c>
      <c r="C9" s="632" t="s">
        <v>480</v>
      </c>
      <c r="D9" s="632">
        <v>1</v>
      </c>
      <c r="E9" s="662"/>
      <c r="F9" s="634"/>
      <c r="G9" s="687"/>
    </row>
    <row r="10" spans="1:7" x14ac:dyDescent="0.3">
      <c r="A10" s="632">
        <v>6</v>
      </c>
      <c r="B10" s="644" t="s">
        <v>1941</v>
      </c>
      <c r="C10" s="632" t="s">
        <v>480</v>
      </c>
      <c r="D10" s="632">
        <v>2</v>
      </c>
      <c r="E10" s="662"/>
      <c r="F10" s="634"/>
      <c r="G10" s="687"/>
    </row>
    <row r="11" spans="1:7" x14ac:dyDescent="0.3">
      <c r="A11" s="632">
        <v>7</v>
      </c>
      <c r="B11" s="644" t="s">
        <v>1849</v>
      </c>
      <c r="C11" s="632" t="s">
        <v>1847</v>
      </c>
      <c r="D11" s="632">
        <v>3</v>
      </c>
      <c r="E11" s="662"/>
      <c r="F11" s="634"/>
      <c r="G11" s="687"/>
    </row>
    <row r="12" spans="1:7" x14ac:dyDescent="0.3">
      <c r="A12" s="632">
        <v>8</v>
      </c>
      <c r="B12" s="644" t="s">
        <v>2058</v>
      </c>
      <c r="C12" s="632" t="s">
        <v>480</v>
      </c>
      <c r="D12" s="632">
        <v>1</v>
      </c>
      <c r="E12" s="662"/>
      <c r="F12" s="634"/>
      <c r="G12" s="687"/>
    </row>
    <row r="13" spans="1:7" x14ac:dyDescent="0.3">
      <c r="A13" s="663" t="s">
        <v>1859</v>
      </c>
      <c r="B13" s="636"/>
      <c r="C13" s="637"/>
      <c r="D13" s="636"/>
      <c r="E13" s="638"/>
      <c r="F13" s="628">
        <f>SUM(F5:F12)</f>
        <v>0</v>
      </c>
      <c r="G13" s="639"/>
    </row>
    <row r="14" spans="1:7" x14ac:dyDescent="0.3">
      <c r="A14" s="632">
        <v>9</v>
      </c>
      <c r="B14" s="647" t="s">
        <v>1860</v>
      </c>
      <c r="C14" s="648"/>
      <c r="D14" s="648"/>
      <c r="E14" s="649"/>
      <c r="F14" s="634">
        <f>PRODUCT(F13,0.3)</f>
        <v>0</v>
      </c>
      <c r="G14" s="687"/>
    </row>
    <row r="15" spans="1:7" x14ac:dyDescent="0.3">
      <c r="A15" s="663" t="s">
        <v>1923</v>
      </c>
      <c r="B15" s="636"/>
      <c r="C15" s="637"/>
      <c r="D15" s="636"/>
      <c r="E15" s="638"/>
      <c r="F15" s="628">
        <f>SUM(F13:F14)</f>
        <v>0</v>
      </c>
      <c r="G15" s="639"/>
    </row>
    <row r="16" spans="1:7" x14ac:dyDescent="0.3">
      <c r="A16" s="671"/>
      <c r="B16" s="671"/>
      <c r="C16" s="671"/>
      <c r="D16" s="671"/>
      <c r="E16" s="671"/>
      <c r="F16" s="671"/>
      <c r="G16" s="671"/>
    </row>
    <row r="17" spans="1:7" x14ac:dyDescent="0.3">
      <c r="A17" s="671"/>
      <c r="B17" s="671" t="s">
        <v>2112</v>
      </c>
      <c r="C17" s="671"/>
      <c r="D17" s="671"/>
      <c r="E17" s="671"/>
      <c r="F17" s="671"/>
      <c r="G17" s="671"/>
    </row>
    <row r="18" spans="1:7" x14ac:dyDescent="0.3">
      <c r="A18" s="671"/>
      <c r="B18" s="671"/>
      <c r="C18" s="671"/>
      <c r="D18" s="671"/>
      <c r="E18" s="671"/>
      <c r="F18" s="671"/>
      <c r="G18" s="671"/>
    </row>
    <row r="19" spans="1:7" x14ac:dyDescent="0.3">
      <c r="A19" s="671"/>
      <c r="B19" s="671" t="s">
        <v>2113</v>
      </c>
      <c r="C19" s="671"/>
      <c r="D19" s="671"/>
      <c r="E19" s="671"/>
      <c r="F19" s="671"/>
      <c r="G19" s="671"/>
    </row>
    <row r="20" spans="1:7" x14ac:dyDescent="0.3">
      <c r="A20" s="671"/>
      <c r="B20" s="671"/>
      <c r="C20" s="671"/>
      <c r="D20" s="671"/>
      <c r="E20" s="671"/>
      <c r="F20" s="671"/>
      <c r="G20" s="671"/>
    </row>
    <row r="21" spans="1:7" x14ac:dyDescent="0.3">
      <c r="A21" s="671"/>
      <c r="B21" s="671" t="s">
        <v>2114</v>
      </c>
      <c r="C21" s="671"/>
      <c r="D21" s="671"/>
      <c r="E21" s="671"/>
      <c r="F21" s="671"/>
      <c r="G21" s="671"/>
    </row>
  </sheetData>
  <printOptions horizontalCentered="1"/>
  <pageMargins left="0.70866141732283472" right="0.70866141732283472" top="0.74803149606299213" bottom="0.74803149606299213" header="0.31496062992125984" footer="0.31496062992125984"/>
  <pageSetup paperSize="9" orientation="portrait" r:id="rId1"/>
  <customProperties>
    <customPr name="QAA_DRILLPATH_NODE_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rgb="FFFF6600"/>
  </sheetPr>
  <dimension ref="A2:G20"/>
  <sheetViews>
    <sheetView view="pageBreakPreview" topLeftCell="A9" zoomScale="130" zoomScaleNormal="100" zoomScaleSheetLayoutView="130" workbookViewId="0">
      <selection activeCell="A15" sqref="A15:G20"/>
    </sheetView>
  </sheetViews>
  <sheetFormatPr baseColWidth="10" defaultColWidth="9.9140625" defaultRowHeight="14" x14ac:dyDescent="0.3"/>
  <cols>
    <col min="1" max="1" width="2.9140625" style="625" bestFit="1" customWidth="1"/>
    <col min="2" max="2" width="18" style="625" bestFit="1" customWidth="1"/>
    <col min="3" max="3" width="5.4140625" style="625" bestFit="1" customWidth="1"/>
    <col min="4" max="4" width="8.1640625" style="625" bestFit="1" customWidth="1"/>
    <col min="5" max="5" width="9.9140625" style="625"/>
    <col min="6" max="6" width="10.58203125" style="625" customWidth="1"/>
    <col min="7" max="16384" width="9.9140625" style="625"/>
  </cols>
  <sheetData>
    <row r="2" spans="1:7" x14ac:dyDescent="0.3">
      <c r="A2" s="661" t="s">
        <v>2059</v>
      </c>
      <c r="B2" s="622"/>
      <c r="C2" s="622"/>
      <c r="D2" s="622"/>
      <c r="E2" s="622"/>
      <c r="F2" s="661"/>
      <c r="G2" s="623"/>
    </row>
    <row r="4" spans="1:7" x14ac:dyDescent="0.3">
      <c r="A4" s="626" t="s">
        <v>738</v>
      </c>
      <c r="B4" s="627" t="s">
        <v>1831</v>
      </c>
      <c r="C4" s="626" t="s">
        <v>75</v>
      </c>
      <c r="D4" s="626" t="s">
        <v>78</v>
      </c>
      <c r="E4" s="626" t="s">
        <v>736</v>
      </c>
      <c r="F4" s="628" t="s">
        <v>737</v>
      </c>
      <c r="G4" s="627" t="s">
        <v>1832</v>
      </c>
    </row>
    <row r="5" spans="1:7" x14ac:dyDescent="0.3">
      <c r="A5" s="632">
        <v>1</v>
      </c>
      <c r="B5" s="644" t="s">
        <v>1911</v>
      </c>
      <c r="C5" s="632" t="s">
        <v>480</v>
      </c>
      <c r="D5" s="632">
        <v>600</v>
      </c>
      <c r="E5" s="662"/>
      <c r="F5" s="634"/>
      <c r="G5" s="687"/>
    </row>
    <row r="6" spans="1:7" x14ac:dyDescent="0.3">
      <c r="A6" s="632">
        <v>2</v>
      </c>
      <c r="B6" s="644" t="s">
        <v>1844</v>
      </c>
      <c r="C6" s="632" t="s">
        <v>1845</v>
      </c>
      <c r="D6" s="632">
        <v>6</v>
      </c>
      <c r="E6" s="662"/>
      <c r="F6" s="634"/>
      <c r="G6" s="687"/>
    </row>
    <row r="7" spans="1:7" x14ac:dyDescent="0.3">
      <c r="A7" s="632">
        <v>3</v>
      </c>
      <c r="B7" s="644" t="s">
        <v>1846</v>
      </c>
      <c r="C7" s="632" t="s">
        <v>1847</v>
      </c>
      <c r="D7" s="632">
        <v>3.5</v>
      </c>
      <c r="E7" s="662"/>
      <c r="F7" s="634"/>
      <c r="G7" s="687"/>
    </row>
    <row r="8" spans="1:7" ht="16.5" x14ac:dyDescent="0.3">
      <c r="A8" s="632">
        <v>4</v>
      </c>
      <c r="B8" s="644" t="s">
        <v>1850</v>
      </c>
      <c r="C8" s="632" t="s">
        <v>1868</v>
      </c>
      <c r="D8" s="632">
        <v>1.4</v>
      </c>
      <c r="E8" s="662"/>
      <c r="F8" s="634"/>
      <c r="G8" s="687"/>
    </row>
    <row r="9" spans="1:7" x14ac:dyDescent="0.3">
      <c r="A9" s="632">
        <v>5</v>
      </c>
      <c r="B9" s="644" t="s">
        <v>1890</v>
      </c>
      <c r="C9" s="632" t="s">
        <v>480</v>
      </c>
      <c r="D9" s="632">
        <v>3</v>
      </c>
      <c r="E9" s="662"/>
      <c r="F9" s="634"/>
      <c r="G9" s="687"/>
    </row>
    <row r="10" spans="1:7" ht="16.5" x14ac:dyDescent="0.3">
      <c r="A10" s="632">
        <v>6</v>
      </c>
      <c r="B10" s="644" t="s">
        <v>1856</v>
      </c>
      <c r="C10" s="632" t="s">
        <v>1868</v>
      </c>
      <c r="D10" s="632">
        <v>3</v>
      </c>
      <c r="E10" s="662"/>
      <c r="F10" s="634"/>
      <c r="G10" s="687"/>
    </row>
    <row r="11" spans="1:7" x14ac:dyDescent="0.3">
      <c r="A11" s="632">
        <v>7</v>
      </c>
      <c r="B11" s="644" t="s">
        <v>2060</v>
      </c>
      <c r="C11" s="632" t="s">
        <v>480</v>
      </c>
      <c r="D11" s="632">
        <v>1</v>
      </c>
      <c r="E11" s="662"/>
      <c r="F11" s="634"/>
      <c r="G11" s="687"/>
    </row>
    <row r="12" spans="1:7" x14ac:dyDescent="0.3">
      <c r="A12" s="663" t="s">
        <v>1859</v>
      </c>
      <c r="B12" s="636"/>
      <c r="C12" s="637"/>
      <c r="D12" s="636"/>
      <c r="E12" s="638"/>
      <c r="F12" s="628">
        <f>SUM(F5:F11)</f>
        <v>0</v>
      </c>
      <c r="G12" s="639"/>
    </row>
    <row r="13" spans="1:7" x14ac:dyDescent="0.3">
      <c r="A13" s="632">
        <v>8</v>
      </c>
      <c r="B13" s="647" t="s">
        <v>1860</v>
      </c>
      <c r="C13" s="648"/>
      <c r="D13" s="648"/>
      <c r="E13" s="649"/>
      <c r="F13" s="634">
        <f>PRODUCT(F12,0.3)</f>
        <v>0</v>
      </c>
      <c r="G13" s="687"/>
    </row>
    <row r="14" spans="1:7" x14ac:dyDescent="0.3">
      <c r="A14" s="663" t="s">
        <v>1923</v>
      </c>
      <c r="B14" s="636"/>
      <c r="C14" s="637"/>
      <c r="D14" s="636"/>
      <c r="E14" s="638"/>
      <c r="F14" s="628">
        <f>SUM(F12:F13)</f>
        <v>0</v>
      </c>
      <c r="G14" s="639"/>
    </row>
    <row r="15" spans="1:7" x14ac:dyDescent="0.3">
      <c r="A15" s="671"/>
      <c r="B15" s="671"/>
      <c r="C15" s="671"/>
      <c r="D15" s="671"/>
      <c r="E15" s="671"/>
      <c r="F15" s="671"/>
      <c r="G15" s="671"/>
    </row>
    <row r="16" spans="1:7" x14ac:dyDescent="0.3">
      <c r="A16" s="671"/>
      <c r="B16" s="671" t="s">
        <v>2112</v>
      </c>
      <c r="C16" s="671"/>
      <c r="D16" s="671"/>
      <c r="E16" s="671"/>
      <c r="F16" s="671"/>
      <c r="G16" s="671"/>
    </row>
    <row r="17" spans="1:7" x14ac:dyDescent="0.3">
      <c r="A17" s="671"/>
      <c r="B17" s="671"/>
      <c r="C17" s="671"/>
      <c r="D17" s="671"/>
      <c r="E17" s="671"/>
      <c r="F17" s="671"/>
      <c r="G17" s="671"/>
    </row>
    <row r="18" spans="1:7" x14ac:dyDescent="0.3">
      <c r="A18" s="671"/>
      <c r="B18" s="671" t="s">
        <v>2113</v>
      </c>
      <c r="C18" s="671"/>
      <c r="D18" s="671"/>
      <c r="E18" s="671"/>
      <c r="F18" s="671"/>
      <c r="G18" s="671"/>
    </row>
    <row r="19" spans="1:7" x14ac:dyDescent="0.3">
      <c r="A19" s="671"/>
      <c r="B19" s="671"/>
      <c r="C19" s="671"/>
      <c r="D19" s="671"/>
      <c r="E19" s="671"/>
      <c r="F19" s="671"/>
      <c r="G19" s="671"/>
    </row>
    <row r="20" spans="1:7" x14ac:dyDescent="0.3">
      <c r="A20" s="671"/>
      <c r="B20" s="671" t="s">
        <v>2114</v>
      </c>
      <c r="C20" s="671"/>
      <c r="D20" s="671"/>
      <c r="E20" s="671"/>
      <c r="F20" s="671"/>
      <c r="G20" s="671"/>
    </row>
  </sheetData>
  <printOptions horizontalCentered="1"/>
  <pageMargins left="0.70866141732283472" right="0.70866141732283472" top="0.74803149606299213" bottom="0.74803149606299213" header="0.31496062992125984" footer="0.31496062992125984"/>
  <pageSetup paperSize="9" orientation="portrait" r:id="rId1"/>
  <customProperties>
    <customPr name="QAA_DRILLPATH_NODE_I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669900"/>
  </sheetPr>
  <dimension ref="A2:G23"/>
  <sheetViews>
    <sheetView view="pageBreakPreview" topLeftCell="A12" zoomScale="115" zoomScaleNormal="100" zoomScaleSheetLayoutView="115" workbookViewId="0">
      <selection activeCell="A18" sqref="A18:G23"/>
    </sheetView>
  </sheetViews>
  <sheetFormatPr baseColWidth="10" defaultColWidth="8" defaultRowHeight="14" x14ac:dyDescent="0.3"/>
  <cols>
    <col min="1" max="1" width="3.08203125" style="625" customWidth="1"/>
    <col min="2" max="2" width="21.08203125" style="625" customWidth="1"/>
    <col min="3" max="4" width="8" style="625"/>
    <col min="5" max="5" width="8" style="625" customWidth="1"/>
    <col min="6" max="6" width="10.58203125" style="625" customWidth="1"/>
    <col min="7" max="7" width="27.4140625" style="625" customWidth="1"/>
    <col min="8" max="16384" width="8" style="625"/>
  </cols>
  <sheetData>
    <row r="2" spans="1:7" x14ac:dyDescent="0.3">
      <c r="A2" s="661" t="s">
        <v>2061</v>
      </c>
      <c r="B2" s="622"/>
      <c r="C2" s="622"/>
      <c r="D2" s="622"/>
      <c r="E2" s="622"/>
      <c r="F2" s="661"/>
      <c r="G2" s="623"/>
    </row>
    <row r="4" spans="1:7" x14ac:dyDescent="0.3">
      <c r="A4" s="626" t="s">
        <v>738</v>
      </c>
      <c r="B4" s="627" t="s">
        <v>1831</v>
      </c>
      <c r="C4" s="626" t="s">
        <v>75</v>
      </c>
      <c r="D4" s="626" t="s">
        <v>78</v>
      </c>
      <c r="E4" s="626" t="s">
        <v>736</v>
      </c>
      <c r="F4" s="628" t="s">
        <v>737</v>
      </c>
      <c r="G4" s="627" t="s">
        <v>1832</v>
      </c>
    </row>
    <row r="5" spans="1:7" x14ac:dyDescent="0.3">
      <c r="A5" s="632">
        <v>1</v>
      </c>
      <c r="B5" s="644" t="s">
        <v>2025</v>
      </c>
      <c r="C5" s="632" t="s">
        <v>428</v>
      </c>
      <c r="D5" s="697">
        <v>1</v>
      </c>
      <c r="E5" s="662"/>
      <c r="F5" s="634"/>
      <c r="G5" s="687"/>
    </row>
    <row r="6" spans="1:7" x14ac:dyDescent="0.3">
      <c r="A6" s="632">
        <v>2</v>
      </c>
      <c r="B6" s="644" t="s">
        <v>2007</v>
      </c>
      <c r="C6" s="632" t="s">
        <v>480</v>
      </c>
      <c r="D6" s="697">
        <v>1</v>
      </c>
      <c r="E6" s="662"/>
      <c r="F6" s="634"/>
      <c r="G6" s="687"/>
    </row>
    <row r="7" spans="1:7" x14ac:dyDescent="0.3">
      <c r="A7" s="632">
        <v>3</v>
      </c>
      <c r="B7" s="644" t="s">
        <v>1844</v>
      </c>
      <c r="C7" s="632" t="s">
        <v>1845</v>
      </c>
      <c r="D7" s="697">
        <v>5</v>
      </c>
      <c r="E7" s="662"/>
      <c r="F7" s="634"/>
      <c r="G7" s="687"/>
    </row>
    <row r="8" spans="1:7" x14ac:dyDescent="0.3">
      <c r="A8" s="632">
        <v>4</v>
      </c>
      <c r="B8" s="644" t="s">
        <v>2032</v>
      </c>
      <c r="C8" s="632" t="s">
        <v>480</v>
      </c>
      <c r="D8" s="697">
        <v>15</v>
      </c>
      <c r="E8" s="662"/>
      <c r="F8" s="634"/>
      <c r="G8" s="687"/>
    </row>
    <row r="9" spans="1:7" x14ac:dyDescent="0.3">
      <c r="A9" s="632">
        <v>5</v>
      </c>
      <c r="B9" s="644" t="s">
        <v>1849</v>
      </c>
      <c r="C9" s="632" t="s">
        <v>739</v>
      </c>
      <c r="D9" s="697">
        <v>1</v>
      </c>
      <c r="E9" s="662"/>
      <c r="F9" s="634"/>
      <c r="G9" s="687"/>
    </row>
    <row r="10" spans="1:7" ht="16.5" x14ac:dyDescent="0.3">
      <c r="A10" s="632">
        <v>6</v>
      </c>
      <c r="B10" s="644" t="s">
        <v>1850</v>
      </c>
      <c r="C10" s="695" t="s">
        <v>1914</v>
      </c>
      <c r="D10" s="697">
        <v>2</v>
      </c>
      <c r="E10" s="662"/>
      <c r="F10" s="634"/>
      <c r="G10" s="687"/>
    </row>
    <row r="11" spans="1:7" x14ac:dyDescent="0.3">
      <c r="A11" s="632">
        <v>7</v>
      </c>
      <c r="B11" s="644" t="s">
        <v>2062</v>
      </c>
      <c r="C11" s="632" t="s">
        <v>480</v>
      </c>
      <c r="D11" s="697">
        <v>1</v>
      </c>
      <c r="E11" s="662"/>
      <c r="F11" s="634"/>
      <c r="G11" s="687"/>
    </row>
    <row r="12" spans="1:7" x14ac:dyDescent="0.3">
      <c r="A12" s="632">
        <v>8</v>
      </c>
      <c r="B12" s="644" t="s">
        <v>2063</v>
      </c>
      <c r="C12" s="632" t="s">
        <v>480</v>
      </c>
      <c r="D12" s="697">
        <v>1</v>
      </c>
      <c r="E12" s="662"/>
      <c r="F12" s="634"/>
      <c r="G12" s="687"/>
    </row>
    <row r="13" spans="1:7" ht="16.5" x14ac:dyDescent="0.3">
      <c r="A13" s="632">
        <v>9</v>
      </c>
      <c r="B13" s="644" t="s">
        <v>1856</v>
      </c>
      <c r="C13" s="695" t="s">
        <v>1914</v>
      </c>
      <c r="D13" s="743">
        <v>1.5</v>
      </c>
      <c r="E13" s="662"/>
      <c r="F13" s="634"/>
      <c r="G13" s="687"/>
    </row>
    <row r="14" spans="1:7" x14ac:dyDescent="0.3">
      <c r="A14" s="632">
        <v>10</v>
      </c>
      <c r="B14" s="644" t="s">
        <v>2064</v>
      </c>
      <c r="C14" s="632" t="s">
        <v>480</v>
      </c>
      <c r="D14" s="743">
        <v>1.5</v>
      </c>
      <c r="E14" s="662"/>
      <c r="F14" s="634"/>
      <c r="G14" s="687" t="s">
        <v>2065</v>
      </c>
    </row>
    <row r="15" spans="1:7" x14ac:dyDescent="0.3">
      <c r="A15" s="663" t="s">
        <v>1859</v>
      </c>
      <c r="B15" s="637"/>
      <c r="C15" s="636"/>
      <c r="D15" s="638"/>
      <c r="E15" s="698"/>
      <c r="F15" s="628">
        <f>SUM(F5:F14)</f>
        <v>0</v>
      </c>
      <c r="G15" s="636"/>
    </row>
    <row r="16" spans="1:7" x14ac:dyDescent="0.3">
      <c r="A16" s="632">
        <v>11</v>
      </c>
      <c r="B16" s="647" t="s">
        <v>2055</v>
      </c>
      <c r="C16" s="648"/>
      <c r="D16" s="744"/>
      <c r="E16" s="649"/>
      <c r="F16" s="634">
        <f>F15*0.3</f>
        <v>0</v>
      </c>
      <c r="G16" s="687"/>
    </row>
    <row r="17" spans="1:7" x14ac:dyDescent="0.3">
      <c r="A17" s="663" t="s">
        <v>2066</v>
      </c>
      <c r="B17" s="637"/>
      <c r="C17" s="636"/>
      <c r="D17" s="638"/>
      <c r="E17" s="698"/>
      <c r="F17" s="628">
        <f>SUM(F15:F16)</f>
        <v>0</v>
      </c>
      <c r="G17" s="636"/>
    </row>
    <row r="18" spans="1:7" x14ac:dyDescent="0.3">
      <c r="A18" s="671"/>
      <c r="B18" s="671"/>
      <c r="C18" s="671"/>
      <c r="D18" s="671"/>
      <c r="E18" s="671"/>
      <c r="F18" s="671"/>
      <c r="G18" s="671"/>
    </row>
    <row r="19" spans="1:7" x14ac:dyDescent="0.3">
      <c r="A19" s="671"/>
      <c r="B19" s="671" t="s">
        <v>2112</v>
      </c>
      <c r="C19" s="671"/>
      <c r="D19" s="671"/>
      <c r="E19" s="671"/>
      <c r="F19" s="671"/>
      <c r="G19" s="671"/>
    </row>
    <row r="20" spans="1:7" x14ac:dyDescent="0.3">
      <c r="A20" s="671"/>
      <c r="B20" s="671"/>
      <c r="C20" s="671"/>
      <c r="D20" s="671"/>
      <c r="E20" s="671"/>
      <c r="F20" s="671"/>
      <c r="G20" s="671"/>
    </row>
    <row r="21" spans="1:7" x14ac:dyDescent="0.3">
      <c r="A21" s="671"/>
      <c r="B21" s="671" t="s">
        <v>2113</v>
      </c>
      <c r="C21" s="671"/>
      <c r="D21" s="671"/>
      <c r="E21" s="671"/>
      <c r="F21" s="671"/>
      <c r="G21" s="671"/>
    </row>
    <row r="22" spans="1:7" x14ac:dyDescent="0.3">
      <c r="A22" s="671"/>
      <c r="B22" s="671"/>
      <c r="C22" s="671"/>
      <c r="D22" s="671"/>
      <c r="E22" s="671"/>
      <c r="F22" s="671"/>
      <c r="G22" s="671"/>
    </row>
    <row r="23" spans="1:7" x14ac:dyDescent="0.3">
      <c r="A23" s="671"/>
      <c r="B23" s="671" t="s">
        <v>2114</v>
      </c>
      <c r="C23" s="671"/>
      <c r="D23" s="671"/>
      <c r="E23" s="671"/>
      <c r="F23" s="671"/>
      <c r="G23" s="671"/>
    </row>
  </sheetData>
  <printOptions horizontalCentered="1"/>
  <pageMargins left="0.70866141732283472" right="0.70866141732283472" top="0.74803149606299213" bottom="0.74803149606299213" header="0.31496062992125984" footer="0.31496062992125984"/>
  <pageSetup paperSize="9" scale="92" orientation="portrait" r:id="rId1"/>
  <customProperties>
    <customPr name="QAA_DRILLPATH_NODE_I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4" tint="0.59999389629810485"/>
  </sheetPr>
  <dimension ref="A2:K23"/>
  <sheetViews>
    <sheetView view="pageBreakPreview" topLeftCell="A7" zoomScale="115" zoomScaleNormal="100" zoomScaleSheetLayoutView="115" workbookViewId="0">
      <selection activeCell="A18" sqref="A18:G23"/>
    </sheetView>
  </sheetViews>
  <sheetFormatPr baseColWidth="10" defaultColWidth="8" defaultRowHeight="14" x14ac:dyDescent="0.3"/>
  <cols>
    <col min="1" max="1" width="3.1640625" style="773" customWidth="1"/>
    <col min="2" max="2" width="23.33203125" style="773" bestFit="1" customWidth="1"/>
    <col min="3" max="5" width="8" style="773"/>
    <col min="6" max="6" width="11" style="773" customWidth="1"/>
    <col min="7" max="7" width="50.6640625" style="773" bestFit="1" customWidth="1"/>
    <col min="8" max="16384" width="8" style="773"/>
  </cols>
  <sheetData>
    <row r="2" spans="1:11" x14ac:dyDescent="0.3">
      <c r="A2" s="661" t="s">
        <v>2107</v>
      </c>
      <c r="B2" s="622"/>
      <c r="C2" s="622"/>
      <c r="D2" s="622"/>
      <c r="E2" s="622"/>
      <c r="F2" s="661"/>
      <c r="G2" s="623"/>
    </row>
    <row r="4" spans="1:11" x14ac:dyDescent="0.3">
      <c r="A4" s="626" t="s">
        <v>738</v>
      </c>
      <c r="B4" s="627" t="s">
        <v>1831</v>
      </c>
      <c r="C4" s="626" t="s">
        <v>75</v>
      </c>
      <c r="D4" s="626" t="s">
        <v>78</v>
      </c>
      <c r="E4" s="626" t="s">
        <v>736</v>
      </c>
      <c r="F4" s="628" t="s">
        <v>737</v>
      </c>
      <c r="G4" s="627" t="s">
        <v>1832</v>
      </c>
    </row>
    <row r="5" spans="1:11" x14ac:dyDescent="0.3">
      <c r="A5" s="774">
        <v>1</v>
      </c>
      <c r="B5" s="775" t="s">
        <v>1911</v>
      </c>
      <c r="C5" s="765" t="s">
        <v>480</v>
      </c>
      <c r="D5" s="776">
        <v>160</v>
      </c>
      <c r="E5" s="766"/>
      <c r="F5" s="767"/>
      <c r="G5" s="687"/>
    </row>
    <row r="6" spans="1:11" ht="16.5" x14ac:dyDescent="0.3">
      <c r="A6" s="774">
        <v>2</v>
      </c>
      <c r="B6" s="777" t="s">
        <v>1841</v>
      </c>
      <c r="C6" s="774" t="s">
        <v>1842</v>
      </c>
      <c r="D6" s="778">
        <v>7</v>
      </c>
      <c r="E6" s="779"/>
      <c r="F6" s="767"/>
      <c r="G6" s="780" t="s">
        <v>2108</v>
      </c>
      <c r="K6" s="773">
        <f>0.07*1*5</f>
        <v>0.35000000000000003</v>
      </c>
    </row>
    <row r="7" spans="1:11" ht="16.5" x14ac:dyDescent="0.3">
      <c r="A7" s="774">
        <v>3</v>
      </c>
      <c r="B7" s="777" t="s">
        <v>2109</v>
      </c>
      <c r="C7" s="774" t="s">
        <v>1842</v>
      </c>
      <c r="D7" s="778">
        <v>2</v>
      </c>
      <c r="E7" s="779"/>
      <c r="F7" s="767"/>
      <c r="G7" s="780" t="s">
        <v>2110</v>
      </c>
      <c r="K7" s="773">
        <f>K6*7</f>
        <v>2.4500000000000002</v>
      </c>
    </row>
    <row r="8" spans="1:11" ht="16.5" x14ac:dyDescent="0.3">
      <c r="A8" s="774">
        <v>4</v>
      </c>
      <c r="B8" s="777" t="s">
        <v>1888</v>
      </c>
      <c r="C8" s="774" t="s">
        <v>480</v>
      </c>
      <c r="D8" s="778">
        <v>2</v>
      </c>
      <c r="E8" s="779"/>
      <c r="F8" s="767"/>
      <c r="G8" s="780" t="s">
        <v>1907</v>
      </c>
    </row>
    <row r="9" spans="1:11" x14ac:dyDescent="0.3">
      <c r="A9" s="774">
        <v>5</v>
      </c>
      <c r="B9" s="777" t="s">
        <v>1844</v>
      </c>
      <c r="C9" s="774" t="s">
        <v>1845</v>
      </c>
      <c r="D9" s="778">
        <v>5</v>
      </c>
      <c r="E9" s="779"/>
      <c r="F9" s="767"/>
      <c r="G9" s="780" t="s">
        <v>2111</v>
      </c>
    </row>
    <row r="10" spans="1:11" x14ac:dyDescent="0.3">
      <c r="A10" s="774">
        <v>6</v>
      </c>
      <c r="B10" s="777" t="s">
        <v>1846</v>
      </c>
      <c r="C10" s="774" t="s">
        <v>1847</v>
      </c>
      <c r="D10" s="778">
        <v>2</v>
      </c>
      <c r="E10" s="779"/>
      <c r="F10" s="767"/>
      <c r="G10" s="780"/>
    </row>
    <row r="11" spans="1:11" x14ac:dyDescent="0.3">
      <c r="A11" s="774">
        <v>7</v>
      </c>
      <c r="B11" s="777" t="s">
        <v>1848</v>
      </c>
      <c r="C11" s="774" t="s">
        <v>480</v>
      </c>
      <c r="D11" s="778">
        <v>3</v>
      </c>
      <c r="E11" s="779"/>
      <c r="F11" s="767"/>
      <c r="G11" s="780"/>
    </row>
    <row r="12" spans="1:11" ht="16.5" x14ac:dyDescent="0.3">
      <c r="A12" s="774">
        <v>8</v>
      </c>
      <c r="B12" s="777" t="s">
        <v>1850</v>
      </c>
      <c r="C12" s="774" t="s">
        <v>1868</v>
      </c>
      <c r="D12" s="781">
        <v>0.5</v>
      </c>
      <c r="E12" s="779"/>
      <c r="F12" s="767"/>
      <c r="G12" s="780"/>
    </row>
    <row r="13" spans="1:11" x14ac:dyDescent="0.3">
      <c r="A13" s="774">
        <v>9</v>
      </c>
      <c r="B13" s="777" t="s">
        <v>1890</v>
      </c>
      <c r="C13" s="774" t="s">
        <v>480</v>
      </c>
      <c r="D13" s="778">
        <v>2</v>
      </c>
      <c r="E13" s="779"/>
      <c r="F13" s="767"/>
      <c r="G13" s="780"/>
    </row>
    <row r="14" spans="1:11" ht="16.5" x14ac:dyDescent="0.3">
      <c r="A14" s="774">
        <v>10</v>
      </c>
      <c r="B14" s="775" t="s">
        <v>1856</v>
      </c>
      <c r="C14" s="765" t="s">
        <v>1868</v>
      </c>
      <c r="D14" s="776">
        <v>3</v>
      </c>
      <c r="E14" s="766"/>
      <c r="F14" s="767"/>
      <c r="G14" s="687"/>
    </row>
    <row r="15" spans="1:11" x14ac:dyDescent="0.3">
      <c r="A15" s="663" t="s">
        <v>1939</v>
      </c>
      <c r="B15" s="637"/>
      <c r="C15" s="636"/>
      <c r="D15" s="638"/>
      <c r="E15" s="698"/>
      <c r="F15" s="628">
        <f>SUM(F5:F14)</f>
        <v>0</v>
      </c>
      <c r="G15" s="636"/>
    </row>
    <row r="16" spans="1:11" x14ac:dyDescent="0.3">
      <c r="A16" s="765">
        <v>9</v>
      </c>
      <c r="B16" s="782" t="s">
        <v>2055</v>
      </c>
      <c r="C16" s="783"/>
      <c r="D16" s="784"/>
      <c r="E16" s="785"/>
      <c r="F16" s="767">
        <f>PRODUCT(F15,0.3)</f>
        <v>0</v>
      </c>
      <c r="G16" s="687"/>
    </row>
    <row r="17" spans="1:7" x14ac:dyDescent="0.3">
      <c r="A17" s="663" t="s">
        <v>1947</v>
      </c>
      <c r="B17" s="637"/>
      <c r="C17" s="636"/>
      <c r="D17" s="638"/>
      <c r="E17" s="698"/>
      <c r="F17" s="628">
        <f>SUM(F15:F16)</f>
        <v>0</v>
      </c>
      <c r="G17" s="636"/>
    </row>
    <row r="18" spans="1:7" x14ac:dyDescent="0.3">
      <c r="A18" s="671"/>
      <c r="B18" s="671"/>
      <c r="C18" s="671"/>
      <c r="D18" s="671"/>
      <c r="E18" s="671"/>
      <c r="F18" s="671"/>
      <c r="G18" s="671"/>
    </row>
    <row r="19" spans="1:7" x14ac:dyDescent="0.3">
      <c r="A19" s="671"/>
      <c r="B19" s="671" t="s">
        <v>2112</v>
      </c>
      <c r="C19" s="671"/>
      <c r="D19" s="671"/>
      <c r="E19" s="671"/>
      <c r="F19" s="671"/>
      <c r="G19" s="671"/>
    </row>
    <row r="20" spans="1:7" x14ac:dyDescent="0.3">
      <c r="A20" s="671"/>
      <c r="B20" s="671"/>
      <c r="C20" s="671"/>
      <c r="D20" s="671"/>
      <c r="E20" s="671"/>
      <c r="F20" s="671"/>
      <c r="G20" s="671"/>
    </row>
    <row r="21" spans="1:7" x14ac:dyDescent="0.3">
      <c r="A21" s="671"/>
      <c r="B21" s="671" t="s">
        <v>2113</v>
      </c>
      <c r="C21" s="671"/>
      <c r="D21" s="671"/>
      <c r="E21" s="671"/>
      <c r="F21" s="671"/>
      <c r="G21" s="671"/>
    </row>
    <row r="22" spans="1:7" x14ac:dyDescent="0.3">
      <c r="A22" s="671"/>
      <c r="B22" s="671"/>
      <c r="C22" s="671"/>
      <c r="D22" s="671"/>
      <c r="E22" s="671"/>
      <c r="F22" s="671"/>
      <c r="G22" s="671"/>
    </row>
    <row r="23" spans="1:7" x14ac:dyDescent="0.3">
      <c r="A23" s="671"/>
      <c r="B23" s="671" t="s">
        <v>2114</v>
      </c>
      <c r="C23" s="671"/>
      <c r="D23" s="671"/>
      <c r="E23" s="671"/>
      <c r="F23" s="671"/>
      <c r="G23" s="671"/>
    </row>
  </sheetData>
  <printOptions horizontalCentered="1"/>
  <pageMargins left="0.70866141732283472" right="0.70866141732283472" top="0.74803149606299213" bottom="0.74803149606299213" header="0.31496062992125984" footer="0.31496062992125984"/>
  <pageSetup paperSize="9" scale="71" orientation="portrait" r:id="rId1"/>
  <customProperties>
    <customPr name="QAA_DRILLPATH_NODE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33CC"/>
    <pageSetUpPr fitToPage="1"/>
  </sheetPr>
  <dimension ref="A1:R125"/>
  <sheetViews>
    <sheetView view="pageBreakPreview" topLeftCell="A31" zoomScale="71" zoomScaleNormal="55" zoomScaleSheetLayoutView="71" workbookViewId="0">
      <selection activeCell="B23" sqref="B23"/>
    </sheetView>
  </sheetViews>
  <sheetFormatPr baseColWidth="10" defaultColWidth="8.58203125" defaultRowHeight="15.5" x14ac:dyDescent="0.35"/>
  <cols>
    <col min="1" max="1" width="5.08203125" customWidth="1"/>
    <col min="2" max="2" width="77.58203125" customWidth="1"/>
    <col min="3" max="3" width="11.5" customWidth="1"/>
    <col min="4" max="4" width="10" customWidth="1"/>
    <col min="5" max="5" width="8.5" customWidth="1"/>
    <col min="6" max="6" width="10.58203125" customWidth="1"/>
    <col min="7" max="7" width="13.58203125" customWidth="1"/>
    <col min="8" max="8" width="13.08203125" customWidth="1"/>
    <col min="9" max="11" width="14.08203125" customWidth="1"/>
    <col min="12" max="12" width="1.08203125" customWidth="1"/>
    <col min="13" max="13" width="17.58203125" customWidth="1"/>
    <col min="14" max="14" width="11.58203125" customWidth="1"/>
    <col min="15" max="15" width="18.58203125" customWidth="1"/>
    <col min="16" max="16" width="18.08203125" customWidth="1"/>
    <col min="17" max="17" width="4.58203125" customWidth="1"/>
    <col min="18" max="18" width="8.58203125" customWidth="1"/>
  </cols>
  <sheetData>
    <row r="1" spans="1:18" ht="27" customHeight="1" x14ac:dyDescent="0.35">
      <c r="A1" s="19"/>
      <c r="B1" s="48" t="s">
        <v>34</v>
      </c>
      <c r="C1" s="1"/>
      <c r="D1" s="1"/>
      <c r="E1" s="47"/>
      <c r="F1" s="47"/>
      <c r="G1" s="42"/>
      <c r="H1" s="1"/>
      <c r="I1" s="1"/>
      <c r="J1" s="1"/>
      <c r="K1" s="1"/>
      <c r="L1" s="1"/>
      <c r="M1" s="1"/>
      <c r="N1" s="1"/>
      <c r="O1" s="1"/>
      <c r="P1" s="1"/>
      <c r="Q1" s="1"/>
      <c r="R1" s="1"/>
    </row>
    <row r="2" spans="1:18" ht="27" customHeight="1" x14ac:dyDescent="0.35">
      <c r="A2" s="19"/>
      <c r="B2" s="79" t="s">
        <v>35</v>
      </c>
      <c r="C2" s="18"/>
      <c r="D2" s="18"/>
      <c r="E2" s="81"/>
      <c r="F2" s="81"/>
      <c r="G2" s="82"/>
      <c r="H2" s="18"/>
      <c r="I2" s="18"/>
      <c r="J2" s="18"/>
      <c r="K2" s="18"/>
      <c r="L2" s="18"/>
      <c r="M2" s="18"/>
      <c r="N2" s="18"/>
      <c r="O2" s="18"/>
      <c r="P2" s="18"/>
      <c r="Q2" s="18"/>
      <c r="R2" s="18"/>
    </row>
    <row r="3" spans="1:18" ht="23.25" customHeight="1" x14ac:dyDescent="0.35">
      <c r="A3" s="19"/>
      <c r="B3" s="78" t="s">
        <v>36</v>
      </c>
      <c r="C3" s="1"/>
      <c r="D3" s="1"/>
      <c r="E3" s="47"/>
      <c r="F3" s="47"/>
      <c r="G3" s="42"/>
      <c r="H3" s="1"/>
      <c r="I3" s="1"/>
      <c r="J3" s="1"/>
      <c r="K3" s="1"/>
      <c r="L3" s="1"/>
      <c r="M3" s="1"/>
      <c r="N3" s="1"/>
      <c r="O3" s="1"/>
      <c r="P3" s="1"/>
      <c r="Q3" s="1"/>
      <c r="R3" s="1"/>
    </row>
    <row r="4" spans="1:18" x14ac:dyDescent="0.35">
      <c r="A4" s="50"/>
      <c r="B4" s="48"/>
      <c r="C4" s="51"/>
      <c r="D4" s="1"/>
      <c r="E4" s="52"/>
      <c r="F4" s="52"/>
      <c r="G4" s="42"/>
      <c r="H4" s="1"/>
      <c r="I4" s="1"/>
      <c r="J4" s="1"/>
      <c r="K4" s="1"/>
      <c r="L4" s="1"/>
      <c r="M4" s="839"/>
      <c r="N4" s="839"/>
      <c r="O4" s="839"/>
      <c r="P4" s="839"/>
      <c r="Q4" s="1"/>
      <c r="R4" s="1"/>
    </row>
    <row r="5" spans="1:18" x14ac:dyDescent="0.35">
      <c r="A5" s="19"/>
      <c r="B5" s="45"/>
      <c r="C5" s="840" t="s">
        <v>37</v>
      </c>
      <c r="D5" s="840"/>
      <c r="E5" s="840"/>
      <c r="F5" s="840"/>
      <c r="G5" s="840"/>
      <c r="H5" s="840"/>
      <c r="I5" s="840"/>
      <c r="J5" s="840"/>
      <c r="K5" s="840"/>
      <c r="L5" s="53"/>
      <c r="M5" s="839"/>
      <c r="N5" s="839"/>
      <c r="O5" s="839"/>
      <c r="P5" s="839"/>
      <c r="Q5" s="1"/>
      <c r="R5" s="1"/>
    </row>
    <row r="6" spans="1:18" x14ac:dyDescent="0.35">
      <c r="A6" s="19"/>
      <c r="B6" s="45"/>
      <c r="C6" s="837" t="s">
        <v>38</v>
      </c>
      <c r="D6" s="837"/>
      <c r="E6" s="837"/>
      <c r="F6" s="837"/>
      <c r="G6" s="836" t="s">
        <v>39</v>
      </c>
      <c r="H6" s="836"/>
      <c r="I6" s="836"/>
      <c r="J6" s="836"/>
      <c r="K6" s="836"/>
      <c r="L6" s="1"/>
      <c r="M6" s="839"/>
      <c r="N6" s="839"/>
      <c r="O6" s="839"/>
      <c r="P6" s="839"/>
      <c r="Q6" s="1"/>
      <c r="R6" s="1"/>
    </row>
    <row r="7" spans="1:18" x14ac:dyDescent="0.35">
      <c r="A7" s="19"/>
      <c r="B7" s="45"/>
      <c r="C7" s="837" t="s">
        <v>40</v>
      </c>
      <c r="D7" s="837"/>
      <c r="E7" s="837"/>
      <c r="F7" s="837"/>
      <c r="G7" s="838" t="s">
        <v>41</v>
      </c>
      <c r="H7" s="838"/>
      <c r="I7" s="838"/>
      <c r="J7" s="838"/>
      <c r="K7" s="838"/>
      <c r="L7" s="1"/>
      <c r="M7" s="839"/>
      <c r="N7" s="839"/>
      <c r="O7" s="839"/>
      <c r="P7" s="839"/>
      <c r="Q7" s="1"/>
      <c r="R7" s="1"/>
    </row>
    <row r="8" spans="1:18" x14ac:dyDescent="0.35">
      <c r="A8" s="19"/>
      <c r="B8" s="45"/>
      <c r="C8" s="46"/>
      <c r="D8" s="1"/>
      <c r="E8" s="35"/>
      <c r="F8" s="1"/>
      <c r="G8" s="42"/>
      <c r="H8" s="1"/>
      <c r="I8" s="1"/>
      <c r="J8" s="1"/>
      <c r="K8" s="1"/>
      <c r="L8" s="1"/>
      <c r="M8" s="839"/>
      <c r="N8" s="839"/>
      <c r="O8" s="839"/>
      <c r="P8" s="839"/>
      <c r="Q8" s="1"/>
      <c r="R8" s="1"/>
    </row>
    <row r="9" spans="1:18" x14ac:dyDescent="0.35">
      <c r="A9" s="19"/>
      <c r="B9" s="45"/>
      <c r="C9" s="1"/>
      <c r="D9" s="44"/>
      <c r="E9" s="35"/>
      <c r="F9" s="35"/>
      <c r="G9" s="42"/>
      <c r="H9" s="1"/>
      <c r="I9" s="1"/>
      <c r="J9" s="1"/>
      <c r="K9" s="1"/>
      <c r="L9" s="1"/>
      <c r="M9" s="1"/>
      <c r="N9" s="1"/>
      <c r="O9" s="1"/>
      <c r="P9" s="1"/>
      <c r="Q9" s="1"/>
      <c r="R9" s="1"/>
    </row>
    <row r="10" spans="1:18" x14ac:dyDescent="0.35">
      <c r="A10" s="19"/>
      <c r="B10" s="37" t="s">
        <v>42</v>
      </c>
      <c r="C10" s="36" t="s">
        <v>43</v>
      </c>
      <c r="D10" s="36"/>
      <c r="E10" s="35"/>
      <c r="F10" s="35"/>
      <c r="G10" s="1"/>
      <c r="H10" s="833" t="s">
        <v>44</v>
      </c>
      <c r="I10" s="834"/>
      <c r="J10" s="834"/>
      <c r="K10" s="835"/>
      <c r="L10" s="1"/>
      <c r="M10" s="3"/>
      <c r="N10" s="3"/>
      <c r="O10" s="3"/>
      <c r="P10" s="3"/>
      <c r="Q10" s="1"/>
      <c r="R10" s="1"/>
    </row>
    <row r="11" spans="1:18" x14ac:dyDescent="0.35">
      <c r="A11" s="19"/>
      <c r="B11" s="37" t="s">
        <v>45</v>
      </c>
      <c r="C11" s="36" t="s">
        <v>46</v>
      </c>
      <c r="D11" s="36"/>
      <c r="E11" s="35"/>
      <c r="F11" s="35"/>
      <c r="G11" s="1"/>
      <c r="H11" s="42" t="s">
        <v>47</v>
      </c>
      <c r="I11" s="1"/>
      <c r="J11" s="43"/>
      <c r="K11" s="4" t="e">
        <f>H75+H112+H118+H123</f>
        <v>#REF!</v>
      </c>
      <c r="L11" s="1"/>
      <c r="M11" s="3"/>
      <c r="N11" s="3"/>
      <c r="O11" s="3"/>
      <c r="P11" s="3"/>
      <c r="Q11" s="1"/>
      <c r="R11" s="1"/>
    </row>
    <row r="12" spans="1:18" x14ac:dyDescent="0.35">
      <c r="A12" s="19"/>
      <c r="B12" s="41"/>
      <c r="C12" s="36"/>
      <c r="D12" s="36"/>
      <c r="E12" s="38"/>
      <c r="F12" s="35"/>
      <c r="G12" s="1"/>
      <c r="H12" s="37" t="s">
        <v>48</v>
      </c>
      <c r="I12" s="38"/>
      <c r="J12" s="1"/>
      <c r="K12" s="421" t="e">
        <f>I75+I112+I118</f>
        <v>#REF!</v>
      </c>
      <c r="L12" s="1"/>
      <c r="M12" s="5"/>
      <c r="N12" s="5"/>
      <c r="O12" s="5"/>
      <c r="P12" s="5"/>
      <c r="Q12" s="1"/>
      <c r="R12" s="1"/>
    </row>
    <row r="13" spans="1:18" x14ac:dyDescent="0.35">
      <c r="A13" s="19"/>
      <c r="B13" s="41"/>
      <c r="C13" s="36"/>
      <c r="D13" s="36"/>
      <c r="E13" s="38"/>
      <c r="F13" s="35"/>
      <c r="G13" s="1"/>
      <c r="H13" s="37" t="s">
        <v>49</v>
      </c>
      <c r="I13" s="38"/>
      <c r="J13" s="1"/>
      <c r="K13" s="421" t="e">
        <f>J75+J112+J118+J123</f>
        <v>#REF!</v>
      </c>
      <c r="L13" s="1"/>
      <c r="M13" s="808" t="s">
        <v>50</v>
      </c>
      <c r="N13" s="809"/>
      <c r="O13" s="809"/>
      <c r="P13" s="810"/>
      <c r="Q13" s="1"/>
      <c r="R13" s="1"/>
    </row>
    <row r="14" spans="1:18" ht="30" x14ac:dyDescent="0.35">
      <c r="A14" s="19"/>
      <c r="B14" s="41"/>
      <c r="C14" s="36"/>
      <c r="D14" s="36"/>
      <c r="E14" s="35"/>
      <c r="F14" s="35"/>
      <c r="G14" s="1"/>
      <c r="H14" s="58"/>
      <c r="I14" s="40"/>
      <c r="J14" s="107" t="s">
        <v>51</v>
      </c>
      <c r="K14" s="6" t="e">
        <f>K12/K11</f>
        <v>#REF!</v>
      </c>
      <c r="L14" s="7"/>
      <c r="M14" s="422" t="s">
        <v>52</v>
      </c>
      <c r="N14" s="422" t="s">
        <v>53</v>
      </c>
      <c r="O14" s="422" t="s">
        <v>54</v>
      </c>
      <c r="P14" s="422" t="s">
        <v>55</v>
      </c>
      <c r="Q14" s="1"/>
      <c r="R14" s="1"/>
    </row>
    <row r="15" spans="1:18" ht="27" customHeight="1" x14ac:dyDescent="0.35">
      <c r="A15" s="19"/>
      <c r="B15" s="41" t="s">
        <v>56</v>
      </c>
      <c r="C15" s="36" t="s">
        <v>57</v>
      </c>
      <c r="D15" s="36"/>
      <c r="E15" s="35"/>
      <c r="F15" s="35"/>
      <c r="G15" s="1"/>
      <c r="H15" s="37" t="s">
        <v>58</v>
      </c>
      <c r="I15" s="38"/>
      <c r="J15" s="1"/>
      <c r="K15" s="421" t="e">
        <f>K75+K112+K118+K123</f>
        <v>#REF!</v>
      </c>
      <c r="L15" s="1"/>
      <c r="M15" s="423">
        <v>42063</v>
      </c>
      <c r="N15" s="423">
        <v>41787</v>
      </c>
      <c r="O15" s="423">
        <v>42305</v>
      </c>
      <c r="P15" s="423">
        <v>42671</v>
      </c>
      <c r="Q15" s="1"/>
      <c r="R15" s="1"/>
    </row>
    <row r="16" spans="1:18" x14ac:dyDescent="0.35">
      <c r="A16" s="19"/>
      <c r="B16" s="37" t="s">
        <v>59</v>
      </c>
      <c r="C16" s="55" t="e">
        <f>#REF!*7</f>
        <v>#REF!</v>
      </c>
      <c r="D16" s="36"/>
      <c r="E16" s="35"/>
      <c r="F16" s="35"/>
      <c r="G16" s="1"/>
      <c r="H16" s="37" t="s">
        <v>60</v>
      </c>
      <c r="I16" s="38"/>
      <c r="J16" s="1"/>
      <c r="K16" s="421">
        <f>K123</f>
        <v>0</v>
      </c>
      <c r="L16" s="1"/>
      <c r="M16" s="424">
        <f>M123</f>
        <v>0</v>
      </c>
      <c r="N16" s="424">
        <f>N123</f>
        <v>0</v>
      </c>
      <c r="O16" s="424">
        <f>O123</f>
        <v>0</v>
      </c>
      <c r="P16" s="424">
        <f>P123</f>
        <v>0</v>
      </c>
      <c r="Q16" s="1"/>
      <c r="R16" s="1"/>
    </row>
    <row r="17" spans="1:18" x14ac:dyDescent="0.35">
      <c r="A17" s="19"/>
      <c r="B17" s="1" t="s">
        <v>61</v>
      </c>
      <c r="C17" s="55" t="e">
        <f>C16*0.8</f>
        <v>#REF!</v>
      </c>
      <c r="D17" s="36"/>
      <c r="E17" s="35"/>
      <c r="F17" s="35"/>
      <c r="G17" s="1"/>
      <c r="H17" s="37" t="s">
        <v>62</v>
      </c>
      <c r="I17" s="1"/>
      <c r="J17" s="1"/>
      <c r="K17" s="421" t="e">
        <f>K75+K112+K118</f>
        <v>#REF!</v>
      </c>
      <c r="L17" s="1"/>
      <c r="M17" s="424" t="e">
        <f>M118+M112+M75</f>
        <v>#REF!</v>
      </c>
      <c r="N17" s="424" t="e">
        <f>N118+N112+N75</f>
        <v>#REF!</v>
      </c>
      <c r="O17" s="424" t="e">
        <f>O118+O112+O75</f>
        <v>#REF!</v>
      </c>
      <c r="P17" s="424" t="e">
        <f>P118+P112+P75</f>
        <v>#REF!</v>
      </c>
      <c r="Q17" s="1"/>
      <c r="R17" s="1"/>
    </row>
    <row r="18" spans="1:18" x14ac:dyDescent="0.35">
      <c r="A18" s="19"/>
      <c r="B18" s="74" t="s">
        <v>63</v>
      </c>
      <c r="C18" s="75" t="e">
        <f>$K$11/C16</f>
        <v>#REF!</v>
      </c>
      <c r="D18" s="36"/>
      <c r="E18" s="35"/>
      <c r="F18" s="35"/>
      <c r="G18" s="1"/>
      <c r="H18" s="34"/>
      <c r="I18" s="34"/>
      <c r="J18" s="33" t="s">
        <v>64</v>
      </c>
      <c r="K18" s="32" t="e">
        <f>K75</f>
        <v>#REF!</v>
      </c>
      <c r="L18" s="1"/>
      <c r="M18" s="7"/>
      <c r="N18" s="7"/>
      <c r="O18" s="7"/>
      <c r="P18" s="7"/>
      <c r="Q18" s="1"/>
      <c r="R18" s="1"/>
    </row>
    <row r="19" spans="1:18" x14ac:dyDescent="0.35">
      <c r="A19" s="19"/>
      <c r="B19" s="76" t="s">
        <v>65</v>
      </c>
      <c r="C19" s="75" t="e">
        <f>$K$11/C17</f>
        <v>#REF!</v>
      </c>
      <c r="D19" s="36"/>
      <c r="E19" s="35"/>
      <c r="F19" s="38"/>
      <c r="G19" s="1"/>
      <c r="H19" s="34"/>
      <c r="I19" s="34"/>
      <c r="J19" s="33" t="s">
        <v>66</v>
      </c>
      <c r="K19" s="32" t="e">
        <f>K112</f>
        <v>#REF!</v>
      </c>
      <c r="L19" s="1"/>
      <c r="M19" s="7"/>
      <c r="N19" s="7"/>
      <c r="O19" s="7"/>
      <c r="P19" s="7"/>
      <c r="Q19" s="1"/>
      <c r="R19" s="1"/>
    </row>
    <row r="20" spans="1:18" x14ac:dyDescent="0.35">
      <c r="A20" s="19"/>
      <c r="B20" s="1"/>
      <c r="C20" s="1"/>
      <c r="D20" s="36"/>
      <c r="E20" s="35"/>
      <c r="F20" s="38"/>
      <c r="G20" s="1"/>
      <c r="H20" s="34"/>
      <c r="I20" s="34"/>
      <c r="J20" s="77" t="s">
        <v>67</v>
      </c>
      <c r="K20" s="83" t="e">
        <f>K112/(K75+K112+K123)</f>
        <v>#REF!</v>
      </c>
      <c r="L20" s="1"/>
      <c r="M20" s="7"/>
      <c r="N20" s="7"/>
      <c r="O20" s="7"/>
      <c r="P20" s="7"/>
      <c r="Q20" s="1"/>
      <c r="R20" s="1"/>
    </row>
    <row r="21" spans="1:18" x14ac:dyDescent="0.35">
      <c r="A21" s="19"/>
      <c r="B21" s="41" t="s">
        <v>68</v>
      </c>
      <c r="C21" s="36">
        <v>1</v>
      </c>
      <c r="D21" s="36"/>
      <c r="E21" s="38"/>
      <c r="F21" s="38"/>
      <c r="G21" s="1"/>
      <c r="H21" s="34"/>
      <c r="I21" s="34"/>
      <c r="J21" s="33" t="s">
        <v>69</v>
      </c>
      <c r="K21" s="32">
        <f>K118</f>
        <v>0</v>
      </c>
      <c r="L21" s="1"/>
      <c r="M21" s="7"/>
      <c r="N21" s="7"/>
      <c r="O21" s="7"/>
      <c r="P21" s="7"/>
      <c r="Q21" s="1"/>
      <c r="R21" s="1"/>
    </row>
    <row r="22" spans="1:18" x14ac:dyDescent="0.35">
      <c r="A22" s="19"/>
      <c r="B22" s="41" t="s">
        <v>70</v>
      </c>
      <c r="C22" s="102">
        <v>41985</v>
      </c>
      <c r="D22" s="36"/>
      <c r="E22" s="38"/>
      <c r="F22" s="38"/>
      <c r="G22" s="1"/>
      <c r="H22" s="34"/>
      <c r="I22" s="34"/>
      <c r="J22" s="33"/>
      <c r="K22" s="32"/>
      <c r="L22" s="1"/>
      <c r="M22" s="7"/>
      <c r="N22" s="7"/>
      <c r="O22" s="7"/>
      <c r="P22" s="7"/>
      <c r="Q22" s="1"/>
      <c r="R22" s="1"/>
    </row>
    <row r="23" spans="1:18" x14ac:dyDescent="0.35">
      <c r="A23" s="19"/>
      <c r="B23" s="54"/>
      <c r="C23" s="56"/>
      <c r="D23" s="51"/>
      <c r="E23" s="35"/>
      <c r="F23" s="35"/>
      <c r="G23" s="42"/>
      <c r="H23" s="38"/>
      <c r="I23" s="1"/>
      <c r="J23" s="1"/>
      <c r="K23" s="1"/>
      <c r="L23" s="1"/>
      <c r="M23" s="1"/>
      <c r="N23" s="1"/>
      <c r="O23" s="1"/>
      <c r="P23" s="1"/>
      <c r="Q23" s="1"/>
      <c r="R23" s="1"/>
    </row>
    <row r="24" spans="1:18" ht="18" customHeight="1" x14ac:dyDescent="0.35">
      <c r="A24" s="31"/>
      <c r="B24" s="805" t="s">
        <v>71</v>
      </c>
      <c r="C24" s="806"/>
      <c r="D24" s="806"/>
      <c r="E24" s="806"/>
      <c r="F24" s="806"/>
      <c r="G24" s="806"/>
      <c r="H24" s="806"/>
      <c r="I24" s="806"/>
      <c r="J24" s="806"/>
      <c r="K24" s="807"/>
      <c r="L24" s="1"/>
      <c r="M24" s="818" t="s">
        <v>72</v>
      </c>
      <c r="N24" s="819"/>
      <c r="O24" s="819"/>
      <c r="P24" s="820"/>
      <c r="Q24" s="57"/>
      <c r="R24" s="57"/>
    </row>
    <row r="25" spans="1:18" ht="15.75" customHeight="1" x14ac:dyDescent="0.35">
      <c r="A25" s="31"/>
      <c r="B25" s="824" t="s">
        <v>73</v>
      </c>
      <c r="C25" s="828"/>
      <c r="D25" s="828"/>
      <c r="E25" s="828"/>
      <c r="F25" s="828"/>
      <c r="G25" s="828"/>
      <c r="H25" s="828"/>
      <c r="I25" s="828"/>
      <c r="J25" s="828"/>
      <c r="K25" s="829"/>
      <c r="L25" s="1"/>
      <c r="M25" s="821"/>
      <c r="N25" s="822"/>
      <c r="O25" s="822"/>
      <c r="P25" s="823"/>
      <c r="Q25" s="57"/>
      <c r="R25" s="57"/>
    </row>
    <row r="26" spans="1:18" ht="43.5" customHeight="1" x14ac:dyDescent="0.35">
      <c r="A26" s="49"/>
      <c r="B26" s="425" t="s">
        <v>74</v>
      </c>
      <c r="C26" s="426" t="s">
        <v>75</v>
      </c>
      <c r="D26" s="427" t="s">
        <v>76</v>
      </c>
      <c r="E26" s="428" t="s">
        <v>77</v>
      </c>
      <c r="F26" s="428" t="s">
        <v>78</v>
      </c>
      <c r="G26" s="429" t="s">
        <v>79</v>
      </c>
      <c r="H26" s="426" t="s">
        <v>80</v>
      </c>
      <c r="I26" s="430" t="s">
        <v>81</v>
      </c>
      <c r="J26" s="430" t="s">
        <v>82</v>
      </c>
      <c r="K26" s="426" t="s">
        <v>83</v>
      </c>
      <c r="L26" s="69"/>
      <c r="M26" s="422" t="s">
        <v>52</v>
      </c>
      <c r="N26" s="422" t="s">
        <v>53</v>
      </c>
      <c r="O26" s="422" t="s">
        <v>84</v>
      </c>
      <c r="P26" s="422" t="s">
        <v>85</v>
      </c>
      <c r="Q26" s="70"/>
      <c r="R26" s="70"/>
    </row>
    <row r="27" spans="1:18" ht="15.75" customHeight="1" x14ac:dyDescent="0.35">
      <c r="A27" s="25">
        <v>1</v>
      </c>
      <c r="B27" s="827" t="s">
        <v>86</v>
      </c>
      <c r="C27" s="827"/>
      <c r="D27" s="827"/>
      <c r="E27" s="827"/>
      <c r="F27" s="827"/>
      <c r="G27" s="827"/>
      <c r="H27" s="827"/>
      <c r="I27" s="827"/>
      <c r="J27" s="827"/>
      <c r="K27" s="827"/>
      <c r="L27" s="827"/>
      <c r="M27" s="827"/>
      <c r="N27" s="827"/>
      <c r="O27" s="827"/>
      <c r="P27" s="827"/>
      <c r="Q27" s="9"/>
      <c r="R27" s="9"/>
    </row>
    <row r="28" spans="1:18" x14ac:dyDescent="0.35">
      <c r="A28" s="19">
        <f>A27+0.1</f>
        <v>1.1000000000000001</v>
      </c>
      <c r="B28" s="431"/>
      <c r="C28" s="432"/>
      <c r="D28" s="432"/>
      <c r="E28" s="433"/>
      <c r="F28" s="433"/>
      <c r="G28" s="434"/>
      <c r="H28" s="432">
        <f>SUM(D28*E28*F28*G28)</f>
        <v>0</v>
      </c>
      <c r="I28" s="432">
        <v>0</v>
      </c>
      <c r="J28" s="432">
        <v>0</v>
      </c>
      <c r="K28" s="432">
        <f>H28-I28-J28</f>
        <v>0</v>
      </c>
      <c r="L28" s="8"/>
      <c r="M28" s="435"/>
      <c r="N28" s="435"/>
      <c r="O28" s="435"/>
      <c r="P28" s="436">
        <f>K28-M28-N28-O28</f>
        <v>0</v>
      </c>
      <c r="Q28" s="8"/>
      <c r="R28" s="8"/>
    </row>
    <row r="29" spans="1:18" x14ac:dyDescent="0.35">
      <c r="A29" s="19"/>
      <c r="B29" s="811" t="s">
        <v>87</v>
      </c>
      <c r="C29" s="812"/>
      <c r="D29" s="812"/>
      <c r="E29" s="812"/>
      <c r="F29" s="812"/>
      <c r="G29" s="813"/>
      <c r="H29" s="437">
        <f t="shared" ref="H29:P29" si="0">SUM(H28:H28)</f>
        <v>0</v>
      </c>
      <c r="I29" s="437">
        <f t="shared" si="0"/>
        <v>0</v>
      </c>
      <c r="J29" s="437">
        <f t="shared" si="0"/>
        <v>0</v>
      </c>
      <c r="K29" s="437">
        <f t="shared" si="0"/>
        <v>0</v>
      </c>
      <c r="L29" s="9">
        <f t="shared" si="0"/>
        <v>0</v>
      </c>
      <c r="M29" s="438">
        <f t="shared" si="0"/>
        <v>0</v>
      </c>
      <c r="N29" s="438">
        <f t="shared" si="0"/>
        <v>0</v>
      </c>
      <c r="O29" s="438">
        <f t="shared" si="0"/>
        <v>0</v>
      </c>
      <c r="P29" s="438">
        <f t="shared" si="0"/>
        <v>0</v>
      </c>
      <c r="Q29" s="9"/>
      <c r="R29" s="9"/>
    </row>
    <row r="30" spans="1:18" ht="15.75" customHeight="1" x14ac:dyDescent="0.35">
      <c r="A30" s="25">
        <v>2</v>
      </c>
      <c r="B30" s="827" t="s">
        <v>88</v>
      </c>
      <c r="C30" s="827"/>
      <c r="D30" s="827"/>
      <c r="E30" s="827"/>
      <c r="F30" s="827"/>
      <c r="G30" s="827"/>
      <c r="H30" s="827"/>
      <c r="I30" s="827"/>
      <c r="J30" s="827"/>
      <c r="K30" s="827"/>
      <c r="L30" s="827"/>
      <c r="M30" s="827"/>
      <c r="N30" s="827"/>
      <c r="O30" s="827"/>
      <c r="P30" s="827"/>
      <c r="Q30" s="9"/>
      <c r="R30" s="9"/>
    </row>
    <row r="31" spans="1:18" x14ac:dyDescent="0.35">
      <c r="A31" s="19">
        <f>A30+0.1</f>
        <v>2.1</v>
      </c>
      <c r="B31" s="431" t="s">
        <v>89</v>
      </c>
      <c r="C31" s="432" t="s">
        <v>90</v>
      </c>
      <c r="D31" s="439">
        <v>1079</v>
      </c>
      <c r="E31" s="440">
        <v>5</v>
      </c>
      <c r="F31" s="433">
        <v>1</v>
      </c>
      <c r="G31" s="434">
        <v>1</v>
      </c>
      <c r="H31" s="432">
        <f>SUM(D31*E31*F31*G31)</f>
        <v>5395</v>
      </c>
      <c r="I31" s="432">
        <v>0</v>
      </c>
      <c r="J31" s="432">
        <v>0</v>
      </c>
      <c r="K31" s="432">
        <f>H31-I31-J31</f>
        <v>5395</v>
      </c>
      <c r="L31" s="8"/>
      <c r="M31" s="435">
        <f>PRODUCT(K31,3/8)</f>
        <v>2023.125</v>
      </c>
      <c r="N31" s="435">
        <f>PRODUCT(K31,3/8)</f>
        <v>2023.125</v>
      </c>
      <c r="O31" s="435">
        <f>PRODUCT(K31,1/4)</f>
        <v>1348.75</v>
      </c>
      <c r="P31" s="436">
        <v>0</v>
      </c>
      <c r="Q31" s="8"/>
      <c r="R31" s="8"/>
    </row>
    <row r="32" spans="1:18" x14ac:dyDescent="0.35">
      <c r="A32" s="19">
        <f>A31+0.1</f>
        <v>2.2000000000000002</v>
      </c>
      <c r="B32" s="431" t="s">
        <v>91</v>
      </c>
      <c r="C32" s="432" t="s">
        <v>90</v>
      </c>
      <c r="D32" s="439">
        <v>952</v>
      </c>
      <c r="E32" s="440">
        <v>5</v>
      </c>
      <c r="F32" s="433">
        <v>1</v>
      </c>
      <c r="G32" s="434">
        <v>1</v>
      </c>
      <c r="H32" s="432">
        <f>SUM(D32*E32*F32*G32)</f>
        <v>4760</v>
      </c>
      <c r="I32" s="432">
        <v>0</v>
      </c>
      <c r="J32" s="432">
        <v>0</v>
      </c>
      <c r="K32" s="432">
        <f>H32-I32-J32</f>
        <v>4760</v>
      </c>
      <c r="L32" s="8"/>
      <c r="M32" s="435">
        <f>PRODUCT(K32,3/8)</f>
        <v>1785</v>
      </c>
      <c r="N32" s="435">
        <f>PRODUCT(K32,3/8)</f>
        <v>1785</v>
      </c>
      <c r="O32" s="435">
        <f>PRODUCT(K32,1/4)</f>
        <v>1190</v>
      </c>
      <c r="P32" s="436">
        <f>K32-M32-N32-O32</f>
        <v>0</v>
      </c>
      <c r="Q32" s="8"/>
      <c r="R32" s="8"/>
    </row>
    <row r="33" spans="1:18" x14ac:dyDescent="0.35">
      <c r="A33" s="19">
        <f>A32+0.1</f>
        <v>2.3000000000000003</v>
      </c>
      <c r="B33" s="431" t="s">
        <v>92</v>
      </c>
      <c r="C33" s="432" t="s">
        <v>93</v>
      </c>
      <c r="D33" s="439">
        <v>599</v>
      </c>
      <c r="E33" s="440">
        <v>5</v>
      </c>
      <c r="F33" s="433" t="e">
        <f>ROUND(PRODUCT(#REF!,1/5),0)</f>
        <v>#REF!</v>
      </c>
      <c r="G33" s="434">
        <v>1</v>
      </c>
      <c r="H33" s="432" t="e">
        <f>SUM(D33*E33*F33*G33)</f>
        <v>#REF!</v>
      </c>
      <c r="I33" s="432">
        <v>0</v>
      </c>
      <c r="J33" s="432">
        <v>0</v>
      </c>
      <c r="K33" s="432" t="e">
        <f>H33-I33-J33</f>
        <v>#REF!</v>
      </c>
      <c r="L33" s="8"/>
      <c r="M33" s="435" t="e">
        <f>PRODUCT(K33,3/4)</f>
        <v>#REF!</v>
      </c>
      <c r="N33" s="435" t="e">
        <f>PRODUCT(K33,1/4)</f>
        <v>#REF!</v>
      </c>
      <c r="O33" s="435">
        <v>0</v>
      </c>
      <c r="P33" s="436" t="e">
        <f>K33-M33-N33-O33</f>
        <v>#REF!</v>
      </c>
      <c r="Q33" s="8"/>
      <c r="R33" s="8"/>
    </row>
    <row r="34" spans="1:18" x14ac:dyDescent="0.35">
      <c r="A34" s="19">
        <f>A33+0.1</f>
        <v>2.4000000000000004</v>
      </c>
      <c r="B34" s="431" t="s">
        <v>94</v>
      </c>
      <c r="C34" s="432" t="s">
        <v>90</v>
      </c>
      <c r="D34" s="439">
        <v>952</v>
      </c>
      <c r="E34" s="433">
        <v>5</v>
      </c>
      <c r="F34" s="433">
        <v>1</v>
      </c>
      <c r="G34" s="434">
        <v>1</v>
      </c>
      <c r="H34" s="432">
        <f>SUM(D34*E34*F34*G34)</f>
        <v>4760</v>
      </c>
      <c r="I34" s="432">
        <v>0</v>
      </c>
      <c r="J34" s="432">
        <v>0</v>
      </c>
      <c r="K34" s="432">
        <f>H34-I34-J34</f>
        <v>4760</v>
      </c>
      <c r="L34" s="8"/>
      <c r="M34" s="435">
        <v>0</v>
      </c>
      <c r="N34" s="435">
        <f>PRODUCT(K34,1/2)</f>
        <v>2380</v>
      </c>
      <c r="O34" s="435">
        <f>PRODUCT(K34,1/2)</f>
        <v>2380</v>
      </c>
      <c r="P34" s="436">
        <f>K34-M34-N34-O34</f>
        <v>0</v>
      </c>
      <c r="Q34" s="8"/>
      <c r="R34" s="8"/>
    </row>
    <row r="35" spans="1:18" x14ac:dyDescent="0.35">
      <c r="A35" s="19">
        <f>A34+0.1</f>
        <v>2.5000000000000004</v>
      </c>
      <c r="B35" s="431" t="s">
        <v>95</v>
      </c>
      <c r="C35" s="432" t="s">
        <v>93</v>
      </c>
      <c r="D35" s="439">
        <v>599</v>
      </c>
      <c r="E35" s="433">
        <v>4</v>
      </c>
      <c r="F35" s="433" t="e">
        <f>ROUND(PRODUCT(#REF!,1/10),0)</f>
        <v>#REF!</v>
      </c>
      <c r="G35" s="434">
        <v>1</v>
      </c>
      <c r="H35" s="432" t="e">
        <f>SUM(D35*E35*F35*G35)</f>
        <v>#REF!</v>
      </c>
      <c r="I35" s="432">
        <v>0</v>
      </c>
      <c r="J35" s="432">
        <v>0</v>
      </c>
      <c r="K35" s="432" t="e">
        <f>H35-I35-J35</f>
        <v>#REF!</v>
      </c>
      <c r="L35" s="8"/>
      <c r="M35" s="435">
        <v>0</v>
      </c>
      <c r="N35" s="435" t="e">
        <f>PRODUCT(K35,3/4)</f>
        <v>#REF!</v>
      </c>
      <c r="O35" s="435" t="e">
        <f>PRODUCT(K35,1/4)</f>
        <v>#REF!</v>
      </c>
      <c r="P35" s="436" t="e">
        <f>K35-M35-N35-O35</f>
        <v>#REF!</v>
      </c>
      <c r="Q35" s="8"/>
      <c r="R35" s="8"/>
    </row>
    <row r="36" spans="1:18" x14ac:dyDescent="0.35">
      <c r="A36" s="19"/>
      <c r="B36" s="811" t="s">
        <v>96</v>
      </c>
      <c r="C36" s="812"/>
      <c r="D36" s="812"/>
      <c r="E36" s="812"/>
      <c r="F36" s="812"/>
      <c r="G36" s="813"/>
      <c r="H36" s="437" t="e">
        <f t="shared" ref="H36:P36" si="1">SUM(H31:H35)</f>
        <v>#REF!</v>
      </c>
      <c r="I36" s="437">
        <f t="shared" si="1"/>
        <v>0</v>
      </c>
      <c r="J36" s="437">
        <f t="shared" si="1"/>
        <v>0</v>
      </c>
      <c r="K36" s="437" t="e">
        <f t="shared" si="1"/>
        <v>#REF!</v>
      </c>
      <c r="L36" s="9">
        <f t="shared" si="1"/>
        <v>0</v>
      </c>
      <c r="M36" s="438" t="e">
        <f t="shared" si="1"/>
        <v>#REF!</v>
      </c>
      <c r="N36" s="438" t="e">
        <f t="shared" si="1"/>
        <v>#REF!</v>
      </c>
      <c r="O36" s="438" t="e">
        <f t="shared" si="1"/>
        <v>#REF!</v>
      </c>
      <c r="P36" s="438" t="e">
        <f t="shared" si="1"/>
        <v>#REF!</v>
      </c>
      <c r="Q36" s="9"/>
      <c r="R36" s="9"/>
    </row>
    <row r="37" spans="1:18" x14ac:dyDescent="0.35">
      <c r="A37" s="25">
        <v>3</v>
      </c>
      <c r="B37" s="814" t="s">
        <v>97</v>
      </c>
      <c r="C37" s="814"/>
      <c r="D37" s="814"/>
      <c r="E37" s="814"/>
      <c r="F37" s="814"/>
      <c r="G37" s="814"/>
      <c r="H37" s="814"/>
      <c r="I37" s="814"/>
      <c r="J37" s="814"/>
      <c r="K37" s="814"/>
      <c r="L37" s="814"/>
      <c r="M37" s="814"/>
      <c r="N37" s="814"/>
      <c r="O37" s="814"/>
      <c r="P37" s="814"/>
      <c r="Q37" s="9"/>
      <c r="R37" s="9"/>
    </row>
    <row r="38" spans="1:18" x14ac:dyDescent="0.35">
      <c r="A38" s="19">
        <f>A37+0.1</f>
        <v>3.1</v>
      </c>
      <c r="B38" s="431" t="s">
        <v>98</v>
      </c>
      <c r="C38" s="432" t="s">
        <v>99</v>
      </c>
      <c r="D38" s="432">
        <v>30</v>
      </c>
      <c r="E38" s="433">
        <f>3*8</f>
        <v>24</v>
      </c>
      <c r="F38" s="433">
        <v>2</v>
      </c>
      <c r="G38" s="434">
        <v>1</v>
      </c>
      <c r="H38" s="432">
        <f>SUM(D38*E38*F38*G38)</f>
        <v>1440</v>
      </c>
      <c r="I38" s="432">
        <v>0</v>
      </c>
      <c r="J38" s="432">
        <v>0</v>
      </c>
      <c r="K38" s="432">
        <f>H38-I38-J38</f>
        <v>1440</v>
      </c>
      <c r="L38" s="8"/>
      <c r="M38" s="435">
        <f>PRODUCT(K38,1/2)</f>
        <v>720</v>
      </c>
      <c r="N38" s="435">
        <f>PRODUCT(K38,1/4)</f>
        <v>360</v>
      </c>
      <c r="O38" s="435">
        <f>PRODUCT(K38,1/4)</f>
        <v>360</v>
      </c>
      <c r="P38" s="436">
        <f>K38-M38-N38-O38</f>
        <v>0</v>
      </c>
      <c r="Q38" s="8"/>
      <c r="R38" s="8"/>
    </row>
    <row r="39" spans="1:18" x14ac:dyDescent="0.35">
      <c r="A39" s="19"/>
      <c r="B39" s="811" t="s">
        <v>100</v>
      </c>
      <c r="C39" s="812"/>
      <c r="D39" s="812"/>
      <c r="E39" s="812"/>
      <c r="F39" s="812"/>
      <c r="G39" s="813"/>
      <c r="H39" s="437">
        <f t="shared" ref="H39:P39" si="2">SUM(H38:H38)</f>
        <v>1440</v>
      </c>
      <c r="I39" s="437">
        <f t="shared" si="2"/>
        <v>0</v>
      </c>
      <c r="J39" s="437">
        <f t="shared" si="2"/>
        <v>0</v>
      </c>
      <c r="K39" s="437">
        <f t="shared" si="2"/>
        <v>1440</v>
      </c>
      <c r="L39" s="9">
        <f t="shared" si="2"/>
        <v>0</v>
      </c>
      <c r="M39" s="438">
        <f t="shared" si="2"/>
        <v>720</v>
      </c>
      <c r="N39" s="438">
        <f t="shared" si="2"/>
        <v>360</v>
      </c>
      <c r="O39" s="438">
        <f t="shared" si="2"/>
        <v>360</v>
      </c>
      <c r="P39" s="438">
        <f t="shared" si="2"/>
        <v>0</v>
      </c>
      <c r="Q39" s="9"/>
      <c r="R39" s="9"/>
    </row>
    <row r="40" spans="1:18" x14ac:dyDescent="0.35">
      <c r="A40" s="25">
        <v>4</v>
      </c>
      <c r="B40" s="814" t="s">
        <v>101</v>
      </c>
      <c r="C40" s="814"/>
      <c r="D40" s="814"/>
      <c r="E40" s="814"/>
      <c r="F40" s="814"/>
      <c r="G40" s="814"/>
      <c r="H40" s="814"/>
      <c r="I40" s="814"/>
      <c r="J40" s="814"/>
      <c r="K40" s="814"/>
      <c r="L40" s="814"/>
      <c r="M40" s="814"/>
      <c r="N40" s="814"/>
      <c r="O40" s="814"/>
      <c r="P40" s="814"/>
      <c r="Q40" s="9"/>
      <c r="R40" s="9"/>
    </row>
    <row r="41" spans="1:18" x14ac:dyDescent="0.35">
      <c r="A41" s="19">
        <f>A40+0.1</f>
        <v>4.0999999999999996</v>
      </c>
      <c r="B41" s="431" t="s">
        <v>102</v>
      </c>
      <c r="C41" s="377" t="s">
        <v>103</v>
      </c>
      <c r="D41" s="378" t="e">
        <f>#REF!</f>
        <v>#REF!</v>
      </c>
      <c r="E41" s="379">
        <v>1</v>
      </c>
      <c r="F41" s="379" t="e">
        <f>#REF!</f>
        <v>#REF!</v>
      </c>
      <c r="G41" s="380">
        <v>1</v>
      </c>
      <c r="H41" s="432" t="e">
        <f>SUM(D41*E41*F41*G41)</f>
        <v>#REF!</v>
      </c>
      <c r="I41" s="432">
        <v>0</v>
      </c>
      <c r="J41" s="432" t="e">
        <f>#REF!*F41</f>
        <v>#REF!</v>
      </c>
      <c r="K41" s="432" t="e">
        <f>H41-I41-J41</f>
        <v>#REF!</v>
      </c>
      <c r="L41" s="8"/>
      <c r="M41" s="435">
        <v>0</v>
      </c>
      <c r="N41" s="435" t="e">
        <f>K41</f>
        <v>#REF!</v>
      </c>
      <c r="O41" s="435">
        <v>0</v>
      </c>
      <c r="P41" s="436" t="e">
        <f>K41-M41-N41-O41</f>
        <v>#REF!</v>
      </c>
      <c r="Q41" s="8"/>
      <c r="R41" s="8"/>
    </row>
    <row r="42" spans="1:18" x14ac:dyDescent="0.35">
      <c r="A42" s="19">
        <f t="shared" ref="A42:A49" si="3">A41+0.1</f>
        <v>4.1999999999999993</v>
      </c>
      <c r="B42" s="431" t="s">
        <v>104</v>
      </c>
      <c r="C42" s="377" t="s">
        <v>103</v>
      </c>
      <c r="D42" s="378" t="e">
        <f>#REF!</f>
        <v>#REF!</v>
      </c>
      <c r="E42" s="379">
        <v>1</v>
      </c>
      <c r="F42" s="379">
        <v>15</v>
      </c>
      <c r="G42" s="380">
        <v>1</v>
      </c>
      <c r="H42" s="432" t="e">
        <f>SUM(D42*E42*F42*G42)</f>
        <v>#REF!</v>
      </c>
      <c r="I42" s="432">
        <v>0</v>
      </c>
      <c r="J42" s="432" t="e">
        <f>#REF!*F42</f>
        <v>#REF!</v>
      </c>
      <c r="K42" s="432" t="e">
        <f>H42-I42-J42</f>
        <v>#REF!</v>
      </c>
      <c r="L42" s="8"/>
      <c r="M42" s="435">
        <v>0</v>
      </c>
      <c r="N42" s="435" t="e">
        <f>K42</f>
        <v>#REF!</v>
      </c>
      <c r="O42" s="435">
        <v>0</v>
      </c>
      <c r="P42" s="436" t="e">
        <f>K42-M42-N42-O42</f>
        <v>#REF!</v>
      </c>
      <c r="Q42" s="8"/>
      <c r="R42" s="8"/>
    </row>
    <row r="43" spans="1:18" x14ac:dyDescent="0.35">
      <c r="A43" s="19">
        <f t="shared" si="3"/>
        <v>4.2999999999999989</v>
      </c>
      <c r="B43" s="431" t="s">
        <v>105</v>
      </c>
      <c r="C43" s="432" t="s">
        <v>106</v>
      </c>
      <c r="D43" s="441" t="e">
        <f>#REF!</f>
        <v>#REF!</v>
      </c>
      <c r="E43" s="442">
        <v>1</v>
      </c>
      <c r="F43" s="442">
        <v>1</v>
      </c>
      <c r="G43" s="434">
        <v>1</v>
      </c>
      <c r="H43" s="432" t="e">
        <f>SUM(D43*E43*F43*G43)</f>
        <v>#REF!</v>
      </c>
      <c r="I43" s="432">
        <v>0</v>
      </c>
      <c r="J43" s="432">
        <v>0</v>
      </c>
      <c r="K43" s="432" t="e">
        <f>H43-I43-J43</f>
        <v>#REF!</v>
      </c>
      <c r="L43" s="8"/>
      <c r="M43" s="435">
        <v>0</v>
      </c>
      <c r="N43" s="435" t="e">
        <f>K43</f>
        <v>#REF!</v>
      </c>
      <c r="O43" s="435">
        <v>0</v>
      </c>
      <c r="P43" s="436" t="e">
        <f t="shared" ref="P43:P49" si="4">K43-M43-N43-O43</f>
        <v>#REF!</v>
      </c>
      <c r="Q43" s="8"/>
      <c r="R43" s="8"/>
    </row>
    <row r="44" spans="1:18" x14ac:dyDescent="0.35">
      <c r="A44" s="19">
        <f t="shared" si="3"/>
        <v>4.3999999999999986</v>
      </c>
      <c r="B44" s="431" t="s">
        <v>107</v>
      </c>
      <c r="C44" s="432" t="s">
        <v>108</v>
      </c>
      <c r="D44" s="443">
        <v>8</v>
      </c>
      <c r="E44" s="442">
        <v>1</v>
      </c>
      <c r="F44" s="442" t="e">
        <f>ROUND(PRODUCT(#REF!,18/50),0)</f>
        <v>#REF!</v>
      </c>
      <c r="G44" s="434">
        <v>1</v>
      </c>
      <c r="H44" s="432" t="e">
        <f t="shared" ref="H44:H49" si="5">SUM(D44*E44*F44*G44)</f>
        <v>#REF!</v>
      </c>
      <c r="I44" s="432">
        <v>0</v>
      </c>
      <c r="J44" s="432">
        <v>0</v>
      </c>
      <c r="K44" s="432" t="e">
        <f t="shared" ref="K44:K49" si="6">H44-I44-J44</f>
        <v>#REF!</v>
      </c>
      <c r="L44" s="8"/>
      <c r="M44" s="435" t="e">
        <f t="shared" ref="M44:M49" si="7">PRODUCT(K44,1)</f>
        <v>#REF!</v>
      </c>
      <c r="N44" s="435">
        <v>0</v>
      </c>
      <c r="O44" s="435">
        <v>0</v>
      </c>
      <c r="P44" s="436" t="e">
        <f t="shared" si="4"/>
        <v>#REF!</v>
      </c>
      <c r="Q44" s="8"/>
      <c r="R44" s="8"/>
    </row>
    <row r="45" spans="1:18" x14ac:dyDescent="0.35">
      <c r="A45" s="19">
        <f t="shared" si="3"/>
        <v>4.4999999999999982</v>
      </c>
      <c r="B45" s="431" t="s">
        <v>109</v>
      </c>
      <c r="C45" s="432" t="s">
        <v>110</v>
      </c>
      <c r="D45" s="443">
        <v>3</v>
      </c>
      <c r="E45" s="442">
        <v>1</v>
      </c>
      <c r="F45" s="442" t="e">
        <f>PRODUCT(#REF!,2)</f>
        <v>#REF!</v>
      </c>
      <c r="G45" s="434">
        <v>1</v>
      </c>
      <c r="H45" s="432" t="e">
        <f t="shared" si="5"/>
        <v>#REF!</v>
      </c>
      <c r="I45" s="432">
        <v>0</v>
      </c>
      <c r="J45" s="432">
        <v>0</v>
      </c>
      <c r="K45" s="432" t="e">
        <f t="shared" si="6"/>
        <v>#REF!</v>
      </c>
      <c r="L45" s="8"/>
      <c r="M45" s="435" t="e">
        <f t="shared" si="7"/>
        <v>#REF!</v>
      </c>
      <c r="N45" s="435">
        <v>0</v>
      </c>
      <c r="O45" s="435">
        <v>0</v>
      </c>
      <c r="P45" s="436" t="e">
        <f t="shared" si="4"/>
        <v>#REF!</v>
      </c>
      <c r="Q45" s="8"/>
      <c r="R45" s="8"/>
    </row>
    <row r="46" spans="1:18" x14ac:dyDescent="0.35">
      <c r="A46" s="19">
        <f t="shared" si="3"/>
        <v>4.5999999999999979</v>
      </c>
      <c r="B46" s="431" t="s">
        <v>111</v>
      </c>
      <c r="C46" s="432" t="s">
        <v>112</v>
      </c>
      <c r="D46" s="441">
        <v>9</v>
      </c>
      <c r="E46" s="442">
        <v>1</v>
      </c>
      <c r="F46" s="442" t="e">
        <f>PRODUCT(#REF!,1)</f>
        <v>#REF!</v>
      </c>
      <c r="G46" s="434">
        <v>1</v>
      </c>
      <c r="H46" s="432" t="e">
        <f t="shared" si="5"/>
        <v>#REF!</v>
      </c>
      <c r="I46" s="432">
        <v>0</v>
      </c>
      <c r="J46" s="432">
        <v>0</v>
      </c>
      <c r="K46" s="432" t="e">
        <f t="shared" si="6"/>
        <v>#REF!</v>
      </c>
      <c r="L46" s="8"/>
      <c r="M46" s="435" t="e">
        <f t="shared" si="7"/>
        <v>#REF!</v>
      </c>
      <c r="N46" s="435">
        <v>0</v>
      </c>
      <c r="O46" s="435">
        <v>0</v>
      </c>
      <c r="P46" s="436" t="e">
        <f t="shared" si="4"/>
        <v>#REF!</v>
      </c>
      <c r="Q46" s="8"/>
      <c r="R46" s="8"/>
    </row>
    <row r="47" spans="1:18" x14ac:dyDescent="0.35">
      <c r="A47" s="19">
        <f t="shared" si="3"/>
        <v>4.6999999999999975</v>
      </c>
      <c r="B47" s="431" t="s">
        <v>113</v>
      </c>
      <c r="C47" s="432" t="s">
        <v>108</v>
      </c>
      <c r="D47" s="441">
        <v>8</v>
      </c>
      <c r="E47" s="442">
        <v>1</v>
      </c>
      <c r="F47" s="442" t="e">
        <f>ROUND(PRODUCT(#REF!,1/2),0)</f>
        <v>#REF!</v>
      </c>
      <c r="G47" s="434">
        <v>1</v>
      </c>
      <c r="H47" s="432" t="e">
        <f t="shared" si="5"/>
        <v>#REF!</v>
      </c>
      <c r="I47" s="432">
        <v>0</v>
      </c>
      <c r="J47" s="432">
        <v>0</v>
      </c>
      <c r="K47" s="432" t="e">
        <f t="shared" si="6"/>
        <v>#REF!</v>
      </c>
      <c r="L47" s="8"/>
      <c r="M47" s="435" t="e">
        <f t="shared" si="7"/>
        <v>#REF!</v>
      </c>
      <c r="N47" s="435">
        <v>0</v>
      </c>
      <c r="O47" s="435">
        <v>0</v>
      </c>
      <c r="P47" s="436" t="e">
        <f t="shared" si="4"/>
        <v>#REF!</v>
      </c>
      <c r="Q47" s="8"/>
      <c r="R47" s="8"/>
    </row>
    <row r="48" spans="1:18" x14ac:dyDescent="0.35">
      <c r="A48" s="19">
        <f t="shared" si="3"/>
        <v>4.7999999999999972</v>
      </c>
      <c r="B48" s="431" t="s">
        <v>114</v>
      </c>
      <c r="C48" s="432" t="s">
        <v>112</v>
      </c>
      <c r="D48" s="441">
        <v>15</v>
      </c>
      <c r="E48" s="442">
        <v>1</v>
      </c>
      <c r="F48" s="442" t="e">
        <f>PRODUCT(#REF!,3)</f>
        <v>#REF!</v>
      </c>
      <c r="G48" s="434">
        <v>1</v>
      </c>
      <c r="H48" s="432" t="e">
        <f t="shared" si="5"/>
        <v>#REF!</v>
      </c>
      <c r="I48" s="432">
        <v>0</v>
      </c>
      <c r="J48" s="432">
        <v>0</v>
      </c>
      <c r="K48" s="432" t="e">
        <f t="shared" si="6"/>
        <v>#REF!</v>
      </c>
      <c r="L48" s="8"/>
      <c r="M48" s="435" t="e">
        <f t="shared" si="7"/>
        <v>#REF!</v>
      </c>
      <c r="N48" s="435">
        <v>0</v>
      </c>
      <c r="O48" s="435">
        <v>0</v>
      </c>
      <c r="P48" s="436" t="e">
        <f t="shared" si="4"/>
        <v>#REF!</v>
      </c>
      <c r="Q48" s="8"/>
      <c r="R48" s="8"/>
    </row>
    <row r="49" spans="1:18" x14ac:dyDescent="0.35">
      <c r="A49" s="19">
        <f t="shared" si="3"/>
        <v>4.8999999999999968</v>
      </c>
      <c r="B49" s="431" t="s">
        <v>115</v>
      </c>
      <c r="C49" s="432" t="s">
        <v>103</v>
      </c>
      <c r="D49" s="441">
        <v>3</v>
      </c>
      <c r="E49" s="442">
        <v>1</v>
      </c>
      <c r="F49" s="442" t="e">
        <f>PRODUCT(#REF!,9)</f>
        <v>#REF!</v>
      </c>
      <c r="G49" s="434">
        <v>1</v>
      </c>
      <c r="H49" s="432" t="e">
        <f t="shared" si="5"/>
        <v>#REF!</v>
      </c>
      <c r="I49" s="432">
        <v>0</v>
      </c>
      <c r="J49" s="432">
        <v>0</v>
      </c>
      <c r="K49" s="432" t="e">
        <f t="shared" si="6"/>
        <v>#REF!</v>
      </c>
      <c r="L49" s="8"/>
      <c r="M49" s="435" t="e">
        <f t="shared" si="7"/>
        <v>#REF!</v>
      </c>
      <c r="N49" s="435">
        <v>0</v>
      </c>
      <c r="O49" s="435">
        <v>0</v>
      </c>
      <c r="P49" s="436" t="e">
        <f t="shared" si="4"/>
        <v>#REF!</v>
      </c>
      <c r="Q49" s="8"/>
      <c r="R49" s="8"/>
    </row>
    <row r="50" spans="1:18" x14ac:dyDescent="0.35">
      <c r="A50" s="19"/>
      <c r="B50" s="830" t="s">
        <v>116</v>
      </c>
      <c r="C50" s="831"/>
      <c r="D50" s="831"/>
      <c r="E50" s="831"/>
      <c r="F50" s="831"/>
      <c r="G50" s="832"/>
      <c r="H50" s="437" t="e">
        <f t="shared" ref="H50:P50" si="8">SUM(H41:H49)</f>
        <v>#REF!</v>
      </c>
      <c r="I50" s="437">
        <f t="shared" si="8"/>
        <v>0</v>
      </c>
      <c r="J50" s="437" t="e">
        <f t="shared" si="8"/>
        <v>#REF!</v>
      </c>
      <c r="K50" s="437" t="e">
        <f t="shared" si="8"/>
        <v>#REF!</v>
      </c>
      <c r="L50" s="9">
        <f t="shared" si="8"/>
        <v>0</v>
      </c>
      <c r="M50" s="438" t="e">
        <f t="shared" si="8"/>
        <v>#REF!</v>
      </c>
      <c r="N50" s="438" t="e">
        <f t="shared" si="8"/>
        <v>#REF!</v>
      </c>
      <c r="O50" s="438">
        <f t="shared" si="8"/>
        <v>0</v>
      </c>
      <c r="P50" s="438" t="e">
        <f t="shared" si="8"/>
        <v>#REF!</v>
      </c>
      <c r="Q50" s="9"/>
      <c r="R50" s="9"/>
    </row>
    <row r="51" spans="1:18" x14ac:dyDescent="0.35">
      <c r="A51" s="25">
        <v>5</v>
      </c>
      <c r="B51" s="814" t="s">
        <v>117</v>
      </c>
      <c r="C51" s="814"/>
      <c r="D51" s="814"/>
      <c r="E51" s="814"/>
      <c r="F51" s="814"/>
      <c r="G51" s="814"/>
      <c r="H51" s="814"/>
      <c r="I51" s="814"/>
      <c r="J51" s="814"/>
      <c r="K51" s="814"/>
      <c r="L51" s="814"/>
      <c r="M51" s="814"/>
      <c r="N51" s="814"/>
      <c r="O51" s="814"/>
      <c r="P51" s="814"/>
      <c r="Q51" s="9"/>
      <c r="R51" s="9"/>
    </row>
    <row r="52" spans="1:18" ht="15.75" customHeight="1" x14ac:dyDescent="0.35">
      <c r="A52" s="19">
        <f>A51+0.1</f>
        <v>5.0999999999999996</v>
      </c>
      <c r="B52" s="431" t="s">
        <v>118</v>
      </c>
      <c r="C52" s="432" t="s">
        <v>119</v>
      </c>
      <c r="D52" s="432">
        <v>350</v>
      </c>
      <c r="E52" s="433">
        <v>1</v>
      </c>
      <c r="F52" s="433">
        <v>2</v>
      </c>
      <c r="G52" s="434">
        <v>1</v>
      </c>
      <c r="H52" s="432">
        <f>SUM(D52*E52*F52*G52)</f>
        <v>700</v>
      </c>
      <c r="I52" s="432">
        <v>0</v>
      </c>
      <c r="J52" s="432">
        <v>0</v>
      </c>
      <c r="K52" s="432">
        <f>H52-I52-J52</f>
        <v>700</v>
      </c>
      <c r="L52" s="8"/>
      <c r="M52" s="435">
        <v>0</v>
      </c>
      <c r="N52" s="435">
        <f>K52</f>
        <v>700</v>
      </c>
      <c r="O52" s="435">
        <v>0</v>
      </c>
      <c r="P52" s="436">
        <f>K52-M52-N52-O52</f>
        <v>0</v>
      </c>
      <c r="Q52" s="8"/>
      <c r="R52" s="8"/>
    </row>
    <row r="53" spans="1:18" ht="15.75" customHeight="1" x14ac:dyDescent="0.35">
      <c r="A53" s="19">
        <f>A52+0.1</f>
        <v>5.1999999999999993</v>
      </c>
      <c r="B53" s="431" t="s">
        <v>120</v>
      </c>
      <c r="C53" s="432" t="s">
        <v>119</v>
      </c>
      <c r="D53" s="439">
        <v>250</v>
      </c>
      <c r="E53" s="433">
        <v>1</v>
      </c>
      <c r="F53" s="433" t="e">
        <f>#REF!</f>
        <v>#REF!</v>
      </c>
      <c r="G53" s="434">
        <v>1</v>
      </c>
      <c r="H53" s="432" t="e">
        <f>SUM(D53*E53*F53*G53)</f>
        <v>#REF!</v>
      </c>
      <c r="I53" s="432">
        <v>0</v>
      </c>
      <c r="J53" s="432">
        <v>0</v>
      </c>
      <c r="K53" s="432" t="e">
        <f>H53-I53-J53</f>
        <v>#REF!</v>
      </c>
      <c r="L53" s="8"/>
      <c r="M53" s="435">
        <v>0</v>
      </c>
      <c r="N53" s="435" t="e">
        <f>K53</f>
        <v>#REF!</v>
      </c>
      <c r="O53" s="435">
        <v>0</v>
      </c>
      <c r="P53" s="436" t="e">
        <f>K53-M53-N53-O53</f>
        <v>#REF!</v>
      </c>
      <c r="Q53" s="8"/>
      <c r="R53" s="8"/>
    </row>
    <row r="54" spans="1:18" x14ac:dyDescent="0.35">
      <c r="A54" s="19"/>
      <c r="B54" s="830" t="s">
        <v>121</v>
      </c>
      <c r="C54" s="831"/>
      <c r="D54" s="831"/>
      <c r="E54" s="831"/>
      <c r="F54" s="831"/>
      <c r="G54" s="832"/>
      <c r="H54" s="437" t="e">
        <f t="shared" ref="H54:P54" si="9">SUM(H52:H53)</f>
        <v>#REF!</v>
      </c>
      <c r="I54" s="437">
        <f t="shared" si="9"/>
        <v>0</v>
      </c>
      <c r="J54" s="437">
        <f t="shared" si="9"/>
        <v>0</v>
      </c>
      <c r="K54" s="437" t="e">
        <f t="shared" si="9"/>
        <v>#REF!</v>
      </c>
      <c r="L54" s="100">
        <f t="shared" si="9"/>
        <v>0</v>
      </c>
      <c r="M54" s="437">
        <f t="shared" si="9"/>
        <v>0</v>
      </c>
      <c r="N54" s="437" t="e">
        <f t="shared" si="9"/>
        <v>#REF!</v>
      </c>
      <c r="O54" s="437">
        <f t="shared" si="9"/>
        <v>0</v>
      </c>
      <c r="P54" s="437" t="e">
        <f t="shared" si="9"/>
        <v>#REF!</v>
      </c>
      <c r="Q54" s="8"/>
      <c r="R54" s="8"/>
    </row>
    <row r="55" spans="1:18" x14ac:dyDescent="0.35">
      <c r="A55" s="25">
        <v>6</v>
      </c>
      <c r="B55" s="814" t="s">
        <v>122</v>
      </c>
      <c r="C55" s="814"/>
      <c r="D55" s="814"/>
      <c r="E55" s="814"/>
      <c r="F55" s="814"/>
      <c r="G55" s="814"/>
      <c r="H55" s="814"/>
      <c r="I55" s="814"/>
      <c r="J55" s="814"/>
      <c r="K55" s="814"/>
      <c r="L55" s="814"/>
      <c r="M55" s="814"/>
      <c r="N55" s="814"/>
      <c r="O55" s="814"/>
      <c r="P55" s="814"/>
      <c r="Q55" s="9"/>
      <c r="R55" s="9"/>
    </row>
    <row r="56" spans="1:18" x14ac:dyDescent="0.35">
      <c r="A56" s="19">
        <f>A55+0.1</f>
        <v>6.1</v>
      </c>
      <c r="B56" s="431" t="s">
        <v>123</v>
      </c>
      <c r="C56" s="432" t="s">
        <v>124</v>
      </c>
      <c r="D56" s="439">
        <v>2500</v>
      </c>
      <c r="E56" s="440">
        <v>3</v>
      </c>
      <c r="F56" s="433">
        <v>1</v>
      </c>
      <c r="G56" s="434">
        <v>1</v>
      </c>
      <c r="H56" s="432">
        <f>SUM(D56*E56*F56*G56)</f>
        <v>7500</v>
      </c>
      <c r="I56" s="432">
        <v>16000</v>
      </c>
      <c r="J56" s="432">
        <v>0</v>
      </c>
      <c r="K56" s="432">
        <f>H56-I56-J56</f>
        <v>-8500</v>
      </c>
      <c r="L56" s="8"/>
      <c r="M56" s="435">
        <f>PRODUCT(K56,1/2)</f>
        <v>-4250</v>
      </c>
      <c r="N56" s="435">
        <f>PRODUCT(K56,1/4)</f>
        <v>-2125</v>
      </c>
      <c r="O56" s="435">
        <f>PRODUCT(K56,1/4)</f>
        <v>-2125</v>
      </c>
      <c r="P56" s="436">
        <f>K56-M56-N56-O56</f>
        <v>0</v>
      </c>
      <c r="Q56" s="8"/>
      <c r="R56" s="8"/>
    </row>
    <row r="57" spans="1:18" x14ac:dyDescent="0.35">
      <c r="A57" s="19">
        <f>A56+0.1</f>
        <v>6.1999999999999993</v>
      </c>
      <c r="B57" s="431" t="s">
        <v>125</v>
      </c>
      <c r="C57" s="432" t="s">
        <v>126</v>
      </c>
      <c r="D57" s="444">
        <v>1.8</v>
      </c>
      <c r="E57" s="440">
        <v>3</v>
      </c>
      <c r="F57" s="433">
        <f>0.2*100*26</f>
        <v>520</v>
      </c>
      <c r="G57" s="434">
        <v>1</v>
      </c>
      <c r="H57" s="432">
        <f>SUM(D57*E57*F57*G57)</f>
        <v>2808</v>
      </c>
      <c r="I57" s="432">
        <f>0.8*H57</f>
        <v>2246.4</v>
      </c>
      <c r="J57" s="432">
        <v>0</v>
      </c>
      <c r="K57" s="432">
        <f>H57-I57-J57</f>
        <v>561.59999999999991</v>
      </c>
      <c r="L57" s="8"/>
      <c r="M57" s="435">
        <f>PRODUCT(K57,1/2)</f>
        <v>280.79999999999995</v>
      </c>
      <c r="N57" s="435">
        <f>PRODUCT(K57,1/4)</f>
        <v>140.39999999999998</v>
      </c>
      <c r="O57" s="435">
        <f>PRODUCT(K57,1/4)</f>
        <v>140.39999999999998</v>
      </c>
      <c r="P57" s="436">
        <f>K57-M57-N57-O57</f>
        <v>0</v>
      </c>
      <c r="Q57" s="8"/>
      <c r="R57" s="8"/>
    </row>
    <row r="58" spans="1:18" x14ac:dyDescent="0.35">
      <c r="A58" s="19">
        <f>A57+0.1</f>
        <v>6.2999999999999989</v>
      </c>
      <c r="B58" s="431" t="s">
        <v>127</v>
      </c>
      <c r="C58" s="432" t="s">
        <v>126</v>
      </c>
      <c r="D58" s="444">
        <v>1.8</v>
      </c>
      <c r="E58" s="440">
        <v>5</v>
      </c>
      <c r="F58" s="433">
        <f>(0.05*70*26)*2</f>
        <v>182</v>
      </c>
      <c r="G58" s="434">
        <v>1</v>
      </c>
      <c r="H58" s="432">
        <f>SUM(D58*E58*F58*G58)</f>
        <v>1638</v>
      </c>
      <c r="I58" s="432">
        <v>0</v>
      </c>
      <c r="J58" s="432">
        <v>0</v>
      </c>
      <c r="K58" s="432">
        <f>H58-I58-J58</f>
        <v>1638</v>
      </c>
      <c r="L58" s="8"/>
      <c r="M58" s="435">
        <f>PRODUCT(K58,1/2)</f>
        <v>819</v>
      </c>
      <c r="N58" s="435">
        <f>PRODUCT(K58,1/4)</f>
        <v>409.5</v>
      </c>
      <c r="O58" s="435">
        <f>PRODUCT(K58,1/4)</f>
        <v>409.5</v>
      </c>
      <c r="P58" s="436">
        <f>K58-M58-N58-O58</f>
        <v>0</v>
      </c>
      <c r="Q58" s="8"/>
      <c r="R58" s="8"/>
    </row>
    <row r="59" spans="1:18" x14ac:dyDescent="0.35">
      <c r="A59" s="19"/>
      <c r="B59" s="445" t="s">
        <v>128</v>
      </c>
      <c r="C59" s="432" t="s">
        <v>129</v>
      </c>
      <c r="D59" s="444">
        <v>700</v>
      </c>
      <c r="E59" s="433">
        <v>2</v>
      </c>
      <c r="F59" s="433">
        <v>4</v>
      </c>
      <c r="G59" s="434">
        <v>1</v>
      </c>
      <c r="H59" s="439">
        <f>D59*E59*F59*G59</f>
        <v>5600</v>
      </c>
      <c r="I59" s="439">
        <v>0</v>
      </c>
      <c r="J59" s="439"/>
      <c r="K59" s="439">
        <f>H59</f>
        <v>5600</v>
      </c>
      <c r="L59" s="108"/>
      <c r="M59" s="446">
        <f>K59/2</f>
        <v>2800</v>
      </c>
      <c r="N59" s="446">
        <f>K59-M59</f>
        <v>2800</v>
      </c>
      <c r="O59" s="435"/>
      <c r="P59" s="436"/>
      <c r="Q59" s="8"/>
      <c r="R59" s="8"/>
    </row>
    <row r="60" spans="1:18" x14ac:dyDescent="0.35">
      <c r="A60" s="19">
        <f>A58+0.1</f>
        <v>6.3999999999999986</v>
      </c>
      <c r="B60" s="431" t="s">
        <v>130</v>
      </c>
      <c r="C60" s="432" t="s">
        <v>124</v>
      </c>
      <c r="D60" s="432">
        <v>20</v>
      </c>
      <c r="E60" s="440">
        <v>5</v>
      </c>
      <c r="F60" s="440">
        <v>2</v>
      </c>
      <c r="G60" s="434">
        <v>1</v>
      </c>
      <c r="H60" s="432">
        <f>SUM(D60*E60*F60*G60)</f>
        <v>200</v>
      </c>
      <c r="I60" s="432">
        <v>0</v>
      </c>
      <c r="J60" s="432">
        <v>0</v>
      </c>
      <c r="K60" s="432">
        <f>H60-I60-J60</f>
        <v>200</v>
      </c>
      <c r="L60" s="8"/>
      <c r="M60" s="435">
        <f>PRODUCT(K60,1/2)</f>
        <v>100</v>
      </c>
      <c r="N60" s="435">
        <f>PRODUCT(K60,1/4)</f>
        <v>50</v>
      </c>
      <c r="O60" s="435">
        <f>PRODUCT(K60,1/4)</f>
        <v>50</v>
      </c>
      <c r="P60" s="436">
        <f>K60-M60-N60-O60</f>
        <v>0</v>
      </c>
      <c r="Q60" s="8"/>
      <c r="R60" s="8"/>
    </row>
    <row r="61" spans="1:18" x14ac:dyDescent="0.35">
      <c r="A61" s="19"/>
      <c r="B61" s="811" t="s">
        <v>131</v>
      </c>
      <c r="C61" s="812"/>
      <c r="D61" s="812"/>
      <c r="E61" s="812"/>
      <c r="F61" s="812"/>
      <c r="G61" s="813"/>
      <c r="H61" s="437">
        <f t="shared" ref="H61:P61" si="10">SUM(H56:H60)</f>
        <v>17746</v>
      </c>
      <c r="I61" s="437">
        <f t="shared" si="10"/>
        <v>18246.400000000001</v>
      </c>
      <c r="J61" s="437">
        <f t="shared" si="10"/>
        <v>0</v>
      </c>
      <c r="K61" s="437">
        <f t="shared" si="10"/>
        <v>-500.39999999999964</v>
      </c>
      <c r="L61" s="9">
        <f t="shared" si="10"/>
        <v>0</v>
      </c>
      <c r="M61" s="438">
        <f t="shared" si="10"/>
        <v>-250.19999999999982</v>
      </c>
      <c r="N61" s="438">
        <f t="shared" si="10"/>
        <v>1274.9000000000001</v>
      </c>
      <c r="O61" s="438">
        <f t="shared" si="10"/>
        <v>-1525.1</v>
      </c>
      <c r="P61" s="438">
        <f t="shared" si="10"/>
        <v>0</v>
      </c>
      <c r="Q61" s="9"/>
      <c r="R61" s="9"/>
    </row>
    <row r="62" spans="1:18" x14ac:dyDescent="0.35">
      <c r="A62" s="25">
        <v>7</v>
      </c>
      <c r="B62" s="814" t="s">
        <v>132</v>
      </c>
      <c r="C62" s="814"/>
      <c r="D62" s="814"/>
      <c r="E62" s="814"/>
      <c r="F62" s="814"/>
      <c r="G62" s="814"/>
      <c r="H62" s="814"/>
      <c r="I62" s="814"/>
      <c r="J62" s="814"/>
      <c r="K62" s="814"/>
      <c r="L62" s="814"/>
      <c r="M62" s="814"/>
      <c r="N62" s="814"/>
      <c r="O62" s="814"/>
      <c r="P62" s="814"/>
      <c r="Q62" s="9"/>
      <c r="R62" s="9"/>
    </row>
    <row r="63" spans="1:18" x14ac:dyDescent="0.35">
      <c r="A63" s="19">
        <f>A62+0.1</f>
        <v>7.1</v>
      </c>
      <c r="B63" s="431"/>
      <c r="C63" s="432"/>
      <c r="D63" s="432"/>
      <c r="E63" s="433"/>
      <c r="F63" s="433"/>
      <c r="G63" s="434"/>
      <c r="H63" s="432">
        <f>SUM(D63*E63*F63*G63)</f>
        <v>0</v>
      </c>
      <c r="I63" s="432">
        <v>0</v>
      </c>
      <c r="J63" s="432">
        <v>0</v>
      </c>
      <c r="K63" s="432">
        <f>H63-I63-J63</f>
        <v>0</v>
      </c>
      <c r="L63" s="8"/>
      <c r="M63" s="435"/>
      <c r="N63" s="435"/>
      <c r="O63" s="435"/>
      <c r="P63" s="436">
        <f>K63-M63-N63-O63</f>
        <v>0</v>
      </c>
      <c r="Q63" s="8"/>
      <c r="R63" s="8"/>
    </row>
    <row r="64" spans="1:18" x14ac:dyDescent="0.35">
      <c r="A64" s="19"/>
      <c r="B64" s="811" t="s">
        <v>133</v>
      </c>
      <c r="C64" s="812"/>
      <c r="D64" s="812"/>
      <c r="E64" s="812"/>
      <c r="F64" s="812"/>
      <c r="G64" s="813"/>
      <c r="H64" s="437">
        <f t="shared" ref="H64:P64" si="11">SUM(H63:H63)</f>
        <v>0</v>
      </c>
      <c r="I64" s="437">
        <f t="shared" si="11"/>
        <v>0</v>
      </c>
      <c r="J64" s="437">
        <f t="shared" si="11"/>
        <v>0</v>
      </c>
      <c r="K64" s="437">
        <f t="shared" si="11"/>
        <v>0</v>
      </c>
      <c r="L64" s="9">
        <f t="shared" si="11"/>
        <v>0</v>
      </c>
      <c r="M64" s="438">
        <f t="shared" si="11"/>
        <v>0</v>
      </c>
      <c r="N64" s="438">
        <f t="shared" si="11"/>
        <v>0</v>
      </c>
      <c r="O64" s="438">
        <f t="shared" si="11"/>
        <v>0</v>
      </c>
      <c r="P64" s="438">
        <f t="shared" si="11"/>
        <v>0</v>
      </c>
      <c r="Q64" s="9"/>
      <c r="R64" s="9"/>
    </row>
    <row r="65" spans="1:18" x14ac:dyDescent="0.35">
      <c r="A65" s="25">
        <v>8</v>
      </c>
      <c r="B65" s="814" t="s">
        <v>134</v>
      </c>
      <c r="C65" s="814"/>
      <c r="D65" s="814"/>
      <c r="E65" s="814"/>
      <c r="F65" s="814"/>
      <c r="G65" s="814"/>
      <c r="H65" s="814"/>
      <c r="I65" s="814"/>
      <c r="J65" s="814"/>
      <c r="K65" s="814"/>
      <c r="L65" s="814"/>
      <c r="M65" s="814" t="s">
        <v>135</v>
      </c>
      <c r="N65" s="814"/>
      <c r="O65" s="814"/>
      <c r="P65" s="814"/>
      <c r="Q65" s="9"/>
      <c r="R65" s="9"/>
    </row>
    <row r="66" spans="1:18" x14ac:dyDescent="0.35">
      <c r="A66" s="19">
        <f>A65+0.1</f>
        <v>8.1</v>
      </c>
      <c r="B66" s="431" t="s">
        <v>136</v>
      </c>
      <c r="C66" s="447">
        <v>0.05</v>
      </c>
      <c r="D66" s="432" t="e">
        <f>#REF!</f>
        <v>#REF!</v>
      </c>
      <c r="E66" s="433">
        <v>1</v>
      </c>
      <c r="F66" s="433" t="e">
        <f>#REF!</f>
        <v>#REF!</v>
      </c>
      <c r="G66" s="434">
        <v>0.05</v>
      </c>
      <c r="H66" s="432" t="e">
        <f>SUM(D66*E66*F66*G66)</f>
        <v>#REF!</v>
      </c>
      <c r="I66" s="432">
        <v>0</v>
      </c>
      <c r="J66" s="432">
        <v>0</v>
      </c>
      <c r="K66" s="432" t="e">
        <f>H66-I66-J66</f>
        <v>#REF!</v>
      </c>
      <c r="L66" s="8"/>
      <c r="M66" s="435"/>
      <c r="N66" s="435"/>
      <c r="O66" s="435"/>
      <c r="P66" s="436" t="e">
        <f>K66-M66-N66-O66</f>
        <v>#REF!</v>
      </c>
      <c r="Q66" s="8"/>
      <c r="R66" s="8"/>
    </row>
    <row r="67" spans="1:18" x14ac:dyDescent="0.35">
      <c r="A67" s="19"/>
      <c r="B67" s="811" t="s">
        <v>137</v>
      </c>
      <c r="C67" s="812"/>
      <c r="D67" s="812"/>
      <c r="E67" s="812"/>
      <c r="F67" s="812"/>
      <c r="G67" s="813"/>
      <c r="H67" s="437" t="e">
        <f t="shared" ref="H67:P67" si="12">SUM(H66:H66)</f>
        <v>#REF!</v>
      </c>
      <c r="I67" s="437">
        <f t="shared" si="12"/>
        <v>0</v>
      </c>
      <c r="J67" s="437">
        <f t="shared" si="12"/>
        <v>0</v>
      </c>
      <c r="K67" s="437" t="e">
        <f t="shared" si="12"/>
        <v>#REF!</v>
      </c>
      <c r="L67" s="9">
        <f t="shared" si="12"/>
        <v>0</v>
      </c>
      <c r="M67" s="438">
        <f t="shared" si="12"/>
        <v>0</v>
      </c>
      <c r="N67" s="438">
        <f t="shared" si="12"/>
        <v>0</v>
      </c>
      <c r="O67" s="438">
        <f t="shared" si="12"/>
        <v>0</v>
      </c>
      <c r="P67" s="438" t="e">
        <f t="shared" si="12"/>
        <v>#REF!</v>
      </c>
      <c r="Q67" s="9"/>
      <c r="R67" s="9"/>
    </row>
    <row r="68" spans="1:18" x14ac:dyDescent="0.35">
      <c r="A68" s="25">
        <v>9</v>
      </c>
      <c r="B68" s="814" t="s">
        <v>138</v>
      </c>
      <c r="C68" s="814"/>
      <c r="D68" s="814"/>
      <c r="E68" s="814"/>
      <c r="F68" s="814"/>
      <c r="G68" s="814"/>
      <c r="H68" s="814"/>
      <c r="I68" s="814"/>
      <c r="J68" s="814"/>
      <c r="K68" s="814"/>
      <c r="L68" s="814"/>
      <c r="M68" s="814"/>
      <c r="N68" s="814"/>
      <c r="O68" s="814"/>
      <c r="P68" s="814"/>
      <c r="Q68" s="9"/>
      <c r="R68" s="9"/>
    </row>
    <row r="69" spans="1:18" x14ac:dyDescent="0.35">
      <c r="A69" s="19">
        <f>A68+0.1</f>
        <v>9.1</v>
      </c>
      <c r="B69" s="431" t="s">
        <v>139</v>
      </c>
      <c r="C69" s="432" t="s">
        <v>140</v>
      </c>
      <c r="D69" s="432">
        <v>500</v>
      </c>
      <c r="E69" s="433">
        <v>1</v>
      </c>
      <c r="F69" s="433">
        <v>1</v>
      </c>
      <c r="G69" s="434">
        <v>1</v>
      </c>
      <c r="H69" s="432">
        <f>SUM(D69*E69*F69*G69)</f>
        <v>500</v>
      </c>
      <c r="I69" s="432">
        <f>H69</f>
        <v>500</v>
      </c>
      <c r="J69" s="432">
        <v>0</v>
      </c>
      <c r="K69" s="432">
        <f>H69-I69-J69</f>
        <v>0</v>
      </c>
      <c r="L69" s="8"/>
      <c r="M69" s="435">
        <v>0</v>
      </c>
      <c r="N69" s="435">
        <v>0</v>
      </c>
      <c r="O69" s="435">
        <v>0</v>
      </c>
      <c r="P69" s="436">
        <f>K69-M69-N69-O69</f>
        <v>0</v>
      </c>
      <c r="Q69" s="8"/>
      <c r="R69" s="8"/>
    </row>
    <row r="70" spans="1:18" ht="28.5" x14ac:dyDescent="0.35">
      <c r="A70" s="19">
        <f>A69+0.1</f>
        <v>9.1999999999999993</v>
      </c>
      <c r="B70" s="431" t="s">
        <v>141</v>
      </c>
      <c r="C70" s="432" t="s">
        <v>140</v>
      </c>
      <c r="D70" s="432">
        <v>150</v>
      </c>
      <c r="E70" s="433">
        <v>1</v>
      </c>
      <c r="F70" s="433" t="e">
        <f>#REF!</f>
        <v>#REF!</v>
      </c>
      <c r="G70" s="434">
        <v>1</v>
      </c>
      <c r="H70" s="432" t="e">
        <f>SUM(D70*E70*F70*G70)</f>
        <v>#REF!</v>
      </c>
      <c r="I70" s="432" t="e">
        <f>H70</f>
        <v>#REF!</v>
      </c>
      <c r="J70" s="432">
        <v>0</v>
      </c>
      <c r="K70" s="432" t="e">
        <f>H70-I70-J70</f>
        <v>#REF!</v>
      </c>
      <c r="L70" s="8"/>
      <c r="M70" s="435">
        <v>0</v>
      </c>
      <c r="N70" s="435">
        <v>0</v>
      </c>
      <c r="O70" s="435">
        <v>0</v>
      </c>
      <c r="P70" s="436" t="e">
        <f>K70-M70-N70-O70</f>
        <v>#REF!</v>
      </c>
      <c r="Q70" s="8"/>
      <c r="R70" s="8"/>
    </row>
    <row r="71" spans="1:18" x14ac:dyDescent="0.35">
      <c r="A71" s="19"/>
      <c r="B71" s="811" t="s">
        <v>142</v>
      </c>
      <c r="C71" s="812"/>
      <c r="D71" s="812"/>
      <c r="E71" s="812"/>
      <c r="F71" s="812"/>
      <c r="G71" s="813"/>
      <c r="H71" s="437" t="e">
        <f t="shared" ref="H71:P71" si="13">SUM(H69:H70)</f>
        <v>#REF!</v>
      </c>
      <c r="I71" s="437" t="e">
        <f t="shared" si="13"/>
        <v>#REF!</v>
      </c>
      <c r="J71" s="437">
        <f t="shared" si="13"/>
        <v>0</v>
      </c>
      <c r="K71" s="437" t="e">
        <f t="shared" si="13"/>
        <v>#REF!</v>
      </c>
      <c r="L71" s="9">
        <f t="shared" si="13"/>
        <v>0</v>
      </c>
      <c r="M71" s="438">
        <f t="shared" si="13"/>
        <v>0</v>
      </c>
      <c r="N71" s="438">
        <f t="shared" si="13"/>
        <v>0</v>
      </c>
      <c r="O71" s="438">
        <f t="shared" si="13"/>
        <v>0</v>
      </c>
      <c r="P71" s="438" t="e">
        <f t="shared" si="13"/>
        <v>#REF!</v>
      </c>
      <c r="Q71" s="9"/>
      <c r="R71" s="9"/>
    </row>
    <row r="72" spans="1:18" x14ac:dyDescent="0.35">
      <c r="A72" s="25">
        <v>10</v>
      </c>
      <c r="B72" s="814" t="s">
        <v>143</v>
      </c>
      <c r="C72" s="814"/>
      <c r="D72" s="814"/>
      <c r="E72" s="814"/>
      <c r="F72" s="814"/>
      <c r="G72" s="814"/>
      <c r="H72" s="814"/>
      <c r="I72" s="814"/>
      <c r="J72" s="814"/>
      <c r="K72" s="814"/>
      <c r="L72" s="814"/>
      <c r="M72" s="814"/>
      <c r="N72" s="814"/>
      <c r="O72" s="814"/>
      <c r="P72" s="814"/>
      <c r="Q72" s="9"/>
      <c r="R72" s="9"/>
    </row>
    <row r="73" spans="1:18" x14ac:dyDescent="0.35">
      <c r="A73" s="19">
        <f>A72+0.1</f>
        <v>10.1</v>
      </c>
      <c r="B73" s="431"/>
      <c r="C73" s="432"/>
      <c r="D73" s="432"/>
      <c r="E73" s="433"/>
      <c r="F73" s="433"/>
      <c r="G73" s="434"/>
      <c r="H73" s="432">
        <f>SUM(D73*E73*F73*G73)</f>
        <v>0</v>
      </c>
      <c r="I73" s="432">
        <v>0</v>
      </c>
      <c r="J73" s="432">
        <v>0</v>
      </c>
      <c r="K73" s="432">
        <f>H73-I73-J73</f>
        <v>0</v>
      </c>
      <c r="L73" s="8"/>
      <c r="M73" s="435"/>
      <c r="N73" s="435"/>
      <c r="O73" s="435"/>
      <c r="P73" s="436">
        <f>K73-M73-N73-O73</f>
        <v>0</v>
      </c>
      <c r="Q73" s="8"/>
      <c r="R73" s="8"/>
    </row>
    <row r="74" spans="1:18" x14ac:dyDescent="0.35">
      <c r="A74" s="19"/>
      <c r="B74" s="811" t="s">
        <v>144</v>
      </c>
      <c r="C74" s="812"/>
      <c r="D74" s="812"/>
      <c r="E74" s="812"/>
      <c r="F74" s="812"/>
      <c r="G74" s="813"/>
      <c r="H74" s="437">
        <f t="shared" ref="H74:P74" si="14">SUM(H73:H73)</f>
        <v>0</v>
      </c>
      <c r="I74" s="437">
        <f t="shared" si="14"/>
        <v>0</v>
      </c>
      <c r="J74" s="437">
        <f t="shared" si="14"/>
        <v>0</v>
      </c>
      <c r="K74" s="437">
        <f t="shared" si="14"/>
        <v>0</v>
      </c>
      <c r="L74" s="9">
        <f t="shared" si="14"/>
        <v>0</v>
      </c>
      <c r="M74" s="438">
        <f t="shared" si="14"/>
        <v>0</v>
      </c>
      <c r="N74" s="438">
        <f t="shared" si="14"/>
        <v>0</v>
      </c>
      <c r="O74" s="438">
        <f t="shared" si="14"/>
        <v>0</v>
      </c>
      <c r="P74" s="438">
        <f t="shared" si="14"/>
        <v>0</v>
      </c>
      <c r="Q74" s="9"/>
      <c r="R74" s="9"/>
    </row>
    <row r="75" spans="1:18" x14ac:dyDescent="0.35">
      <c r="A75" s="19"/>
      <c r="B75" s="815" t="s">
        <v>145</v>
      </c>
      <c r="C75" s="816"/>
      <c r="D75" s="816"/>
      <c r="E75" s="816"/>
      <c r="F75" s="816"/>
      <c r="G75" s="817"/>
      <c r="H75" s="448" t="e">
        <f t="shared" ref="H75:P75" si="15">SUM(H29+H36+H39+H50+H61+H54+H64+H67+H71+H74)</f>
        <v>#REF!</v>
      </c>
      <c r="I75" s="448" t="e">
        <f t="shared" si="15"/>
        <v>#REF!</v>
      </c>
      <c r="J75" s="448" t="e">
        <f t="shared" si="15"/>
        <v>#REF!</v>
      </c>
      <c r="K75" s="448" t="e">
        <f t="shared" si="15"/>
        <v>#REF!</v>
      </c>
      <c r="L75" s="9">
        <f t="shared" si="15"/>
        <v>0</v>
      </c>
      <c r="M75" s="448" t="e">
        <f t="shared" si="15"/>
        <v>#REF!</v>
      </c>
      <c r="N75" s="448" t="e">
        <f t="shared" si="15"/>
        <v>#REF!</v>
      </c>
      <c r="O75" s="448" t="e">
        <f t="shared" si="15"/>
        <v>#REF!</v>
      </c>
      <c r="P75" s="448" t="e">
        <f t="shared" si="15"/>
        <v>#REF!</v>
      </c>
      <c r="Q75" s="8"/>
      <c r="R75" s="8"/>
    </row>
    <row r="76" spans="1:18" x14ac:dyDescent="0.35">
      <c r="A76" s="19"/>
      <c r="B76" s="29"/>
      <c r="C76" s="26"/>
      <c r="D76" s="26"/>
      <c r="E76" s="28"/>
      <c r="F76" s="28"/>
      <c r="G76" s="27"/>
      <c r="H76" s="26"/>
      <c r="I76" s="26"/>
      <c r="J76" s="26"/>
      <c r="K76" s="26"/>
      <c r="L76" s="1"/>
      <c r="M76" s="59"/>
      <c r="N76" s="59"/>
      <c r="O76" s="59"/>
      <c r="P76" s="60"/>
      <c r="Q76" s="1"/>
      <c r="R76" s="1"/>
    </row>
    <row r="77" spans="1:18" ht="18" customHeight="1" x14ac:dyDescent="0.35">
      <c r="A77" s="19"/>
      <c r="B77" s="805" t="s">
        <v>146</v>
      </c>
      <c r="C77" s="806"/>
      <c r="D77" s="806"/>
      <c r="E77" s="806"/>
      <c r="F77" s="806"/>
      <c r="G77" s="806"/>
      <c r="H77" s="806"/>
      <c r="I77" s="806"/>
      <c r="J77" s="806"/>
      <c r="K77" s="807"/>
      <c r="L77" s="67"/>
      <c r="M77" s="818" t="s">
        <v>147</v>
      </c>
      <c r="N77" s="819"/>
      <c r="O77" s="819"/>
      <c r="P77" s="820"/>
      <c r="Q77" s="1"/>
      <c r="R77" s="1"/>
    </row>
    <row r="78" spans="1:18" ht="15.75" customHeight="1" x14ac:dyDescent="0.35">
      <c r="A78" s="66"/>
      <c r="B78" s="824" t="s">
        <v>148</v>
      </c>
      <c r="C78" s="828"/>
      <c r="D78" s="828"/>
      <c r="E78" s="828"/>
      <c r="F78" s="828"/>
      <c r="G78" s="828"/>
      <c r="H78" s="828"/>
      <c r="I78" s="828"/>
      <c r="J78" s="828"/>
      <c r="K78" s="829"/>
      <c r="L78" s="67"/>
      <c r="M78" s="821"/>
      <c r="N78" s="822"/>
      <c r="O78" s="822"/>
      <c r="P78" s="823"/>
      <c r="Q78" s="68"/>
      <c r="R78" s="68"/>
    </row>
    <row r="79" spans="1:18" ht="39" x14ac:dyDescent="0.35">
      <c r="A79" s="49"/>
      <c r="B79" s="425" t="s">
        <v>74</v>
      </c>
      <c r="C79" s="426" t="s">
        <v>75</v>
      </c>
      <c r="D79" s="427" t="s">
        <v>76</v>
      </c>
      <c r="E79" s="428" t="s">
        <v>77</v>
      </c>
      <c r="F79" s="428" t="s">
        <v>78</v>
      </c>
      <c r="G79" s="429" t="s">
        <v>79</v>
      </c>
      <c r="H79" s="426" t="s">
        <v>80</v>
      </c>
      <c r="I79" s="430" t="s">
        <v>81</v>
      </c>
      <c r="J79" s="430" t="s">
        <v>82</v>
      </c>
      <c r="K79" s="426" t="s">
        <v>83</v>
      </c>
      <c r="L79" s="71"/>
      <c r="M79" s="422" t="s">
        <v>149</v>
      </c>
      <c r="N79" s="422" t="s">
        <v>53</v>
      </c>
      <c r="O79" s="422" t="s">
        <v>84</v>
      </c>
      <c r="P79" s="422" t="s">
        <v>85</v>
      </c>
      <c r="Q79" s="72"/>
      <c r="R79" s="72"/>
    </row>
    <row r="80" spans="1:18" ht="15.75" customHeight="1" x14ac:dyDescent="0.35">
      <c r="A80" s="25">
        <v>11</v>
      </c>
      <c r="B80" s="827" t="s">
        <v>150</v>
      </c>
      <c r="C80" s="827"/>
      <c r="D80" s="827"/>
      <c r="E80" s="827"/>
      <c r="F80" s="827"/>
      <c r="G80" s="827"/>
      <c r="H80" s="827"/>
      <c r="I80" s="827"/>
      <c r="J80" s="827"/>
      <c r="K80" s="827"/>
      <c r="L80" s="827"/>
      <c r="M80" s="827"/>
      <c r="N80" s="827"/>
      <c r="O80" s="827"/>
      <c r="P80" s="827"/>
      <c r="Q80" s="9"/>
      <c r="R80" s="9"/>
    </row>
    <row r="81" spans="1:18" x14ac:dyDescent="0.35">
      <c r="A81" s="19">
        <f>A80+0.1</f>
        <v>11.1</v>
      </c>
      <c r="B81" s="431"/>
      <c r="C81" s="432"/>
      <c r="D81" s="432"/>
      <c r="E81" s="433"/>
      <c r="F81" s="433"/>
      <c r="G81" s="434"/>
      <c r="H81" s="432">
        <f>SUM(D81*E81*F81*G81)</f>
        <v>0</v>
      </c>
      <c r="I81" s="432">
        <v>0</v>
      </c>
      <c r="J81" s="432">
        <v>0</v>
      </c>
      <c r="K81" s="432">
        <f>H81-I81-J81</f>
        <v>0</v>
      </c>
      <c r="L81" s="8"/>
      <c r="M81" s="435">
        <v>0</v>
      </c>
      <c r="N81" s="435">
        <v>0</v>
      </c>
      <c r="O81" s="435">
        <v>0</v>
      </c>
      <c r="P81" s="436">
        <f>K81-M81-N81-O81</f>
        <v>0</v>
      </c>
      <c r="Q81" s="8"/>
      <c r="R81" s="8"/>
    </row>
    <row r="82" spans="1:18" x14ac:dyDescent="0.35">
      <c r="A82" s="19"/>
      <c r="B82" s="811" t="s">
        <v>151</v>
      </c>
      <c r="C82" s="812"/>
      <c r="D82" s="812"/>
      <c r="E82" s="812"/>
      <c r="F82" s="812"/>
      <c r="G82" s="813"/>
      <c r="H82" s="449">
        <f t="shared" ref="H82:P82" si="16">SUM(H81:H81)</f>
        <v>0</v>
      </c>
      <c r="I82" s="449">
        <f t="shared" si="16"/>
        <v>0</v>
      </c>
      <c r="J82" s="449">
        <f t="shared" si="16"/>
        <v>0</v>
      </c>
      <c r="K82" s="449">
        <f t="shared" si="16"/>
        <v>0</v>
      </c>
      <c r="L82" s="9">
        <f t="shared" si="16"/>
        <v>0</v>
      </c>
      <c r="M82" s="438">
        <f t="shared" si="16"/>
        <v>0</v>
      </c>
      <c r="N82" s="438">
        <f t="shared" si="16"/>
        <v>0</v>
      </c>
      <c r="O82" s="438">
        <f t="shared" si="16"/>
        <v>0</v>
      </c>
      <c r="P82" s="438">
        <f t="shared" si="16"/>
        <v>0</v>
      </c>
      <c r="Q82" s="9"/>
      <c r="R82" s="9"/>
    </row>
    <row r="83" spans="1:18" x14ac:dyDescent="0.35">
      <c r="A83" s="25">
        <v>12</v>
      </c>
      <c r="B83" s="814" t="s">
        <v>152</v>
      </c>
      <c r="C83" s="814"/>
      <c r="D83" s="814"/>
      <c r="E83" s="814"/>
      <c r="F83" s="814"/>
      <c r="G83" s="814"/>
      <c r="H83" s="814"/>
      <c r="I83" s="814"/>
      <c r="J83" s="814"/>
      <c r="K83" s="814"/>
      <c r="L83" s="814"/>
      <c r="M83" s="814"/>
      <c r="N83" s="814"/>
      <c r="O83" s="814"/>
      <c r="P83" s="814"/>
      <c r="Q83" s="9"/>
      <c r="R83" s="9"/>
    </row>
    <row r="84" spans="1:18" x14ac:dyDescent="0.35">
      <c r="A84" s="19">
        <f>A83+0.1</f>
        <v>12.1</v>
      </c>
      <c r="B84" s="431" t="s">
        <v>153</v>
      </c>
      <c r="C84" s="432" t="s">
        <v>90</v>
      </c>
      <c r="D84" s="439">
        <v>1350</v>
      </c>
      <c r="E84" s="433">
        <v>5</v>
      </c>
      <c r="F84" s="433">
        <v>1</v>
      </c>
      <c r="G84" s="434">
        <v>0.5</v>
      </c>
      <c r="H84" s="432">
        <f>SUM(D84*E84*F84*G84)</f>
        <v>3375</v>
      </c>
      <c r="I84" s="432">
        <v>0</v>
      </c>
      <c r="J84" s="432">
        <v>0</v>
      </c>
      <c r="K84" s="432">
        <f>H84-I84-J84</f>
        <v>3375</v>
      </c>
      <c r="L84" s="8"/>
      <c r="M84" s="435">
        <f>PRODUCT(K84,3/8)</f>
        <v>1265.625</v>
      </c>
      <c r="N84" s="435">
        <f>PRODUCT(K84,3/8)</f>
        <v>1265.625</v>
      </c>
      <c r="O84" s="435">
        <f>PRODUCT(K84,1/4)</f>
        <v>843.75</v>
      </c>
      <c r="P84" s="436">
        <f>K84-M84-N84-O84</f>
        <v>0</v>
      </c>
      <c r="Q84" s="8"/>
      <c r="R84" s="8"/>
    </row>
    <row r="85" spans="1:18" x14ac:dyDescent="0.35">
      <c r="A85" s="19">
        <f>A84+0.1</f>
        <v>12.2</v>
      </c>
      <c r="B85" s="431" t="s">
        <v>154</v>
      </c>
      <c r="C85" s="432" t="s">
        <v>90</v>
      </c>
      <c r="D85" s="439">
        <v>750</v>
      </c>
      <c r="E85" s="450">
        <v>5</v>
      </c>
      <c r="F85" s="433">
        <v>1</v>
      </c>
      <c r="G85" s="434">
        <v>0.5</v>
      </c>
      <c r="H85" s="432">
        <f>SUM(D85*E85*F85*G85)</f>
        <v>1875</v>
      </c>
      <c r="I85" s="432">
        <v>0</v>
      </c>
      <c r="J85" s="432">
        <v>0</v>
      </c>
      <c r="K85" s="432">
        <f>H85-I85-J85</f>
        <v>1875</v>
      </c>
      <c r="L85" s="8"/>
      <c r="M85" s="435">
        <f>PRODUCT(K85,3/8)</f>
        <v>703.125</v>
      </c>
      <c r="N85" s="435">
        <f>PRODUCT(K85,3/8)</f>
        <v>703.125</v>
      </c>
      <c r="O85" s="435">
        <f>PRODUCT(K85,1/4)</f>
        <v>468.75</v>
      </c>
      <c r="P85" s="436">
        <f>K85-M85-N85-O85</f>
        <v>0</v>
      </c>
      <c r="Q85" s="8"/>
      <c r="R85" s="8"/>
    </row>
    <row r="86" spans="1:18" x14ac:dyDescent="0.35">
      <c r="A86" s="19">
        <f>A85+0.1</f>
        <v>12.299999999999999</v>
      </c>
      <c r="B86" s="431" t="s">
        <v>155</v>
      </c>
      <c r="C86" s="432" t="s">
        <v>90</v>
      </c>
      <c r="D86" s="432">
        <v>420</v>
      </c>
      <c r="E86" s="433">
        <v>5</v>
      </c>
      <c r="F86" s="433">
        <v>1</v>
      </c>
      <c r="G86" s="434">
        <v>0.5</v>
      </c>
      <c r="H86" s="432">
        <f>SUM(D86*E86*F86*G86)</f>
        <v>1050</v>
      </c>
      <c r="I86" s="432">
        <v>0</v>
      </c>
      <c r="J86" s="432">
        <v>0</v>
      </c>
      <c r="K86" s="432">
        <f>H86-I86-J86</f>
        <v>1050</v>
      </c>
      <c r="L86" s="8"/>
      <c r="M86" s="435">
        <f>PRODUCT(K86,3/8)</f>
        <v>393.75</v>
      </c>
      <c r="N86" s="435">
        <f>PRODUCT(K86,3/8)</f>
        <v>393.75</v>
      </c>
      <c r="O86" s="435">
        <f>PRODUCT(K86,1/4)</f>
        <v>262.5</v>
      </c>
      <c r="P86" s="436">
        <f>K86-M86-N86-O86</f>
        <v>0</v>
      </c>
      <c r="Q86" s="8"/>
      <c r="R86" s="8"/>
    </row>
    <row r="87" spans="1:18" x14ac:dyDescent="0.35">
      <c r="A87" s="19">
        <f>A86+0.1</f>
        <v>12.399999999999999</v>
      </c>
      <c r="B87" s="431" t="s">
        <v>156</v>
      </c>
      <c r="C87" s="432" t="s">
        <v>93</v>
      </c>
      <c r="D87" s="432">
        <v>700</v>
      </c>
      <c r="E87" s="433">
        <v>1</v>
      </c>
      <c r="F87" s="433">
        <v>1</v>
      </c>
      <c r="G87" s="434">
        <v>0.5</v>
      </c>
      <c r="H87" s="432">
        <f>SUM(D87*E87*F87*G87)</f>
        <v>350</v>
      </c>
      <c r="I87" s="432">
        <v>0</v>
      </c>
      <c r="J87" s="432">
        <v>0</v>
      </c>
      <c r="K87" s="432">
        <f>H87-I87-J87</f>
        <v>350</v>
      </c>
      <c r="L87" s="8"/>
      <c r="M87" s="435">
        <f>PRODUCT(K87,3/8)</f>
        <v>131.25</v>
      </c>
      <c r="N87" s="435">
        <f>PRODUCT(K87,3/8)</f>
        <v>131.25</v>
      </c>
      <c r="O87" s="435">
        <f>PRODUCT(K87,1/4)</f>
        <v>87.5</v>
      </c>
      <c r="P87" s="436">
        <f>K87-M87-N87-O87</f>
        <v>0</v>
      </c>
      <c r="Q87" s="8"/>
      <c r="R87" s="8"/>
    </row>
    <row r="88" spans="1:18" x14ac:dyDescent="0.35">
      <c r="A88" s="19"/>
      <c r="B88" s="811" t="s">
        <v>157</v>
      </c>
      <c r="C88" s="812"/>
      <c r="D88" s="812"/>
      <c r="E88" s="812"/>
      <c r="F88" s="812"/>
      <c r="G88" s="813"/>
      <c r="H88" s="449">
        <f t="shared" ref="H88:P88" si="17">SUM(H84:H87)</f>
        <v>6650</v>
      </c>
      <c r="I88" s="449">
        <f t="shared" si="17"/>
        <v>0</v>
      </c>
      <c r="J88" s="449">
        <f t="shared" si="17"/>
        <v>0</v>
      </c>
      <c r="K88" s="449">
        <f t="shared" si="17"/>
        <v>6650</v>
      </c>
      <c r="L88" s="9">
        <f t="shared" si="17"/>
        <v>0</v>
      </c>
      <c r="M88" s="438">
        <f t="shared" si="17"/>
        <v>2493.75</v>
      </c>
      <c r="N88" s="438">
        <f t="shared" si="17"/>
        <v>2493.75</v>
      </c>
      <c r="O88" s="438">
        <f t="shared" si="17"/>
        <v>1662.5</v>
      </c>
      <c r="P88" s="438">
        <f t="shared" si="17"/>
        <v>0</v>
      </c>
      <c r="Q88" s="9"/>
      <c r="R88" s="9"/>
    </row>
    <row r="89" spans="1:18" x14ac:dyDescent="0.35">
      <c r="A89" s="25">
        <v>13</v>
      </c>
      <c r="B89" s="814" t="s">
        <v>158</v>
      </c>
      <c r="C89" s="814"/>
      <c r="D89" s="814"/>
      <c r="E89" s="814"/>
      <c r="F89" s="814"/>
      <c r="G89" s="814"/>
      <c r="H89" s="814"/>
      <c r="I89" s="814"/>
      <c r="J89" s="814"/>
      <c r="K89" s="814"/>
      <c r="L89" s="814"/>
      <c r="M89" s="814" t="s">
        <v>159</v>
      </c>
      <c r="N89" s="814"/>
      <c r="O89" s="814"/>
      <c r="P89" s="814"/>
      <c r="Q89" s="9"/>
      <c r="R89" s="9"/>
    </row>
    <row r="90" spans="1:18" x14ac:dyDescent="0.35">
      <c r="A90" s="19">
        <f>A89+0.1</f>
        <v>13.1</v>
      </c>
      <c r="B90" s="431" t="s">
        <v>160</v>
      </c>
      <c r="C90" s="432" t="s">
        <v>99</v>
      </c>
      <c r="D90" s="432">
        <v>30</v>
      </c>
      <c r="E90" s="433">
        <f>3*8</f>
        <v>24</v>
      </c>
      <c r="F90" s="433">
        <v>1</v>
      </c>
      <c r="G90" s="434">
        <v>1</v>
      </c>
      <c r="H90" s="432">
        <f>SUM(D90*E90*F90*G90)</f>
        <v>720</v>
      </c>
      <c r="I90" s="432">
        <v>0</v>
      </c>
      <c r="J90" s="432">
        <v>0</v>
      </c>
      <c r="K90" s="432">
        <f>H90-I90-J90</f>
        <v>720</v>
      </c>
      <c r="L90" s="8"/>
      <c r="M90" s="435">
        <f>PRODUCT(K90,1/2)</f>
        <v>360</v>
      </c>
      <c r="N90" s="435">
        <f>PRODUCT(K90,1/4)</f>
        <v>180</v>
      </c>
      <c r="O90" s="435">
        <f>PRODUCT(K90,1/4)</f>
        <v>180</v>
      </c>
      <c r="P90" s="436">
        <f>K90-M90-N90-O90</f>
        <v>0</v>
      </c>
      <c r="Q90" s="8"/>
      <c r="R90" s="8"/>
    </row>
    <row r="91" spans="1:18" x14ac:dyDescent="0.35">
      <c r="A91" s="19">
        <f>A90+0.1</f>
        <v>13.2</v>
      </c>
      <c r="B91" s="431" t="s">
        <v>161</v>
      </c>
      <c r="C91" s="432" t="s">
        <v>99</v>
      </c>
      <c r="D91" s="432">
        <v>30</v>
      </c>
      <c r="E91" s="433">
        <f>3*8</f>
        <v>24</v>
      </c>
      <c r="F91" s="433">
        <v>1</v>
      </c>
      <c r="G91" s="434">
        <v>1</v>
      </c>
      <c r="H91" s="432">
        <f>SUM(D91*E91*F91*G91)</f>
        <v>720</v>
      </c>
      <c r="I91" s="432">
        <v>0</v>
      </c>
      <c r="J91" s="432">
        <v>0</v>
      </c>
      <c r="K91" s="432">
        <f>H91-I91-J91</f>
        <v>720</v>
      </c>
      <c r="L91" s="8"/>
      <c r="M91" s="435">
        <f>PRODUCT(K91,1/2)</f>
        <v>360</v>
      </c>
      <c r="N91" s="435">
        <f>PRODUCT(K91,1/4)</f>
        <v>180</v>
      </c>
      <c r="O91" s="435">
        <f>PRODUCT(K91,1/4)</f>
        <v>180</v>
      </c>
      <c r="P91" s="436">
        <f>K91-M91-N91-O91</f>
        <v>0</v>
      </c>
      <c r="Q91" s="8"/>
      <c r="R91" s="8"/>
    </row>
    <row r="92" spans="1:18" x14ac:dyDescent="0.35">
      <c r="A92" s="19"/>
      <c r="B92" s="811" t="s">
        <v>162</v>
      </c>
      <c r="C92" s="812"/>
      <c r="D92" s="812"/>
      <c r="E92" s="812"/>
      <c r="F92" s="812"/>
      <c r="G92" s="813"/>
      <c r="H92" s="449">
        <f t="shared" ref="H92:P92" si="18">SUM(H90:H91)</f>
        <v>1440</v>
      </c>
      <c r="I92" s="449">
        <f t="shared" si="18"/>
        <v>0</v>
      </c>
      <c r="J92" s="449">
        <f t="shared" si="18"/>
        <v>0</v>
      </c>
      <c r="K92" s="449">
        <f t="shared" si="18"/>
        <v>1440</v>
      </c>
      <c r="L92" s="9">
        <f t="shared" si="18"/>
        <v>0</v>
      </c>
      <c r="M92" s="438">
        <f t="shared" si="18"/>
        <v>720</v>
      </c>
      <c r="N92" s="438">
        <f t="shared" si="18"/>
        <v>360</v>
      </c>
      <c r="O92" s="438">
        <f t="shared" si="18"/>
        <v>360</v>
      </c>
      <c r="P92" s="438">
        <f t="shared" si="18"/>
        <v>0</v>
      </c>
      <c r="Q92" s="9"/>
      <c r="R92" s="9"/>
    </row>
    <row r="93" spans="1:18" x14ac:dyDescent="0.35">
      <c r="A93" s="25">
        <v>14</v>
      </c>
      <c r="B93" s="814" t="s">
        <v>163</v>
      </c>
      <c r="C93" s="814"/>
      <c r="D93" s="814"/>
      <c r="E93" s="814"/>
      <c r="F93" s="814"/>
      <c r="G93" s="814"/>
      <c r="H93" s="814"/>
      <c r="I93" s="814"/>
      <c r="J93" s="814"/>
      <c r="K93" s="814"/>
      <c r="L93" s="814"/>
      <c r="M93" s="814" t="s">
        <v>164</v>
      </c>
      <c r="N93" s="814"/>
      <c r="O93" s="814"/>
      <c r="P93" s="814"/>
      <c r="Q93" s="9"/>
      <c r="R93" s="9"/>
    </row>
    <row r="94" spans="1:18" x14ac:dyDescent="0.35">
      <c r="A94" s="19">
        <f>A93+0.1</f>
        <v>14.1</v>
      </c>
      <c r="B94" s="431"/>
      <c r="C94" s="432"/>
      <c r="D94" s="444"/>
      <c r="E94" s="433"/>
      <c r="F94" s="451"/>
      <c r="G94" s="434"/>
      <c r="H94" s="432">
        <f>SUM(D94*E94*F94*G94)</f>
        <v>0</v>
      </c>
      <c r="I94" s="432">
        <v>0</v>
      </c>
      <c r="J94" s="432">
        <v>0</v>
      </c>
      <c r="K94" s="432">
        <f>H94-I94-J94</f>
        <v>0</v>
      </c>
      <c r="L94" s="8"/>
      <c r="M94" s="435">
        <v>0</v>
      </c>
      <c r="N94" s="435">
        <v>0</v>
      </c>
      <c r="O94" s="435">
        <v>0</v>
      </c>
      <c r="P94" s="436">
        <f>K94-M94-N94-O94</f>
        <v>0</v>
      </c>
      <c r="Q94" s="8"/>
      <c r="R94" s="8"/>
    </row>
    <row r="95" spans="1:18" x14ac:dyDescent="0.35">
      <c r="A95" s="19"/>
      <c r="B95" s="811" t="s">
        <v>165</v>
      </c>
      <c r="C95" s="812"/>
      <c r="D95" s="812"/>
      <c r="E95" s="812"/>
      <c r="F95" s="812"/>
      <c r="G95" s="813"/>
      <c r="H95" s="449">
        <f t="shared" ref="H95:P95" si="19">SUM(H94:H94)</f>
        <v>0</v>
      </c>
      <c r="I95" s="449">
        <f t="shared" si="19"/>
        <v>0</v>
      </c>
      <c r="J95" s="449">
        <f t="shared" si="19"/>
        <v>0</v>
      </c>
      <c r="K95" s="449">
        <f t="shared" si="19"/>
        <v>0</v>
      </c>
      <c r="L95" s="9">
        <f t="shared" si="19"/>
        <v>0</v>
      </c>
      <c r="M95" s="438">
        <f t="shared" si="19"/>
        <v>0</v>
      </c>
      <c r="N95" s="438">
        <f t="shared" si="19"/>
        <v>0</v>
      </c>
      <c r="O95" s="438">
        <f t="shared" si="19"/>
        <v>0</v>
      </c>
      <c r="P95" s="438">
        <f t="shared" si="19"/>
        <v>0</v>
      </c>
      <c r="Q95" s="9"/>
      <c r="R95" s="9"/>
    </row>
    <row r="96" spans="1:18" x14ac:dyDescent="0.35">
      <c r="A96" s="25">
        <v>15</v>
      </c>
      <c r="B96" s="814" t="s">
        <v>166</v>
      </c>
      <c r="C96" s="814"/>
      <c r="D96" s="814"/>
      <c r="E96" s="814"/>
      <c r="F96" s="814"/>
      <c r="G96" s="814"/>
      <c r="H96" s="814"/>
      <c r="I96" s="814"/>
      <c r="J96" s="814"/>
      <c r="K96" s="814"/>
      <c r="L96" s="814"/>
      <c r="M96" s="814" t="s">
        <v>135</v>
      </c>
      <c r="N96" s="814"/>
      <c r="O96" s="814"/>
      <c r="P96" s="814"/>
      <c r="Q96" s="9"/>
      <c r="R96" s="9"/>
    </row>
    <row r="97" spans="1:18" x14ac:dyDescent="0.35">
      <c r="A97" s="19">
        <f>A96+0.1</f>
        <v>15.1</v>
      </c>
      <c r="B97" s="431" t="s">
        <v>167</v>
      </c>
      <c r="C97" s="432" t="s">
        <v>168</v>
      </c>
      <c r="D97" s="432">
        <v>50</v>
      </c>
      <c r="E97" s="433">
        <v>5</v>
      </c>
      <c r="F97" s="433">
        <v>1</v>
      </c>
      <c r="G97" s="434">
        <v>1</v>
      </c>
      <c r="H97" s="432">
        <f>SUM(D97*E97*F97*G97)</f>
        <v>250</v>
      </c>
      <c r="I97" s="432">
        <v>0</v>
      </c>
      <c r="J97" s="432">
        <v>0</v>
      </c>
      <c r="K97" s="432">
        <f>H97-I97-J97</f>
        <v>250</v>
      </c>
      <c r="L97" s="8"/>
      <c r="M97" s="435">
        <f>PRODUCT(K97,1/2)</f>
        <v>125</v>
      </c>
      <c r="N97" s="435">
        <f>PRODUCT(K97,1/4)</f>
        <v>62.5</v>
      </c>
      <c r="O97" s="435">
        <f>PRODUCT(K97,1/4)</f>
        <v>62.5</v>
      </c>
      <c r="P97" s="436">
        <f>K97-M97-N97-O97</f>
        <v>0</v>
      </c>
      <c r="Q97" s="8"/>
      <c r="R97" s="8"/>
    </row>
    <row r="98" spans="1:18" x14ac:dyDescent="0.35">
      <c r="A98" s="19">
        <f>A97+0.1</f>
        <v>15.2</v>
      </c>
      <c r="B98" s="431" t="s">
        <v>169</v>
      </c>
      <c r="C98" s="432" t="s">
        <v>168</v>
      </c>
      <c r="D98" s="432">
        <v>15</v>
      </c>
      <c r="E98" s="433">
        <v>5</v>
      </c>
      <c r="F98" s="433">
        <v>1</v>
      </c>
      <c r="G98" s="434">
        <v>1</v>
      </c>
      <c r="H98" s="432">
        <f>SUM(D98*E98*F98*G98)</f>
        <v>75</v>
      </c>
      <c r="I98" s="432">
        <v>0</v>
      </c>
      <c r="J98" s="432">
        <v>0</v>
      </c>
      <c r="K98" s="432">
        <f>H98-I98-J98</f>
        <v>75</v>
      </c>
      <c r="L98" s="8"/>
      <c r="M98" s="435">
        <f>PRODUCT(K98,1/2)</f>
        <v>37.5</v>
      </c>
      <c r="N98" s="435">
        <f>PRODUCT(K98,1/4)</f>
        <v>18.75</v>
      </c>
      <c r="O98" s="435">
        <f>PRODUCT(K98,1/4)</f>
        <v>18.75</v>
      </c>
      <c r="P98" s="436">
        <f>K98-M98-N98-O98</f>
        <v>0</v>
      </c>
      <c r="Q98" s="8"/>
      <c r="R98" s="8"/>
    </row>
    <row r="99" spans="1:18" x14ac:dyDescent="0.35">
      <c r="A99" s="19">
        <f>A98+0.1</f>
        <v>15.299999999999999</v>
      </c>
      <c r="B99" s="431" t="s">
        <v>170</v>
      </c>
      <c r="C99" s="432" t="s">
        <v>168</v>
      </c>
      <c r="D99" s="432">
        <v>5</v>
      </c>
      <c r="E99" s="433">
        <v>4</v>
      </c>
      <c r="F99" s="433" t="e">
        <f>F33</f>
        <v>#REF!</v>
      </c>
      <c r="G99" s="434">
        <v>1</v>
      </c>
      <c r="H99" s="432" t="e">
        <f>SUM(D99*E99*F99*G99)</f>
        <v>#REF!</v>
      </c>
      <c r="I99" s="432">
        <v>0</v>
      </c>
      <c r="J99" s="432">
        <v>0</v>
      </c>
      <c r="K99" s="432" t="e">
        <f>H99-I99-J99</f>
        <v>#REF!</v>
      </c>
      <c r="L99" s="8"/>
      <c r="M99" s="435" t="e">
        <f>PRODUCT(K99,1/2)</f>
        <v>#REF!</v>
      </c>
      <c r="N99" s="435" t="e">
        <f>PRODUCT(K99,1/4)</f>
        <v>#REF!</v>
      </c>
      <c r="O99" s="435" t="e">
        <f>PRODUCT(K99,1/4)</f>
        <v>#REF!</v>
      </c>
      <c r="P99" s="436" t="e">
        <f>K99-M99-N99-O99</f>
        <v>#REF!</v>
      </c>
      <c r="Q99" s="8"/>
      <c r="R99" s="8"/>
    </row>
    <row r="100" spans="1:18" x14ac:dyDescent="0.35">
      <c r="A100" s="19">
        <f>A99+0.1</f>
        <v>15.399999999999999</v>
      </c>
      <c r="B100" s="431" t="s">
        <v>171</v>
      </c>
      <c r="C100" s="432" t="s">
        <v>168</v>
      </c>
      <c r="D100" s="432">
        <v>5</v>
      </c>
      <c r="E100" s="433">
        <f>E34</f>
        <v>5</v>
      </c>
      <c r="F100" s="433">
        <f>F34</f>
        <v>1</v>
      </c>
      <c r="G100" s="434">
        <v>1</v>
      </c>
      <c r="H100" s="432">
        <f>SUM(D100*E100*F100*G100)</f>
        <v>25</v>
      </c>
      <c r="I100" s="432">
        <v>0</v>
      </c>
      <c r="J100" s="432">
        <v>0</v>
      </c>
      <c r="K100" s="432">
        <f>H100-I100-J100</f>
        <v>25</v>
      </c>
      <c r="L100" s="8"/>
      <c r="M100" s="435">
        <f>PRODUCT(K100,1/2)</f>
        <v>12.5</v>
      </c>
      <c r="N100" s="435">
        <f>PRODUCT(K100,1/4)</f>
        <v>6.25</v>
      </c>
      <c r="O100" s="435">
        <f>PRODUCT(K100,1/4)</f>
        <v>6.25</v>
      </c>
      <c r="P100" s="436">
        <f>K100-M100-N100-O100</f>
        <v>0</v>
      </c>
      <c r="Q100" s="8"/>
      <c r="R100" s="8"/>
    </row>
    <row r="101" spans="1:18" x14ac:dyDescent="0.35">
      <c r="A101" s="19">
        <f>A100+0.1</f>
        <v>15.499999999999998</v>
      </c>
      <c r="B101" s="431" t="s">
        <v>172</v>
      </c>
      <c r="C101" s="432" t="s">
        <v>168</v>
      </c>
      <c r="D101" s="432">
        <v>5</v>
      </c>
      <c r="E101" s="433">
        <v>4</v>
      </c>
      <c r="F101" s="433" t="e">
        <f>F35</f>
        <v>#REF!</v>
      </c>
      <c r="G101" s="434">
        <v>1</v>
      </c>
      <c r="H101" s="432" t="e">
        <f>SUM(D101*E101*F101*G101)</f>
        <v>#REF!</v>
      </c>
      <c r="I101" s="432">
        <v>0</v>
      </c>
      <c r="J101" s="432">
        <v>0</v>
      </c>
      <c r="K101" s="432" t="e">
        <f>H101-I101-J101</f>
        <v>#REF!</v>
      </c>
      <c r="L101" s="8"/>
      <c r="M101" s="435" t="e">
        <f>PRODUCT(K101,1/2)</f>
        <v>#REF!</v>
      </c>
      <c r="N101" s="435" t="e">
        <f>PRODUCT(K101,1/4)</f>
        <v>#REF!</v>
      </c>
      <c r="O101" s="435" t="e">
        <f>PRODUCT(K101,1/4)</f>
        <v>#REF!</v>
      </c>
      <c r="P101" s="436" t="e">
        <f>K101-M101-N101-O101</f>
        <v>#REF!</v>
      </c>
      <c r="Q101" s="8"/>
      <c r="R101" s="8"/>
    </row>
    <row r="102" spans="1:18" x14ac:dyDescent="0.35">
      <c r="A102" s="19"/>
      <c r="B102" s="811" t="s">
        <v>173</v>
      </c>
      <c r="C102" s="812"/>
      <c r="D102" s="812"/>
      <c r="E102" s="812"/>
      <c r="F102" s="812"/>
      <c r="G102" s="813"/>
      <c r="H102" s="449" t="e">
        <f t="shared" ref="H102:P102" si="20">SUM(H97:H101)</f>
        <v>#REF!</v>
      </c>
      <c r="I102" s="449">
        <f t="shared" si="20"/>
        <v>0</v>
      </c>
      <c r="J102" s="449">
        <f t="shared" si="20"/>
        <v>0</v>
      </c>
      <c r="K102" s="449" t="e">
        <f t="shared" si="20"/>
        <v>#REF!</v>
      </c>
      <c r="L102" s="9">
        <f t="shared" si="20"/>
        <v>0</v>
      </c>
      <c r="M102" s="438" t="e">
        <f t="shared" si="20"/>
        <v>#REF!</v>
      </c>
      <c r="N102" s="438" t="e">
        <f t="shared" si="20"/>
        <v>#REF!</v>
      </c>
      <c r="O102" s="438" t="e">
        <f t="shared" si="20"/>
        <v>#REF!</v>
      </c>
      <c r="P102" s="438" t="e">
        <f t="shared" si="20"/>
        <v>#REF!</v>
      </c>
      <c r="Q102" s="9"/>
      <c r="R102" s="9"/>
    </row>
    <row r="103" spans="1:18" x14ac:dyDescent="0.35">
      <c r="A103" s="25">
        <v>16</v>
      </c>
      <c r="B103" s="814" t="s">
        <v>174</v>
      </c>
      <c r="C103" s="814"/>
      <c r="D103" s="814"/>
      <c r="E103" s="814"/>
      <c r="F103" s="814"/>
      <c r="G103" s="814"/>
      <c r="H103" s="814"/>
      <c r="I103" s="814"/>
      <c r="J103" s="814"/>
      <c r="K103" s="814"/>
      <c r="L103" s="814"/>
      <c r="M103" s="814" t="s">
        <v>159</v>
      </c>
      <c r="N103" s="814"/>
      <c r="O103" s="814"/>
      <c r="P103" s="814"/>
      <c r="Q103" s="9"/>
      <c r="R103" s="9"/>
    </row>
    <row r="104" spans="1:18" x14ac:dyDescent="0.35">
      <c r="A104" s="19">
        <f>A103+0.1</f>
        <v>16.100000000000001</v>
      </c>
      <c r="B104" s="431"/>
      <c r="C104" s="432"/>
      <c r="D104" s="432">
        <v>0</v>
      </c>
      <c r="E104" s="433">
        <v>0</v>
      </c>
      <c r="F104" s="433">
        <v>0</v>
      </c>
      <c r="G104" s="434"/>
      <c r="H104" s="432">
        <f>SUM(D104*E104*F104*G104)</f>
        <v>0</v>
      </c>
      <c r="I104" s="432">
        <v>0</v>
      </c>
      <c r="J104" s="432">
        <v>0</v>
      </c>
      <c r="K104" s="432">
        <f>H104-I104-J104</f>
        <v>0</v>
      </c>
      <c r="L104" s="8"/>
      <c r="M104" s="435">
        <f>K104</f>
        <v>0</v>
      </c>
      <c r="N104" s="435">
        <v>0</v>
      </c>
      <c r="O104" s="435">
        <v>0</v>
      </c>
      <c r="P104" s="436">
        <f>K104-M104-N104-O104</f>
        <v>0</v>
      </c>
      <c r="Q104" s="8"/>
      <c r="R104" s="8"/>
    </row>
    <row r="105" spans="1:18" x14ac:dyDescent="0.35">
      <c r="A105" s="19"/>
      <c r="B105" s="811" t="s">
        <v>175</v>
      </c>
      <c r="C105" s="812"/>
      <c r="D105" s="812"/>
      <c r="E105" s="812"/>
      <c r="F105" s="812"/>
      <c r="G105" s="813"/>
      <c r="H105" s="449">
        <f t="shared" ref="H105:P105" si="21">SUM(H104:H104)</f>
        <v>0</v>
      </c>
      <c r="I105" s="449">
        <f t="shared" si="21"/>
        <v>0</v>
      </c>
      <c r="J105" s="449">
        <f t="shared" si="21"/>
        <v>0</v>
      </c>
      <c r="K105" s="449">
        <f t="shared" si="21"/>
        <v>0</v>
      </c>
      <c r="L105" s="9">
        <f t="shared" si="21"/>
        <v>0</v>
      </c>
      <c r="M105" s="438">
        <f t="shared" si="21"/>
        <v>0</v>
      </c>
      <c r="N105" s="438">
        <f t="shared" si="21"/>
        <v>0</v>
      </c>
      <c r="O105" s="438">
        <f t="shared" si="21"/>
        <v>0</v>
      </c>
      <c r="P105" s="438">
        <f t="shared" si="21"/>
        <v>0</v>
      </c>
      <c r="Q105" s="9"/>
      <c r="R105" s="9"/>
    </row>
    <row r="106" spans="1:18" x14ac:dyDescent="0.35">
      <c r="A106" s="25">
        <v>17</v>
      </c>
      <c r="B106" s="814" t="s">
        <v>134</v>
      </c>
      <c r="C106" s="814"/>
      <c r="D106" s="814"/>
      <c r="E106" s="814"/>
      <c r="F106" s="814"/>
      <c r="G106" s="814"/>
      <c r="H106" s="814"/>
      <c r="I106" s="814"/>
      <c r="J106" s="814"/>
      <c r="K106" s="814"/>
      <c r="L106" s="814"/>
      <c r="M106" s="814" t="s">
        <v>135</v>
      </c>
      <c r="N106" s="814"/>
      <c r="O106" s="814"/>
      <c r="P106" s="814"/>
      <c r="Q106" s="9"/>
      <c r="R106" s="9"/>
    </row>
    <row r="107" spans="1:18" x14ac:dyDescent="0.35">
      <c r="A107" s="19">
        <f>A106+0.1</f>
        <v>17.100000000000001</v>
      </c>
      <c r="B107" s="431"/>
      <c r="C107" s="432"/>
      <c r="D107" s="432"/>
      <c r="E107" s="433"/>
      <c r="F107" s="433"/>
      <c r="G107" s="434"/>
      <c r="H107" s="432">
        <f>SUM(D107*E107*F107*G107)</f>
        <v>0</v>
      </c>
      <c r="I107" s="432">
        <v>0</v>
      </c>
      <c r="J107" s="432">
        <v>0</v>
      </c>
      <c r="K107" s="432">
        <f>H107-I107-J107</f>
        <v>0</v>
      </c>
      <c r="L107" s="8"/>
      <c r="M107" s="435">
        <v>0</v>
      </c>
      <c r="N107" s="435">
        <v>0</v>
      </c>
      <c r="O107" s="435">
        <v>0</v>
      </c>
      <c r="P107" s="436">
        <f>K107-M107-N107-O107</f>
        <v>0</v>
      </c>
      <c r="Q107" s="8"/>
      <c r="R107" s="8"/>
    </row>
    <row r="108" spans="1:18" x14ac:dyDescent="0.35">
      <c r="A108" s="19"/>
      <c r="B108" s="811" t="s">
        <v>176</v>
      </c>
      <c r="C108" s="812"/>
      <c r="D108" s="812"/>
      <c r="E108" s="812"/>
      <c r="F108" s="812"/>
      <c r="G108" s="813"/>
      <c r="H108" s="449">
        <f t="shared" ref="H108:P108" si="22">SUM(H107:H107)</f>
        <v>0</v>
      </c>
      <c r="I108" s="449">
        <f t="shared" si="22"/>
        <v>0</v>
      </c>
      <c r="J108" s="449">
        <f t="shared" si="22"/>
        <v>0</v>
      </c>
      <c r="K108" s="449">
        <f t="shared" si="22"/>
        <v>0</v>
      </c>
      <c r="L108" s="9">
        <f t="shared" si="22"/>
        <v>0</v>
      </c>
      <c r="M108" s="438">
        <f t="shared" si="22"/>
        <v>0</v>
      </c>
      <c r="N108" s="438">
        <f t="shared" si="22"/>
        <v>0</v>
      </c>
      <c r="O108" s="438">
        <f t="shared" si="22"/>
        <v>0</v>
      </c>
      <c r="P108" s="438">
        <f t="shared" si="22"/>
        <v>0</v>
      </c>
      <c r="Q108" s="9"/>
      <c r="R108" s="9"/>
    </row>
    <row r="109" spans="1:18" x14ac:dyDescent="0.35">
      <c r="A109" s="25">
        <v>18</v>
      </c>
      <c r="B109" s="814" t="s">
        <v>177</v>
      </c>
      <c r="C109" s="814"/>
      <c r="D109" s="814"/>
      <c r="E109" s="814"/>
      <c r="F109" s="814"/>
      <c r="G109" s="814"/>
      <c r="H109" s="814"/>
      <c r="I109" s="814"/>
      <c r="J109" s="814"/>
      <c r="K109" s="814"/>
      <c r="L109" s="814"/>
      <c r="M109" s="814" t="s">
        <v>159</v>
      </c>
      <c r="N109" s="814"/>
      <c r="O109" s="814"/>
      <c r="P109" s="814"/>
      <c r="Q109" s="9"/>
      <c r="R109" s="9"/>
    </row>
    <row r="110" spans="1:18" x14ac:dyDescent="0.35">
      <c r="A110" s="19">
        <f>A109+0.1</f>
        <v>18.100000000000001</v>
      </c>
      <c r="B110" s="431" t="s">
        <v>178</v>
      </c>
      <c r="C110" s="447">
        <v>0.01</v>
      </c>
      <c r="D110" s="432" t="e">
        <f>PRODUCT(SUM(K75,K88,K92,K95,K102,K105,K108,-K67),1/100)</f>
        <v>#REF!</v>
      </c>
      <c r="E110" s="433">
        <v>1</v>
      </c>
      <c r="F110" s="433">
        <v>1</v>
      </c>
      <c r="G110" s="434">
        <v>1</v>
      </c>
      <c r="H110" s="432" t="e">
        <f>SUM(D110*E110*F110*G110)</f>
        <v>#REF!</v>
      </c>
      <c r="I110" s="432">
        <v>0</v>
      </c>
      <c r="J110" s="432">
        <v>0</v>
      </c>
      <c r="K110" s="432" t="e">
        <f>H110-I110-J110</f>
        <v>#REF!</v>
      </c>
      <c r="L110" s="8"/>
      <c r="M110" s="432" t="e">
        <f>PRODUCT(SUM(M75,M88,M92,M95,M102,M105,M108),1/100)</f>
        <v>#REF!</v>
      </c>
      <c r="N110" s="432" t="e">
        <f>PRODUCT(SUM(N75,N88,N92,N95,N102,N105,N108),1/100)</f>
        <v>#REF!</v>
      </c>
      <c r="O110" s="432" t="e">
        <f>PRODUCT(SUM(O75,O88,O92,O95,O102,O105,O108),1/100)</f>
        <v>#REF!</v>
      </c>
      <c r="P110" s="436" t="e">
        <f>K110-M110-N110-O110</f>
        <v>#REF!</v>
      </c>
      <c r="Q110" s="10"/>
      <c r="R110" s="10"/>
    </row>
    <row r="111" spans="1:18" x14ac:dyDescent="0.35">
      <c r="A111" s="19"/>
      <c r="B111" s="811" t="s">
        <v>179</v>
      </c>
      <c r="C111" s="812"/>
      <c r="D111" s="812"/>
      <c r="E111" s="812"/>
      <c r="F111" s="812"/>
      <c r="G111" s="813"/>
      <c r="H111" s="449" t="e">
        <f t="shared" ref="H111:P111" si="23">SUM(H110:H110)</f>
        <v>#REF!</v>
      </c>
      <c r="I111" s="449">
        <f t="shared" si="23"/>
        <v>0</v>
      </c>
      <c r="J111" s="449">
        <f t="shared" si="23"/>
        <v>0</v>
      </c>
      <c r="K111" s="449" t="e">
        <f t="shared" si="23"/>
        <v>#REF!</v>
      </c>
      <c r="L111" s="9">
        <f t="shared" si="23"/>
        <v>0</v>
      </c>
      <c r="M111" s="438" t="e">
        <f t="shared" si="23"/>
        <v>#REF!</v>
      </c>
      <c r="N111" s="438" t="e">
        <f t="shared" si="23"/>
        <v>#REF!</v>
      </c>
      <c r="O111" s="438" t="e">
        <f t="shared" si="23"/>
        <v>#REF!</v>
      </c>
      <c r="P111" s="438" t="e">
        <f t="shared" si="23"/>
        <v>#REF!</v>
      </c>
      <c r="Q111" s="11"/>
      <c r="R111" s="11"/>
    </row>
    <row r="112" spans="1:18" x14ac:dyDescent="0.35">
      <c r="A112" s="20"/>
      <c r="B112" s="815" t="s">
        <v>180</v>
      </c>
      <c r="C112" s="816"/>
      <c r="D112" s="816"/>
      <c r="E112" s="816"/>
      <c r="F112" s="816"/>
      <c r="G112" s="817"/>
      <c r="H112" s="381" t="e">
        <f>SUM(H111,H108,H105,H102,H95,H92,H88,H82)</f>
        <v>#REF!</v>
      </c>
      <c r="I112" s="381">
        <f>SUM(I111,I108,I105,I102,I95,I92,I88,I82)</f>
        <v>0</v>
      </c>
      <c r="J112" s="381">
        <f>SUM(J111,J108,J105,J102,J95,J92,J88,J82)</f>
        <v>0</v>
      </c>
      <c r="K112" s="381" t="e">
        <f>SUM(K111,K108,K105,K102,K95,K92,K88,K82)</f>
        <v>#REF!</v>
      </c>
      <c r="L112" s="12"/>
      <c r="M112" s="452" t="e">
        <f>SUM(M111+M108+M105+M102+M95+M92+M88+M82)</f>
        <v>#REF!</v>
      </c>
      <c r="N112" s="452" t="e">
        <f>SUM(N111+N108+N105+N102+N95+N92+N88+N82)</f>
        <v>#REF!</v>
      </c>
      <c r="O112" s="452" t="e">
        <f>SUM(O111+O108+O105+O102+O95+O92+O88+O82)</f>
        <v>#REF!</v>
      </c>
      <c r="P112" s="452" t="e">
        <f>SUM(P111+P108+P105+P102+P95+P92+P88+P82)</f>
        <v>#REF!</v>
      </c>
      <c r="Q112" s="12"/>
      <c r="R112" s="12"/>
    </row>
    <row r="113" spans="1:18" x14ac:dyDescent="0.35">
      <c r="A113" s="20"/>
      <c r="B113" s="382"/>
      <c r="C113" s="383"/>
      <c r="D113" s="383"/>
      <c r="E113" s="384"/>
      <c r="F113" s="384"/>
      <c r="G113" s="385"/>
      <c r="H113" s="386"/>
      <c r="I113" s="386"/>
      <c r="J113" s="386"/>
      <c r="K113" s="386"/>
      <c r="L113" s="12"/>
      <c r="M113" s="12"/>
      <c r="N113" s="12"/>
      <c r="O113" s="12"/>
      <c r="P113" s="12"/>
      <c r="Q113" s="12"/>
      <c r="R113" s="12"/>
    </row>
    <row r="114" spans="1:18" ht="18" customHeight="1" x14ac:dyDescent="0.35">
      <c r="A114" s="20"/>
      <c r="B114" s="805" t="s">
        <v>181</v>
      </c>
      <c r="C114" s="806"/>
      <c r="D114" s="806"/>
      <c r="E114" s="806"/>
      <c r="F114" s="806"/>
      <c r="G114" s="806"/>
      <c r="H114" s="806"/>
      <c r="I114" s="806"/>
      <c r="J114" s="806"/>
      <c r="K114" s="807"/>
      <c r="L114" s="12"/>
      <c r="M114" s="818" t="s">
        <v>147</v>
      </c>
      <c r="N114" s="819"/>
      <c r="O114" s="819"/>
      <c r="P114" s="820"/>
      <c r="Q114" s="12"/>
      <c r="R114" s="12"/>
    </row>
    <row r="115" spans="1:18" ht="15.75" customHeight="1" x14ac:dyDescent="0.35">
      <c r="A115" s="25">
        <v>19</v>
      </c>
      <c r="B115" s="824" t="s">
        <v>182</v>
      </c>
      <c r="C115" s="825"/>
      <c r="D115" s="825"/>
      <c r="E115" s="825"/>
      <c r="F115" s="825"/>
      <c r="G115" s="825"/>
      <c r="H115" s="825"/>
      <c r="I115" s="825"/>
      <c r="J115" s="825"/>
      <c r="K115" s="826"/>
      <c r="L115" s="12"/>
      <c r="M115" s="821"/>
      <c r="N115" s="822"/>
      <c r="O115" s="822"/>
      <c r="P115" s="823"/>
      <c r="Q115" s="12"/>
      <c r="R115" s="12"/>
    </row>
    <row r="116" spans="1:18" ht="39" x14ac:dyDescent="0.35">
      <c r="A116" s="49"/>
      <c r="B116" s="425" t="s">
        <v>74</v>
      </c>
      <c r="C116" s="426" t="s">
        <v>75</v>
      </c>
      <c r="D116" s="427" t="s">
        <v>76</v>
      </c>
      <c r="E116" s="428" t="s">
        <v>77</v>
      </c>
      <c r="F116" s="428" t="s">
        <v>78</v>
      </c>
      <c r="G116" s="429" t="s">
        <v>79</v>
      </c>
      <c r="H116" s="426" t="s">
        <v>80</v>
      </c>
      <c r="I116" s="430" t="s">
        <v>81</v>
      </c>
      <c r="J116" s="430" t="s">
        <v>82</v>
      </c>
      <c r="K116" s="426" t="s">
        <v>83</v>
      </c>
      <c r="L116" s="71"/>
      <c r="M116" s="422" t="s">
        <v>149</v>
      </c>
      <c r="N116" s="422" t="s">
        <v>53</v>
      </c>
      <c r="O116" s="422" t="s">
        <v>84</v>
      </c>
      <c r="P116" s="422" t="s">
        <v>85</v>
      </c>
      <c r="Q116" s="72"/>
      <c r="R116" s="72"/>
    </row>
    <row r="117" spans="1:18" x14ac:dyDescent="0.35">
      <c r="A117" s="19">
        <f>A115+0.1</f>
        <v>19.100000000000001</v>
      </c>
      <c r="B117" s="453"/>
      <c r="C117" s="454"/>
      <c r="D117" s="455"/>
      <c r="E117" s="456"/>
      <c r="F117" s="456"/>
      <c r="G117" s="457"/>
      <c r="H117" s="432">
        <f>SUM(D117*E117*F117*G117)</f>
        <v>0</v>
      </c>
      <c r="I117" s="432">
        <v>0</v>
      </c>
      <c r="J117" s="432">
        <v>0</v>
      </c>
      <c r="K117" s="432">
        <f>H117-I117-J117</f>
        <v>0</v>
      </c>
      <c r="L117" s="8"/>
      <c r="M117" s="435"/>
      <c r="N117" s="435"/>
      <c r="O117" s="435"/>
      <c r="P117" s="436">
        <f>K117-M117-N117-O117</f>
        <v>0</v>
      </c>
      <c r="Q117" s="12"/>
      <c r="R117" s="12"/>
    </row>
    <row r="118" spans="1:18" x14ac:dyDescent="0.35">
      <c r="A118" s="20"/>
      <c r="B118" s="802" t="s">
        <v>183</v>
      </c>
      <c r="C118" s="803"/>
      <c r="D118" s="803"/>
      <c r="E118" s="803"/>
      <c r="F118" s="803"/>
      <c r="G118" s="804"/>
      <c r="H118" s="448">
        <f>SUM(H117)</f>
        <v>0</v>
      </c>
      <c r="I118" s="448">
        <f t="shared" ref="I118:P118" si="24">SUM(I117)</f>
        <v>0</v>
      </c>
      <c r="J118" s="448">
        <f t="shared" si="24"/>
        <v>0</v>
      </c>
      <c r="K118" s="448">
        <f t="shared" si="24"/>
        <v>0</v>
      </c>
      <c r="L118" s="448">
        <f t="shared" si="24"/>
        <v>0</v>
      </c>
      <c r="M118" s="448">
        <f t="shared" si="24"/>
        <v>0</v>
      </c>
      <c r="N118" s="448">
        <f t="shared" si="24"/>
        <v>0</v>
      </c>
      <c r="O118" s="448">
        <f t="shared" si="24"/>
        <v>0</v>
      </c>
      <c r="P118" s="448">
        <f t="shared" si="24"/>
        <v>0</v>
      </c>
      <c r="Q118" s="13"/>
      <c r="R118" s="13"/>
    </row>
    <row r="119" spans="1:18" x14ac:dyDescent="0.35">
      <c r="A119" s="20"/>
      <c r="B119" s="387"/>
      <c r="C119" s="388"/>
      <c r="D119" s="388"/>
      <c r="E119" s="389"/>
      <c r="F119" s="389"/>
      <c r="G119" s="390"/>
      <c r="H119" s="386"/>
      <c r="I119" s="386"/>
      <c r="J119" s="386"/>
      <c r="K119" s="386"/>
      <c r="L119" s="13"/>
      <c r="M119" s="61"/>
      <c r="N119" s="61"/>
      <c r="O119" s="61"/>
      <c r="P119" s="62"/>
      <c r="Q119" s="12"/>
      <c r="R119" s="12"/>
    </row>
    <row r="120" spans="1:18" ht="18" customHeight="1" x14ac:dyDescent="0.35">
      <c r="A120" s="25">
        <v>20</v>
      </c>
      <c r="B120" s="805" t="s">
        <v>184</v>
      </c>
      <c r="C120" s="806"/>
      <c r="D120" s="806"/>
      <c r="E120" s="806"/>
      <c r="F120" s="806"/>
      <c r="G120" s="806"/>
      <c r="H120" s="806"/>
      <c r="I120" s="806"/>
      <c r="J120" s="806"/>
      <c r="K120" s="807"/>
      <c r="L120" s="13"/>
      <c r="M120" s="808" t="s">
        <v>147</v>
      </c>
      <c r="N120" s="809"/>
      <c r="O120" s="809"/>
      <c r="P120" s="810"/>
      <c r="Q120" s="12"/>
      <c r="R120" s="12"/>
    </row>
    <row r="121" spans="1:18" ht="39" x14ac:dyDescent="0.35">
      <c r="A121" s="49"/>
      <c r="B121" s="425" t="s">
        <v>74</v>
      </c>
      <c r="C121" s="426" t="s">
        <v>75</v>
      </c>
      <c r="D121" s="427" t="s">
        <v>76</v>
      </c>
      <c r="E121" s="428" t="s">
        <v>77</v>
      </c>
      <c r="F121" s="428" t="s">
        <v>78</v>
      </c>
      <c r="G121" s="429" t="s">
        <v>79</v>
      </c>
      <c r="H121" s="426" t="s">
        <v>80</v>
      </c>
      <c r="I121" s="430" t="s">
        <v>81</v>
      </c>
      <c r="J121" s="430" t="s">
        <v>82</v>
      </c>
      <c r="K121" s="426" t="s">
        <v>83</v>
      </c>
      <c r="L121" s="73"/>
      <c r="M121" s="422" t="s">
        <v>185</v>
      </c>
      <c r="N121" s="422" t="s">
        <v>186</v>
      </c>
      <c r="O121" s="422" t="s">
        <v>187</v>
      </c>
      <c r="P121" s="422" t="s">
        <v>188</v>
      </c>
      <c r="Q121" s="72"/>
      <c r="R121" s="72"/>
    </row>
    <row r="122" spans="1:18" x14ac:dyDescent="0.35">
      <c r="A122" s="19">
        <f>A120+0.1</f>
        <v>20.100000000000001</v>
      </c>
      <c r="B122" s="14"/>
      <c r="C122" s="15"/>
      <c r="D122" s="15"/>
      <c r="E122" s="16"/>
      <c r="F122" s="16"/>
      <c r="G122" s="17"/>
      <c r="H122" s="432"/>
      <c r="I122" s="432"/>
      <c r="J122" s="432"/>
      <c r="K122" s="432"/>
      <c r="L122" s="8"/>
      <c r="M122" s="435">
        <f>K122</f>
        <v>0</v>
      </c>
      <c r="N122" s="435">
        <v>0</v>
      </c>
      <c r="O122" s="435">
        <v>0</v>
      </c>
      <c r="P122" s="436">
        <f>K122-M122-N122-O122</f>
        <v>0</v>
      </c>
      <c r="Q122" s="10"/>
      <c r="R122" s="10"/>
    </row>
    <row r="123" spans="1:18" x14ac:dyDescent="0.35">
      <c r="A123" s="19"/>
      <c r="B123" s="802" t="s">
        <v>189</v>
      </c>
      <c r="C123" s="803"/>
      <c r="D123" s="803"/>
      <c r="E123" s="803"/>
      <c r="F123" s="803"/>
      <c r="G123" s="804" t="s">
        <v>190</v>
      </c>
      <c r="H123" s="448">
        <f>SUM(H122:H122)</f>
        <v>0</v>
      </c>
      <c r="I123" s="448">
        <f>SUM(I122:I122)</f>
        <v>0</v>
      </c>
      <c r="J123" s="448">
        <f>SUM(J122:J122)</f>
        <v>0</v>
      </c>
      <c r="K123" s="448">
        <f>SUM(K122:K122)</f>
        <v>0</v>
      </c>
      <c r="L123" s="101"/>
      <c r="M123" s="448">
        <f>SUM(M122:M122)</f>
        <v>0</v>
      </c>
      <c r="N123" s="448">
        <f>SUM(N122:N122)</f>
        <v>0</v>
      </c>
      <c r="O123" s="448">
        <f>SUM(O122:O122)</f>
        <v>0</v>
      </c>
      <c r="P123" s="448">
        <f>SUM(P122:P122)</f>
        <v>0</v>
      </c>
      <c r="Q123" s="11"/>
      <c r="R123" s="11"/>
    </row>
    <row r="124" spans="1:18" x14ac:dyDescent="0.35">
      <c r="A124" s="19"/>
      <c r="B124" s="24"/>
      <c r="C124" s="24"/>
      <c r="D124" s="24"/>
      <c r="E124" s="23"/>
      <c r="F124" s="23"/>
      <c r="G124" s="22"/>
      <c r="H124" s="21"/>
      <c r="I124" s="21"/>
      <c r="J124" s="21"/>
      <c r="K124" s="21"/>
      <c r="L124" s="10"/>
      <c r="M124" s="61"/>
      <c r="N124" s="61"/>
      <c r="O124" s="61"/>
      <c r="P124" s="61"/>
      <c r="Q124" s="10"/>
      <c r="R124" s="10"/>
    </row>
    <row r="125" spans="1:18" x14ac:dyDescent="0.35">
      <c r="A125" s="19"/>
      <c r="B125" s="10"/>
      <c r="C125" s="10"/>
      <c r="D125" s="10"/>
      <c r="E125" s="63"/>
      <c r="F125" s="63"/>
      <c r="G125" s="64"/>
      <c r="H125" s="10"/>
      <c r="I125" s="10"/>
      <c r="J125" s="10"/>
      <c r="K125" s="10"/>
      <c r="L125" s="10"/>
      <c r="M125" s="65"/>
      <c r="N125" s="65"/>
      <c r="O125" s="65"/>
      <c r="P125" s="65"/>
      <c r="Q125" s="10"/>
      <c r="R125" s="10"/>
    </row>
  </sheetData>
  <mergeCells count="59">
    <mergeCell ref="G6:K6"/>
    <mergeCell ref="C7:F7"/>
    <mergeCell ref="G7:K7"/>
    <mergeCell ref="M13:P13"/>
    <mergeCell ref="B30:P30"/>
    <mergeCell ref="M4:P8"/>
    <mergeCell ref="C5:K5"/>
    <mergeCell ref="C6:F6"/>
    <mergeCell ref="B37:P37"/>
    <mergeCell ref="B39:G39"/>
    <mergeCell ref="B40:P40"/>
    <mergeCell ref="H10:K10"/>
    <mergeCell ref="B24:K24"/>
    <mergeCell ref="M24:P25"/>
    <mergeCell ref="B25:K25"/>
    <mergeCell ref="B27:P27"/>
    <mergeCell ref="B29:G29"/>
    <mergeCell ref="B36:G36"/>
    <mergeCell ref="B61:G61"/>
    <mergeCell ref="B54:G54"/>
    <mergeCell ref="B50:G50"/>
    <mergeCell ref="B51:P51"/>
    <mergeCell ref="B72:P72"/>
    <mergeCell ref="B65:P65"/>
    <mergeCell ref="B67:G67"/>
    <mergeCell ref="B68:P68"/>
    <mergeCell ref="B71:G71"/>
    <mergeCell ref="B62:P62"/>
    <mergeCell ref="B64:G64"/>
    <mergeCell ref="B55:P55"/>
    <mergeCell ref="B106:P106"/>
    <mergeCell ref="B82:G82"/>
    <mergeCell ref="B83:P83"/>
    <mergeCell ref="B88:G88"/>
    <mergeCell ref="B89:P89"/>
    <mergeCell ref="B92:G92"/>
    <mergeCell ref="B93:P93"/>
    <mergeCell ref="B95:G95"/>
    <mergeCell ref="B74:G74"/>
    <mergeCell ref="B96:P96"/>
    <mergeCell ref="B102:G102"/>
    <mergeCell ref="B103:P103"/>
    <mergeCell ref="B105:G105"/>
    <mergeCell ref="B80:P80"/>
    <mergeCell ref="B77:K77"/>
    <mergeCell ref="M77:P78"/>
    <mergeCell ref="B78:K78"/>
    <mergeCell ref="B75:G75"/>
    <mergeCell ref="B118:G118"/>
    <mergeCell ref="B120:K120"/>
    <mergeCell ref="M120:P120"/>
    <mergeCell ref="B123:G123"/>
    <mergeCell ref="B108:G108"/>
    <mergeCell ref="B109:P109"/>
    <mergeCell ref="B111:G111"/>
    <mergeCell ref="B112:G112"/>
    <mergeCell ref="B114:K114"/>
    <mergeCell ref="M114:P115"/>
    <mergeCell ref="B115:K115"/>
  </mergeCells>
  <conditionalFormatting sqref="M20">
    <cfRule type="iconSet" priority="20">
      <iconSet iconSet="3Symbols2">
        <cfvo type="percent" val="0"/>
        <cfvo type="percent" val="33"/>
        <cfvo type="percent" val="67"/>
      </iconSet>
    </cfRule>
  </conditionalFormatting>
  <pageMargins left="0.39370078740157483" right="0.39370078740157483" top="0.74803149606299213" bottom="0.39370078740157483" header="0.31496062992125984" footer="0.31496062992125984"/>
  <pageSetup scale="44" fitToHeight="2" orientation="landscape" r:id="rId1"/>
  <rowBreaks count="1" manualBreakCount="1">
    <brk id="76" max="16" man="1"/>
  </rowBreaks>
  <customProperties>
    <customPr name="QAA_DRILLPATH_NODE_ID" r:id="rId2"/>
  </customProperties>
  <ignoredErrors>
    <ignoredError sqref="B4:L5 B23:P25 D20:J20 L20:P20 B14:J14 L14 B51:P51 B50:H50 K50:N50 B29:P30 B12:P13 B10:B11 D10:P10 B15 D15:L15 B36:P37 B55:P55 H52:L53 B67:P68 B61:P63 B71:P73 H69:L69 B82:P83 B88:P89 B92:P93 B102:P103 B105:P106 H104:M104 B111:P115 B39:P40 B121:L121 C120:P120 H38 H90:P91 B95:P96 B108:P109 B74:P74 D11:P11 B76:P78 B75:G75 H87:K87 B64:P65 H75:P75 D57 B123:G123 L122:M122 H123:P123 A104:A122 H41 H42:L42 H31:L35 P32:P35 N35:O35 K38:P38 P41:P42 P50 P52:P53 H60:P60 P69 H84:L86 M84:P87 P104 H110:N110 P122 H66:P66 B81:L81 P81 B94:L94 P94 B107:L107 P107 B17:C17 B18:B22 D21:P22 D16:P19 B9:P9 B7:F7 H7:L7 K97:L98 J99:L99 K100:L101 E100:F101 M97:P101 E38 E90:E91 F99 M31:O32 M33:N33 O34 J41:L41 B6:F6 H6:L6 N52:N53 A50:A52 H97:H101 A60:A70 B8:L8 A28:A42 N41:N43 D41:D43 A43:A49 H43:K49 M44:M49 P43:P49 B27:P28 B26:L26 B80:P80 B79:L79 B117:P119 B116:L116 F33 B16:C16 F41 F66 F70 F53 H70:L70 P70 A71:A87 O110:P110 D110 F58 H56 J56:P56 H57:I57 J57:P57 F35 A98:A101 A88:A97 F57 A55:A58 H58:P58 F43:F49" unlockedFormula="1"/>
    <ignoredError sqref="C18:C20 K20 K14 A53" evalError="1" unlockedFormula="1"/>
    <ignoredError sqref="I50:J50 O50" formulaRange="1" unlockedFormula="1"/>
    <ignoredError sqref="N34" formula="1" unlockedFormula="1"/>
  </ignoredErrors>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rgb="FFE2CCB6"/>
  </sheetPr>
  <dimension ref="A2:G21"/>
  <sheetViews>
    <sheetView view="pageBreakPreview" zoomScaleNormal="100" zoomScaleSheetLayoutView="100" workbookViewId="0">
      <selection activeCell="C16" sqref="C16"/>
    </sheetView>
  </sheetViews>
  <sheetFormatPr baseColWidth="10" defaultColWidth="10" defaultRowHeight="14" x14ac:dyDescent="0.3"/>
  <cols>
    <col min="1" max="1" width="2.9140625" style="759" bestFit="1" customWidth="1"/>
    <col min="2" max="2" width="28.9140625" style="759" customWidth="1"/>
    <col min="3" max="3" width="8.08203125" style="759" customWidth="1"/>
    <col min="4" max="4" width="8.1640625" style="759" customWidth="1"/>
    <col min="5" max="5" width="7.6640625" style="759" customWidth="1"/>
    <col min="6" max="6" width="9.9140625" style="759" bestFit="1" customWidth="1"/>
    <col min="7" max="7" width="25.08203125" style="759" bestFit="1" customWidth="1"/>
    <col min="8" max="16384" width="10" style="759"/>
  </cols>
  <sheetData>
    <row r="2" spans="1:7" x14ac:dyDescent="0.3">
      <c r="A2" s="661" t="s">
        <v>2106</v>
      </c>
      <c r="B2" s="622"/>
      <c r="C2" s="622"/>
      <c r="D2" s="622"/>
      <c r="E2" s="622"/>
      <c r="F2" s="661"/>
      <c r="G2" s="623"/>
    </row>
    <row r="3" spans="1:7" ht="17.5" x14ac:dyDescent="0.35">
      <c r="A3" s="760"/>
      <c r="B3" s="761"/>
      <c r="C3" s="761"/>
      <c r="D3" s="761"/>
      <c r="E3" s="761"/>
      <c r="F3" s="762"/>
    </row>
    <row r="4" spans="1:7" x14ac:dyDescent="0.3">
      <c r="A4" s="626" t="s">
        <v>738</v>
      </c>
      <c r="B4" s="627" t="s">
        <v>1831</v>
      </c>
      <c r="C4" s="626" t="s">
        <v>75</v>
      </c>
      <c r="D4" s="626" t="s">
        <v>78</v>
      </c>
      <c r="E4" s="626" t="s">
        <v>736</v>
      </c>
      <c r="F4" s="628" t="s">
        <v>737</v>
      </c>
      <c r="G4" s="627" t="s">
        <v>1832</v>
      </c>
    </row>
    <row r="5" spans="1:7" x14ac:dyDescent="0.3">
      <c r="A5" s="763">
        <v>1</v>
      </c>
      <c r="B5" s="764" t="s">
        <v>2102</v>
      </c>
      <c r="C5" s="763" t="s">
        <v>428</v>
      </c>
      <c r="D5" s="765">
        <v>1</v>
      </c>
      <c r="E5" s="766"/>
      <c r="F5" s="767"/>
      <c r="G5" s="764" t="s">
        <v>2103</v>
      </c>
    </row>
    <row r="6" spans="1:7" x14ac:dyDescent="0.3">
      <c r="A6" s="763">
        <v>2</v>
      </c>
      <c r="B6" s="764" t="s">
        <v>1911</v>
      </c>
      <c r="C6" s="763" t="s">
        <v>480</v>
      </c>
      <c r="D6" s="772">
        <v>500</v>
      </c>
      <c r="E6" s="766"/>
      <c r="F6" s="767"/>
      <c r="G6" s="764"/>
    </row>
    <row r="7" spans="1:7" x14ac:dyDescent="0.3">
      <c r="A7" s="763">
        <v>3</v>
      </c>
      <c r="B7" s="764" t="s">
        <v>1094</v>
      </c>
      <c r="C7" s="763" t="s">
        <v>480</v>
      </c>
      <c r="D7" s="765">
        <v>1</v>
      </c>
      <c r="E7" s="766"/>
      <c r="F7" s="767"/>
      <c r="G7" s="764" t="s">
        <v>2104</v>
      </c>
    </row>
    <row r="8" spans="1:7" x14ac:dyDescent="0.3">
      <c r="A8" s="763">
        <v>4</v>
      </c>
      <c r="B8" s="764" t="s">
        <v>1952</v>
      </c>
      <c r="C8" s="763" t="s">
        <v>1845</v>
      </c>
      <c r="D8" s="765">
        <v>4</v>
      </c>
      <c r="E8" s="766"/>
      <c r="F8" s="767"/>
      <c r="G8" s="764"/>
    </row>
    <row r="9" spans="1:7" x14ac:dyDescent="0.3">
      <c r="A9" s="763">
        <v>5</v>
      </c>
      <c r="B9" s="764" t="s">
        <v>1846</v>
      </c>
      <c r="C9" s="763" t="s">
        <v>1847</v>
      </c>
      <c r="D9" s="765">
        <v>1</v>
      </c>
      <c r="E9" s="766"/>
      <c r="F9" s="767"/>
      <c r="G9" s="764"/>
    </row>
    <row r="10" spans="1:7" ht="16.5" x14ac:dyDescent="0.3">
      <c r="A10" s="763">
        <v>6</v>
      </c>
      <c r="B10" s="764" t="s">
        <v>1850</v>
      </c>
      <c r="C10" s="763" t="s">
        <v>1868</v>
      </c>
      <c r="D10" s="765">
        <v>2</v>
      </c>
      <c r="E10" s="766"/>
      <c r="F10" s="767"/>
      <c r="G10" s="764"/>
    </row>
    <row r="11" spans="1:7" x14ac:dyDescent="0.3">
      <c r="A11" s="763">
        <v>7</v>
      </c>
      <c r="B11" s="764" t="s">
        <v>1854</v>
      </c>
      <c r="C11" s="763" t="s">
        <v>480</v>
      </c>
      <c r="D11" s="765">
        <v>2</v>
      </c>
      <c r="E11" s="766"/>
      <c r="F11" s="767"/>
      <c r="G11" s="764"/>
    </row>
    <row r="12" spans="1:7" ht="16.5" x14ac:dyDescent="0.3">
      <c r="A12" s="763">
        <v>8</v>
      </c>
      <c r="B12" s="764" t="s">
        <v>1856</v>
      </c>
      <c r="C12" s="763" t="s">
        <v>1868</v>
      </c>
      <c r="D12" s="765">
        <v>3</v>
      </c>
      <c r="E12" s="766"/>
      <c r="F12" s="767"/>
      <c r="G12" s="764"/>
    </row>
    <row r="13" spans="1:7" x14ac:dyDescent="0.3">
      <c r="A13" s="663" t="s">
        <v>1859</v>
      </c>
      <c r="B13" s="637"/>
      <c r="C13" s="636"/>
      <c r="D13" s="638"/>
      <c r="E13" s="698"/>
      <c r="F13" s="628">
        <f>SUM(F5:F12)</f>
        <v>0</v>
      </c>
      <c r="G13" s="636"/>
    </row>
    <row r="14" spans="1:7" ht="15.5" x14ac:dyDescent="0.35">
      <c r="A14" s="768">
        <v>9</v>
      </c>
      <c r="B14" s="769" t="s">
        <v>2105</v>
      </c>
      <c r="C14" s="770"/>
      <c r="D14" s="770"/>
      <c r="E14" s="771"/>
      <c r="F14" s="767">
        <f>PRODUCT(F13,0.2)</f>
        <v>0</v>
      </c>
    </row>
    <row r="15" spans="1:7" x14ac:dyDescent="0.3">
      <c r="A15" s="663" t="s">
        <v>1859</v>
      </c>
      <c r="B15" s="637"/>
      <c r="C15" s="636"/>
      <c r="D15" s="638"/>
      <c r="E15" s="698"/>
      <c r="F15" s="628">
        <f>SUM(F13:F14)</f>
        <v>0</v>
      </c>
      <c r="G15" s="636"/>
    </row>
    <row r="16" spans="1:7" x14ac:dyDescent="0.3">
      <c r="A16" s="671"/>
      <c r="B16" s="671"/>
      <c r="C16" s="671"/>
      <c r="D16" s="671"/>
      <c r="E16" s="671"/>
      <c r="F16" s="671"/>
      <c r="G16" s="671"/>
    </row>
    <row r="17" spans="1:7" x14ac:dyDescent="0.3">
      <c r="A17" s="671"/>
      <c r="B17" s="671" t="s">
        <v>2112</v>
      </c>
      <c r="C17" s="671"/>
      <c r="D17" s="671"/>
      <c r="E17" s="671"/>
      <c r="F17" s="671"/>
      <c r="G17" s="671"/>
    </row>
    <row r="18" spans="1:7" x14ac:dyDescent="0.3">
      <c r="A18" s="671"/>
      <c r="B18" s="671"/>
      <c r="C18" s="671"/>
      <c r="D18" s="671"/>
      <c r="E18" s="671"/>
      <c r="F18" s="671"/>
      <c r="G18" s="671"/>
    </row>
    <row r="19" spans="1:7" x14ac:dyDescent="0.3">
      <c r="A19" s="671"/>
      <c r="B19" s="671" t="s">
        <v>2113</v>
      </c>
      <c r="C19" s="671"/>
      <c r="D19" s="671"/>
      <c r="E19" s="671"/>
      <c r="F19" s="671"/>
      <c r="G19" s="671"/>
    </row>
    <row r="20" spans="1:7" x14ac:dyDescent="0.3">
      <c r="A20" s="671"/>
      <c r="B20" s="671"/>
      <c r="C20" s="671"/>
      <c r="D20" s="671"/>
      <c r="E20" s="671"/>
      <c r="F20" s="671"/>
      <c r="G20" s="671"/>
    </row>
    <row r="21" spans="1:7" x14ac:dyDescent="0.3">
      <c r="A21" s="671"/>
      <c r="B21" s="671" t="s">
        <v>2114</v>
      </c>
      <c r="C21" s="671"/>
      <c r="D21" s="671"/>
      <c r="E21" s="671"/>
      <c r="F21" s="671"/>
      <c r="G21" s="671"/>
    </row>
  </sheetData>
  <pageMargins left="0.7" right="0.7" top="0.75" bottom="0.75" header="0.3" footer="0.3"/>
  <pageSetup scale="89" orientation="portrait" r:id="rId1"/>
  <customProperties>
    <customPr name="QAA_DRILLPATH_NODE_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E14:AP24"/>
  <sheetViews>
    <sheetView topLeftCell="A16" workbookViewId="0">
      <selection activeCell="J6" sqref="J6"/>
    </sheetView>
  </sheetViews>
  <sheetFormatPr baseColWidth="10" defaultColWidth="1.5" defaultRowHeight="15.5" x14ac:dyDescent="0.35"/>
  <cols>
    <col min="1" max="16384" width="1.5" style="133"/>
  </cols>
  <sheetData>
    <row r="14" spans="31:42" x14ac:dyDescent="0.35">
      <c r="AF14" s="134"/>
      <c r="AG14" s="134"/>
      <c r="AH14" s="134"/>
      <c r="AI14" s="134"/>
      <c r="AJ14" s="134"/>
      <c r="AK14" s="134"/>
      <c r="AL14" s="134"/>
      <c r="AM14" s="134"/>
      <c r="AN14" s="134"/>
      <c r="AO14" s="134"/>
    </row>
    <row r="15" spans="31:42" x14ac:dyDescent="0.35">
      <c r="AE15" s="134"/>
      <c r="AF15" s="134"/>
      <c r="AG15" s="134"/>
      <c r="AH15" s="134"/>
      <c r="AI15" s="134"/>
      <c r="AJ15" s="134"/>
      <c r="AK15" s="134"/>
      <c r="AL15" s="134"/>
      <c r="AM15" s="134"/>
      <c r="AN15" s="134"/>
      <c r="AO15" s="134"/>
      <c r="AP15" s="134"/>
    </row>
    <row r="16" spans="31:42" x14ac:dyDescent="0.35">
      <c r="AE16" s="134"/>
      <c r="AF16" s="134"/>
      <c r="AG16" s="134"/>
      <c r="AH16" s="134"/>
      <c r="AI16" s="134"/>
      <c r="AJ16" s="134"/>
      <c r="AK16" s="134"/>
      <c r="AL16" s="134"/>
      <c r="AM16" s="134"/>
      <c r="AN16" s="134"/>
      <c r="AO16" s="134"/>
      <c r="AP16" s="134"/>
    </row>
    <row r="17" spans="31:42" x14ac:dyDescent="0.35">
      <c r="AE17" s="134"/>
      <c r="AF17" s="134"/>
      <c r="AG17" s="134"/>
      <c r="AH17" s="134"/>
      <c r="AI17" s="134"/>
      <c r="AJ17" s="134"/>
      <c r="AK17" s="134"/>
      <c r="AL17" s="134"/>
      <c r="AM17" s="134"/>
      <c r="AN17" s="134"/>
      <c r="AO17" s="134"/>
      <c r="AP17" s="134"/>
    </row>
    <row r="18" spans="31:42" x14ac:dyDescent="0.35">
      <c r="AE18" s="134"/>
      <c r="AF18" s="134"/>
      <c r="AG18" s="134"/>
      <c r="AH18" s="134"/>
      <c r="AI18" s="134"/>
      <c r="AJ18" s="134"/>
      <c r="AK18" s="134"/>
      <c r="AL18" s="134"/>
      <c r="AM18" s="134"/>
      <c r="AN18" s="134"/>
      <c r="AO18" s="134"/>
      <c r="AP18" s="134"/>
    </row>
    <row r="19" spans="31:42" x14ac:dyDescent="0.35">
      <c r="AE19" s="134"/>
      <c r="AF19" s="134"/>
      <c r="AG19" s="134"/>
      <c r="AH19" s="134"/>
      <c r="AI19" s="134"/>
      <c r="AJ19" s="134"/>
      <c r="AK19" s="134"/>
      <c r="AL19" s="134"/>
      <c r="AM19" s="134"/>
      <c r="AN19" s="134"/>
      <c r="AO19" s="134"/>
      <c r="AP19" s="134"/>
    </row>
    <row r="20" spans="31:42" x14ac:dyDescent="0.35">
      <c r="AE20" s="134"/>
      <c r="AF20" s="134"/>
      <c r="AG20" s="134"/>
      <c r="AH20" s="134"/>
      <c r="AI20" s="134"/>
      <c r="AJ20" s="134"/>
      <c r="AK20" s="134"/>
      <c r="AL20" s="134"/>
      <c r="AM20" s="134"/>
      <c r="AN20" s="134"/>
      <c r="AO20" s="134"/>
      <c r="AP20" s="134"/>
    </row>
    <row r="21" spans="31:42" x14ac:dyDescent="0.35">
      <c r="AE21" s="134"/>
      <c r="AF21" s="134"/>
      <c r="AG21" s="134"/>
      <c r="AH21" s="134"/>
      <c r="AI21" s="134"/>
      <c r="AJ21" s="134"/>
      <c r="AK21" s="134"/>
      <c r="AL21" s="134"/>
      <c r="AM21" s="134"/>
      <c r="AN21" s="134"/>
      <c r="AO21" s="134"/>
      <c r="AP21" s="134"/>
    </row>
    <row r="22" spans="31:42" x14ac:dyDescent="0.35">
      <c r="AE22" s="134"/>
      <c r="AF22" s="134"/>
      <c r="AG22" s="134"/>
      <c r="AH22" s="134"/>
      <c r="AI22" s="134"/>
      <c r="AJ22" s="134"/>
      <c r="AK22" s="134"/>
      <c r="AL22" s="134"/>
      <c r="AM22" s="134"/>
      <c r="AN22" s="134"/>
      <c r="AO22" s="134"/>
      <c r="AP22" s="134"/>
    </row>
    <row r="23" spans="31:42" x14ac:dyDescent="0.35">
      <c r="AE23" s="134"/>
      <c r="AF23" s="134"/>
      <c r="AG23" s="134"/>
      <c r="AH23" s="134"/>
      <c r="AI23" s="134"/>
      <c r="AJ23" s="134"/>
      <c r="AK23" s="134"/>
      <c r="AL23" s="134"/>
      <c r="AM23" s="134"/>
      <c r="AN23" s="134"/>
      <c r="AO23" s="134"/>
      <c r="AP23" s="134"/>
    </row>
    <row r="24" spans="31:42" x14ac:dyDescent="0.35">
      <c r="AE24" s="134"/>
      <c r="AF24" s="134"/>
      <c r="AG24" s="134"/>
      <c r="AH24" s="134"/>
      <c r="AI24" s="134"/>
      <c r="AJ24" s="134"/>
      <c r="AK24" s="134"/>
      <c r="AL24" s="134"/>
      <c r="AM24" s="134"/>
      <c r="AN24" s="134"/>
      <c r="AO24" s="134"/>
      <c r="AP24" s="134"/>
    </row>
  </sheetData>
  <pageMargins left="0.7" right="0.7" top="0.75" bottom="0.75" header="0.3" footer="0.3"/>
  <customProperties>
    <customPr name="QAA_DRILLPATH_NODE_ID" r:id="rId1"/>
  </customPropertie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C1:DD325"/>
  <sheetViews>
    <sheetView workbookViewId="0"/>
  </sheetViews>
  <sheetFormatPr baseColWidth="10" defaultColWidth="1.58203125" defaultRowHeight="15.5" x14ac:dyDescent="0.35"/>
  <sheetData>
    <row r="1" spans="7:88" ht="7.5" customHeight="1" x14ac:dyDescent="0.35">
      <c r="I1" s="135"/>
      <c r="J1" s="135"/>
      <c r="K1" s="135"/>
      <c r="L1" s="135"/>
      <c r="M1" s="135"/>
      <c r="N1" s="135"/>
      <c r="O1" s="135"/>
      <c r="P1" s="135"/>
      <c r="Q1" s="887" t="s">
        <v>2067</v>
      </c>
      <c r="R1" s="887"/>
      <c r="S1" s="887"/>
      <c r="T1" s="887"/>
      <c r="U1" s="887"/>
      <c r="V1" s="887"/>
      <c r="W1" s="887"/>
      <c r="X1" s="887"/>
      <c r="Y1" s="887"/>
      <c r="Z1" s="887"/>
      <c r="AA1" s="887"/>
      <c r="AB1" s="887"/>
      <c r="AC1" s="887"/>
      <c r="AD1" s="887"/>
      <c r="AE1" s="887"/>
      <c r="AF1" s="887"/>
      <c r="AG1" s="887"/>
      <c r="AH1" s="887"/>
      <c r="AI1" s="887"/>
      <c r="AJ1" s="887"/>
      <c r="AK1" s="887"/>
      <c r="AL1" s="887"/>
      <c r="AM1" s="887"/>
      <c r="AN1" s="887"/>
      <c r="AO1" s="887"/>
      <c r="AP1" s="887"/>
      <c r="AQ1" s="887"/>
      <c r="AR1" s="887"/>
      <c r="AS1" s="887"/>
      <c r="AT1" s="887"/>
      <c r="AU1" s="887"/>
      <c r="AV1" s="887"/>
      <c r="AW1" s="887"/>
      <c r="AX1" s="887"/>
      <c r="AY1" s="887"/>
      <c r="AZ1" s="887"/>
      <c r="BA1" s="887"/>
      <c r="BB1" s="887"/>
      <c r="BC1" s="887"/>
      <c r="BD1" s="887"/>
      <c r="BE1" s="887"/>
      <c r="BF1" s="887"/>
    </row>
    <row r="2" spans="7:88" ht="7.5" customHeight="1" x14ac:dyDescent="0.35">
      <c r="I2" s="135"/>
      <c r="J2" s="135"/>
      <c r="K2" s="135"/>
      <c r="L2" s="135"/>
      <c r="M2" s="135"/>
      <c r="N2" s="135"/>
      <c r="O2" s="135"/>
      <c r="P2" s="135"/>
      <c r="Q2" s="887"/>
      <c r="R2" s="887"/>
      <c r="S2" s="887"/>
      <c r="T2" s="887"/>
      <c r="U2" s="887"/>
      <c r="V2" s="887"/>
      <c r="W2" s="887"/>
      <c r="X2" s="887"/>
      <c r="Y2" s="887"/>
      <c r="Z2" s="887"/>
      <c r="AA2" s="887"/>
      <c r="AB2" s="887"/>
      <c r="AC2" s="887"/>
      <c r="AD2" s="887"/>
      <c r="AE2" s="887"/>
      <c r="AF2" s="887"/>
      <c r="AG2" s="887"/>
      <c r="AH2" s="887"/>
      <c r="AI2" s="887"/>
      <c r="AJ2" s="887"/>
      <c r="AK2" s="887"/>
      <c r="AL2" s="887"/>
      <c r="AM2" s="887"/>
      <c r="AN2" s="887"/>
      <c r="AO2" s="887"/>
      <c r="AP2" s="887"/>
      <c r="AQ2" s="887"/>
      <c r="AR2" s="887"/>
      <c r="AS2" s="887"/>
      <c r="AT2" s="887"/>
      <c r="AU2" s="887"/>
      <c r="AV2" s="887"/>
      <c r="AW2" s="887"/>
      <c r="AX2" s="887"/>
      <c r="AY2" s="887"/>
      <c r="AZ2" s="887"/>
      <c r="BA2" s="887"/>
      <c r="BB2" s="887"/>
      <c r="BC2" s="887"/>
      <c r="BD2" s="887"/>
      <c r="BE2" s="887"/>
      <c r="BF2" s="887"/>
    </row>
    <row r="3" spans="7:88" ht="24" customHeight="1" thickBot="1" x14ac:dyDescent="0.4">
      <c r="I3" s="135"/>
      <c r="J3" s="135"/>
      <c r="K3" s="135"/>
      <c r="L3" s="135"/>
      <c r="M3" s="135"/>
      <c r="N3" s="135"/>
      <c r="O3" s="135"/>
      <c r="Q3" s="888"/>
      <c r="R3" s="888"/>
      <c r="S3" s="888"/>
      <c r="T3" s="888"/>
      <c r="U3" s="888"/>
      <c r="V3" s="888"/>
      <c r="W3" s="888"/>
      <c r="X3" s="888"/>
      <c r="Y3" s="888"/>
      <c r="Z3" s="888"/>
      <c r="AA3" s="888"/>
      <c r="AB3" s="888"/>
      <c r="AC3" s="888"/>
      <c r="AD3" s="888"/>
      <c r="AE3" s="888"/>
      <c r="AF3" s="888"/>
      <c r="AG3" s="888"/>
      <c r="AH3" s="888"/>
      <c r="AI3" s="888"/>
      <c r="AJ3" s="888"/>
      <c r="AK3" s="888"/>
      <c r="AL3" s="888"/>
      <c r="AM3" s="888"/>
      <c r="AN3" s="888"/>
      <c r="AO3" s="888"/>
      <c r="AP3" s="888"/>
      <c r="AQ3" s="888"/>
      <c r="AR3" s="888"/>
      <c r="AS3" s="888"/>
      <c r="AT3" s="888"/>
      <c r="AU3" s="888"/>
      <c r="AV3" s="888"/>
      <c r="AW3" s="888"/>
      <c r="AX3" s="888"/>
      <c r="AY3" s="888"/>
      <c r="AZ3" s="888"/>
      <c r="BA3" s="888"/>
      <c r="BB3" s="888"/>
      <c r="BC3" s="888"/>
      <c r="BD3" s="888"/>
      <c r="BE3" s="888"/>
      <c r="BF3" s="888"/>
      <c r="BG3" s="136"/>
      <c r="BH3" s="136"/>
      <c r="BI3" s="136"/>
      <c r="BJ3" s="136"/>
      <c r="BK3" s="136"/>
      <c r="BL3" s="136"/>
      <c r="BM3" s="136"/>
      <c r="BN3" s="136"/>
      <c r="BO3" s="136"/>
      <c r="BP3" s="136"/>
      <c r="BQ3" s="136"/>
      <c r="BR3" s="136"/>
      <c r="BS3" s="136"/>
      <c r="BT3" s="136"/>
      <c r="BU3" s="136"/>
    </row>
    <row r="4" spans="7:88" ht="7.5" customHeight="1" x14ac:dyDescent="0.35">
      <c r="I4" s="135"/>
      <c r="J4" s="135"/>
      <c r="K4" s="135"/>
      <c r="L4" s="135"/>
      <c r="M4" s="135"/>
      <c r="N4" s="135"/>
      <c r="O4" s="135"/>
      <c r="Q4" s="130"/>
      <c r="R4" s="130"/>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0"/>
      <c r="BD4" s="130"/>
      <c r="BE4" s="130"/>
      <c r="BF4" s="130"/>
      <c r="BG4" s="130"/>
      <c r="BH4" s="130"/>
      <c r="BI4" s="130"/>
      <c r="BJ4" s="130"/>
      <c r="BK4" s="130"/>
      <c r="BL4" s="130"/>
      <c r="BM4" s="130"/>
      <c r="BN4" s="130"/>
      <c r="BO4" s="130"/>
      <c r="BP4" s="130"/>
      <c r="BQ4" s="130"/>
      <c r="BR4" s="130"/>
      <c r="BS4" s="130"/>
      <c r="BT4" s="130"/>
      <c r="BU4" s="130"/>
    </row>
    <row r="5" spans="7:88" ht="7.5" customHeight="1" x14ac:dyDescent="0.35">
      <c r="I5" s="135"/>
      <c r="J5" s="135"/>
      <c r="K5" s="135"/>
      <c r="L5" s="135"/>
      <c r="M5" s="135"/>
      <c r="N5" s="135"/>
      <c r="O5" s="135"/>
      <c r="Q5" s="130"/>
      <c r="R5" s="130"/>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0"/>
      <c r="BD5" s="130"/>
      <c r="BE5" s="130"/>
      <c r="BF5" s="130"/>
      <c r="BG5" s="130"/>
      <c r="BH5" s="130"/>
      <c r="BI5" s="130"/>
      <c r="BJ5" s="130"/>
      <c r="BK5" s="130"/>
      <c r="BL5" s="130"/>
      <c r="BM5" s="130"/>
      <c r="BN5" s="130"/>
      <c r="BO5" s="130"/>
      <c r="BP5" s="130"/>
      <c r="BQ5" s="130"/>
      <c r="BR5" s="130"/>
      <c r="BS5" s="130"/>
      <c r="BT5" s="130"/>
      <c r="BU5" s="130"/>
    </row>
    <row r="6" spans="7:88" ht="7.5" customHeight="1" x14ac:dyDescent="0.35">
      <c r="BN6" s="889" t="s">
        <v>2068</v>
      </c>
      <c r="BO6" s="889"/>
      <c r="BP6" s="889"/>
      <c r="BQ6" s="889"/>
      <c r="BR6" s="889"/>
      <c r="BS6" s="889"/>
      <c r="BT6" s="889"/>
      <c r="BU6" s="889"/>
      <c r="BV6" s="889"/>
      <c r="BW6" s="889"/>
      <c r="BX6" s="889"/>
      <c r="BY6" s="889"/>
      <c r="BZ6" s="889"/>
      <c r="CA6" s="889"/>
      <c r="CB6" s="889"/>
      <c r="CC6" s="889"/>
      <c r="CD6" s="889"/>
      <c r="CE6" s="889"/>
      <c r="CF6" s="889"/>
      <c r="CG6" s="889"/>
      <c r="CH6" s="889"/>
      <c r="CI6" s="889"/>
      <c r="CJ6" s="889"/>
    </row>
    <row r="7" spans="7:88" ht="7.5" customHeight="1" x14ac:dyDescent="0.35">
      <c r="BN7" s="889"/>
      <c r="BO7" s="889"/>
      <c r="BP7" s="889"/>
      <c r="BQ7" s="889"/>
      <c r="BR7" s="889"/>
      <c r="BS7" s="889"/>
      <c r="BT7" s="889"/>
      <c r="BU7" s="889"/>
      <c r="BV7" s="889"/>
      <c r="BW7" s="889"/>
      <c r="BX7" s="889"/>
      <c r="BY7" s="889"/>
      <c r="BZ7" s="889"/>
      <c r="CA7" s="889"/>
      <c r="CB7" s="889"/>
      <c r="CC7" s="889"/>
      <c r="CD7" s="889"/>
      <c r="CE7" s="889"/>
      <c r="CF7" s="889"/>
      <c r="CG7" s="889"/>
      <c r="CH7" s="889"/>
      <c r="CI7" s="889"/>
      <c r="CJ7" s="889"/>
    </row>
    <row r="8" spans="7:88" ht="7.5" customHeight="1" x14ac:dyDescent="0.35">
      <c r="AK8" s="138"/>
    </row>
    <row r="9" spans="7:88" ht="7.5" customHeight="1" x14ac:dyDescent="0.35">
      <c r="G9" s="138"/>
      <c r="N9" s="138"/>
      <c r="AF9" s="138"/>
    </row>
    <row r="10" spans="7:88" ht="7.5" customHeight="1" x14ac:dyDescent="0.35">
      <c r="G10" s="138"/>
    </row>
    <row r="11" spans="7:88" ht="7.5" customHeight="1" x14ac:dyDescent="0.35"/>
    <row r="12" spans="7:88" ht="7.5" customHeight="1" x14ac:dyDescent="0.35"/>
    <row r="13" spans="7:88" ht="7.5" customHeight="1" x14ac:dyDescent="0.35">
      <c r="W13" s="139"/>
    </row>
    <row r="14" spans="7:88" ht="7.5" customHeight="1" x14ac:dyDescent="0.35"/>
    <row r="15" spans="7:88" ht="7.5" customHeight="1" x14ac:dyDescent="0.35"/>
    <row r="16" spans="7:88" ht="7.5" customHeight="1" x14ac:dyDescent="0.35"/>
    <row r="17" spans="3:108" ht="7.5" customHeight="1" x14ac:dyDescent="0.35">
      <c r="AY17" s="138"/>
    </row>
    <row r="18" spans="3:108" ht="7.5" customHeight="1" x14ac:dyDescent="0.35">
      <c r="DD18" s="140"/>
    </row>
    <row r="19" spans="3:108" ht="7.5" customHeight="1" x14ac:dyDescent="0.35">
      <c r="AG19" s="138"/>
      <c r="AZ19" s="138"/>
      <c r="BB19" s="138"/>
      <c r="BD19" s="138"/>
    </row>
    <row r="20" spans="3:108" ht="7.5" customHeight="1" x14ac:dyDescent="0.35"/>
    <row r="21" spans="3:108" ht="7.5" customHeight="1" x14ac:dyDescent="0.35"/>
    <row r="22" spans="3:108" ht="7.5" customHeight="1" x14ac:dyDescent="0.35"/>
    <row r="23" spans="3:108" ht="7.5" customHeight="1" x14ac:dyDescent="0.35">
      <c r="F23" s="138"/>
      <c r="AB23" s="138"/>
      <c r="AK23" s="138"/>
    </row>
    <row r="24" spans="3:108" ht="7.5" customHeight="1" x14ac:dyDescent="0.35"/>
    <row r="25" spans="3:108" ht="7.5" customHeight="1" x14ac:dyDescent="0.35">
      <c r="BE25" s="138"/>
    </row>
    <row r="26" spans="3:108" ht="7.5" customHeight="1" x14ac:dyDescent="0.35"/>
    <row r="27" spans="3:108" ht="7.5" customHeight="1" x14ac:dyDescent="0.35">
      <c r="C27" s="138"/>
      <c r="AS27" s="138"/>
    </row>
    <row r="28" spans="3:108" ht="7.5" customHeight="1" x14ac:dyDescent="0.35"/>
    <row r="29" spans="3:108" ht="7.5" customHeight="1" x14ac:dyDescent="0.35">
      <c r="L29" s="138"/>
      <c r="AK29" s="138"/>
      <c r="AR29" s="138"/>
      <c r="AZ29" s="138"/>
    </row>
    <row r="30" spans="3:108" ht="7.5" customHeight="1" x14ac:dyDescent="0.35">
      <c r="AQ30" s="139"/>
    </row>
    <row r="31" spans="3:108" ht="7.5" customHeight="1" x14ac:dyDescent="0.35"/>
    <row r="32" spans="3:108" ht="7.5" customHeight="1" x14ac:dyDescent="0.35">
      <c r="AJ32" s="138"/>
    </row>
    <row r="33" spans="6:44" ht="7.5" customHeight="1" x14ac:dyDescent="0.35"/>
    <row r="34" spans="6:44" ht="7.5" customHeight="1" x14ac:dyDescent="0.35">
      <c r="F34" s="138"/>
      <c r="L34" s="138"/>
    </row>
    <row r="35" spans="6:44" ht="7.5" customHeight="1" x14ac:dyDescent="0.35">
      <c r="AB35" s="138"/>
      <c r="AI35" s="138"/>
      <c r="AK35" s="141"/>
    </row>
    <row r="36" spans="6:44" ht="7.5" customHeight="1" x14ac:dyDescent="0.35"/>
    <row r="37" spans="6:44" ht="7.5" customHeight="1" x14ac:dyDescent="0.35"/>
    <row r="38" spans="6:44" ht="7.5" customHeight="1" x14ac:dyDescent="0.35">
      <c r="AK38" s="138"/>
    </row>
    <row r="39" spans="6:44" ht="7.5" customHeight="1" x14ac:dyDescent="0.35"/>
    <row r="40" spans="6:44" ht="7.5" customHeight="1" x14ac:dyDescent="0.35"/>
    <row r="41" spans="6:44" ht="7.5" customHeight="1" x14ac:dyDescent="0.35"/>
    <row r="42" spans="6:44" ht="7.5" customHeight="1" x14ac:dyDescent="0.35">
      <c r="G42" s="138"/>
      <c r="J42" s="138"/>
      <c r="AL42" s="138"/>
    </row>
    <row r="43" spans="6:44" ht="7.5" customHeight="1" x14ac:dyDescent="0.35"/>
    <row r="44" spans="6:44" ht="7.5" customHeight="1" x14ac:dyDescent="0.35">
      <c r="AN44" s="138"/>
    </row>
    <row r="45" spans="6:44" ht="7.5" customHeight="1" x14ac:dyDescent="0.35"/>
    <row r="46" spans="6:44" ht="7.5" customHeight="1" x14ac:dyDescent="0.35"/>
    <row r="47" spans="6:44" ht="7.5" customHeight="1" x14ac:dyDescent="0.35">
      <c r="AR47" s="138"/>
    </row>
    <row r="48" spans="6:44" ht="7.5" customHeight="1" x14ac:dyDescent="0.35"/>
    <row r="49" spans="20:52" ht="7.5" customHeight="1" x14ac:dyDescent="0.35"/>
    <row r="50" spans="20:52" ht="7.5" customHeight="1" x14ac:dyDescent="0.35">
      <c r="AN50" s="138"/>
    </row>
    <row r="51" spans="20:52" ht="7.5" customHeight="1" x14ac:dyDescent="0.35"/>
    <row r="52" spans="20:52" ht="7.5" customHeight="1" x14ac:dyDescent="0.35">
      <c r="AM52" s="139"/>
      <c r="AU52" s="138"/>
    </row>
    <row r="53" spans="20:52" ht="7.5" customHeight="1" x14ac:dyDescent="0.35"/>
    <row r="54" spans="20:52" ht="7.5" customHeight="1" x14ac:dyDescent="0.35">
      <c r="T54" s="138"/>
      <c r="AV54" s="138"/>
    </row>
    <row r="55" spans="20:52" ht="7.5" customHeight="1" x14ac:dyDescent="0.35"/>
    <row r="56" spans="20:52" ht="7.5" customHeight="1" x14ac:dyDescent="0.35">
      <c r="AZ56" s="138"/>
    </row>
    <row r="57" spans="20:52" ht="7.5" customHeight="1" x14ac:dyDescent="0.35"/>
    <row r="58" spans="20:52" ht="7.5" customHeight="1" x14ac:dyDescent="0.35"/>
    <row r="59" spans="20:52" ht="7.5" customHeight="1" x14ac:dyDescent="0.35"/>
    <row r="60" spans="20:52" ht="7.5" customHeight="1" x14ac:dyDescent="0.35"/>
    <row r="61" spans="20:52" ht="7.5" customHeight="1" x14ac:dyDescent="0.35"/>
    <row r="62" spans="20:52" ht="7.5" customHeight="1" x14ac:dyDescent="0.35"/>
    <row r="63" spans="20:52" ht="7.5" customHeight="1" x14ac:dyDescent="0.35"/>
    <row r="64" spans="20:52" ht="7.5" customHeight="1" x14ac:dyDescent="0.35"/>
    <row r="65" spans="56:97" ht="7.5" customHeight="1" x14ac:dyDescent="0.35"/>
    <row r="66" spans="56:97" ht="7.5" customHeight="1" x14ac:dyDescent="0.35">
      <c r="BD66" s="129"/>
      <c r="BE66" s="129"/>
      <c r="BF66" s="129"/>
      <c r="BG66" s="129"/>
      <c r="BH66" s="129"/>
      <c r="BI66" s="129"/>
      <c r="BJ66" s="129"/>
      <c r="BK66" s="129"/>
      <c r="BL66" s="129"/>
      <c r="BM66" s="129"/>
      <c r="BN66" s="129"/>
      <c r="BO66" s="129"/>
      <c r="BP66" s="129"/>
      <c r="BQ66" s="129"/>
      <c r="BR66" s="129"/>
      <c r="BS66" s="129"/>
      <c r="BT66" s="129"/>
      <c r="BU66" s="129"/>
      <c r="BV66" s="129"/>
      <c r="BW66" s="129"/>
      <c r="BX66" s="129"/>
      <c r="BY66" s="129"/>
      <c r="BZ66" s="129"/>
      <c r="CA66" s="129"/>
      <c r="CB66" s="129"/>
      <c r="CC66" s="129"/>
      <c r="CD66" s="129"/>
      <c r="CE66" s="129"/>
      <c r="CF66" s="129"/>
      <c r="CG66" s="129"/>
      <c r="CH66" s="129"/>
      <c r="CI66" s="129"/>
      <c r="CJ66" s="129"/>
      <c r="CK66" s="129"/>
      <c r="CL66" s="129"/>
      <c r="CM66" s="129"/>
      <c r="CN66" s="129"/>
      <c r="CO66" s="129"/>
      <c r="CP66" s="129"/>
      <c r="CQ66" s="129"/>
      <c r="CR66" s="129"/>
      <c r="CS66" s="129"/>
    </row>
    <row r="67" spans="56:97" ht="7.5" customHeight="1" x14ac:dyDescent="0.35">
      <c r="BD67" s="129"/>
      <c r="BE67" s="129"/>
      <c r="BF67" s="129"/>
      <c r="BG67" s="129"/>
      <c r="BH67" s="129"/>
      <c r="BI67" s="129"/>
      <c r="BJ67" s="129"/>
      <c r="BK67" s="129"/>
      <c r="BL67" s="129"/>
      <c r="BM67" s="129"/>
      <c r="BN67" s="129"/>
      <c r="BO67" s="129"/>
      <c r="BP67" s="129"/>
      <c r="BQ67" s="129"/>
      <c r="BR67" s="129"/>
      <c r="BS67" s="129"/>
      <c r="BT67" s="129"/>
      <c r="BU67" s="129"/>
      <c r="BV67" s="129"/>
      <c r="BW67" s="129"/>
      <c r="BX67" s="129"/>
      <c r="BY67" s="129"/>
      <c r="BZ67" s="129"/>
      <c r="CA67" s="129"/>
      <c r="CB67" s="129"/>
      <c r="CC67" s="129"/>
      <c r="CD67" s="129"/>
      <c r="CE67" s="129"/>
      <c r="CF67" s="129"/>
      <c r="CG67" s="129"/>
      <c r="CH67" s="129"/>
      <c r="CI67" s="129"/>
      <c r="CJ67" s="129"/>
      <c r="CK67" s="129"/>
      <c r="CL67" s="129"/>
      <c r="CM67" s="129"/>
      <c r="CN67" s="129"/>
      <c r="CO67" s="129"/>
      <c r="CP67" s="129"/>
      <c r="CQ67" s="129"/>
      <c r="CR67" s="129"/>
      <c r="CS67" s="129"/>
    </row>
    <row r="68" spans="56:97" ht="7.5" customHeight="1" x14ac:dyDescent="0.35">
      <c r="BD68" s="129"/>
      <c r="BE68" s="129"/>
      <c r="BF68" s="129"/>
      <c r="BG68" s="129"/>
      <c r="BH68" s="129"/>
      <c r="BI68" s="129"/>
      <c r="BJ68" s="129"/>
      <c r="BK68" s="129"/>
      <c r="BL68" s="129"/>
      <c r="BM68" s="129"/>
      <c r="BN68" s="129"/>
      <c r="BO68" s="129"/>
      <c r="BP68" s="129"/>
      <c r="BQ68" s="129"/>
      <c r="BR68" s="129"/>
      <c r="BS68" s="129"/>
      <c r="BT68" s="129"/>
      <c r="BU68" s="129"/>
      <c r="BV68" s="129"/>
      <c r="BW68" s="129"/>
      <c r="BX68" s="129"/>
      <c r="BY68" s="129"/>
      <c r="BZ68" s="129"/>
      <c r="CA68" s="129"/>
      <c r="CB68" s="129"/>
      <c r="CC68" s="129"/>
      <c r="CD68" s="129"/>
      <c r="CE68" s="129"/>
      <c r="CF68" s="129"/>
      <c r="CG68" s="129"/>
      <c r="CH68" s="129"/>
      <c r="CI68" s="129"/>
      <c r="CJ68" s="129"/>
      <c r="CK68" s="129"/>
      <c r="CL68" s="129"/>
      <c r="CM68" s="129"/>
      <c r="CN68" s="129"/>
      <c r="CO68" s="129"/>
      <c r="CP68" s="129"/>
      <c r="CQ68" s="129"/>
      <c r="CR68" s="129"/>
      <c r="CS68" s="129"/>
    </row>
    <row r="69" spans="56:97" ht="7.5" customHeight="1" x14ac:dyDescent="0.35"/>
    <row r="70" spans="56:97" ht="7.5" customHeight="1" x14ac:dyDescent="0.35"/>
    <row r="71" spans="56:97" ht="7.5" customHeight="1" x14ac:dyDescent="0.35"/>
    <row r="72" spans="56:97" ht="7.5" customHeight="1" x14ac:dyDescent="0.35"/>
    <row r="73" spans="56:97" ht="7.5" customHeight="1" x14ac:dyDescent="0.35"/>
    <row r="74" spans="56:97" ht="7.5" customHeight="1" x14ac:dyDescent="0.35"/>
    <row r="75" spans="56:97" ht="7.5" customHeight="1" x14ac:dyDescent="0.35"/>
    <row r="76" spans="56:97" ht="7.5" customHeight="1" x14ac:dyDescent="0.35"/>
    <row r="77" spans="56:97" ht="7.5" customHeight="1" x14ac:dyDescent="0.35"/>
    <row r="78" spans="56:97" ht="7.5" customHeight="1" x14ac:dyDescent="0.35"/>
    <row r="79" spans="56:97" ht="7.5" customHeight="1" x14ac:dyDescent="0.35"/>
    <row r="80" spans="56:97" ht="7.5" customHeight="1" x14ac:dyDescent="0.35"/>
    <row r="81" spans="29:97" ht="7.5" customHeight="1" x14ac:dyDescent="0.35"/>
    <row r="82" spans="29:97" ht="7.5" customHeight="1" x14ac:dyDescent="0.35"/>
    <row r="83" spans="29:97" ht="7.5" customHeight="1" x14ac:dyDescent="0.35"/>
    <row r="84" spans="29:97" ht="7.5" customHeight="1" x14ac:dyDescent="0.35"/>
    <row r="85" spans="29:97" ht="7.5" customHeight="1" x14ac:dyDescent="0.35"/>
    <row r="86" spans="29:97" ht="7.5" customHeight="1" x14ac:dyDescent="0.35"/>
    <row r="87" spans="29:97" ht="7.5" customHeight="1" x14ac:dyDescent="0.35"/>
    <row r="88" spans="29:97" ht="7.5" customHeight="1" x14ac:dyDescent="0.35"/>
    <row r="89" spans="29:97" ht="7.5" customHeight="1" x14ac:dyDescent="0.35">
      <c r="CS89" s="140"/>
    </row>
    <row r="90" spans="29:97" ht="7.5" customHeight="1" x14ac:dyDescent="0.35"/>
    <row r="91" spans="29:97" ht="7.5" customHeight="1" x14ac:dyDescent="0.35"/>
    <row r="92" spans="29:97" ht="7.5" customHeight="1" x14ac:dyDescent="0.35"/>
    <row r="93" spans="29:97" ht="7.5" customHeight="1" x14ac:dyDescent="0.35"/>
    <row r="94" spans="29:97" ht="7.5" customHeight="1" x14ac:dyDescent="0.35"/>
    <row r="95" spans="29:97" ht="7.5" customHeight="1" x14ac:dyDescent="0.35">
      <c r="AC95" s="142"/>
    </row>
    <row r="96" spans="29:97" ht="7.5" customHeight="1" x14ac:dyDescent="0.35"/>
    <row r="97" spans="43:43" ht="7.5" customHeight="1" x14ac:dyDescent="0.35"/>
    <row r="98" spans="43:43" ht="7.5" customHeight="1" x14ac:dyDescent="0.35"/>
    <row r="99" spans="43:43" ht="7.5" customHeight="1" x14ac:dyDescent="0.35"/>
    <row r="100" spans="43:43" ht="7.5" customHeight="1" x14ac:dyDescent="0.35"/>
    <row r="101" spans="43:43" ht="7.5" customHeight="1" x14ac:dyDescent="0.35">
      <c r="AQ101" s="143"/>
    </row>
    <row r="102" spans="43:43" ht="7.5" customHeight="1" x14ac:dyDescent="0.35"/>
    <row r="103" spans="43:43" ht="7.5" customHeight="1" x14ac:dyDescent="0.35"/>
    <row r="104" spans="43:43" ht="7.5" customHeight="1" x14ac:dyDescent="0.35"/>
    <row r="105" spans="43:43" ht="7.5" customHeight="1" x14ac:dyDescent="0.35"/>
    <row r="106" spans="43:43" ht="7.5" customHeight="1" x14ac:dyDescent="0.35"/>
    <row r="107" spans="43:43" ht="7.5" customHeight="1" x14ac:dyDescent="0.35"/>
    <row r="108" spans="43:43" ht="7.5" customHeight="1" x14ac:dyDescent="0.35"/>
    <row r="109" spans="43:43" ht="7.5" customHeight="1" x14ac:dyDescent="0.35"/>
    <row r="110" spans="43:43" ht="7.5" customHeight="1" x14ac:dyDescent="0.35"/>
    <row r="111" spans="43:43" ht="7.5" customHeight="1" x14ac:dyDescent="0.35"/>
    <row r="112" spans="43:43" ht="7.5" customHeight="1" x14ac:dyDescent="0.35"/>
    <row r="113" ht="7.5" customHeight="1" x14ac:dyDescent="0.35"/>
    <row r="114" ht="7.5" customHeight="1" x14ac:dyDescent="0.35"/>
    <row r="115" ht="7.5" customHeight="1" x14ac:dyDescent="0.35"/>
    <row r="116" ht="7.5" customHeight="1" x14ac:dyDescent="0.35"/>
    <row r="117" ht="7.5" customHeight="1" x14ac:dyDescent="0.35"/>
    <row r="118" ht="7.5" customHeight="1" x14ac:dyDescent="0.35"/>
    <row r="119" ht="7.5" customHeight="1" x14ac:dyDescent="0.35"/>
    <row r="120" ht="7.5" customHeight="1" x14ac:dyDescent="0.35"/>
    <row r="121" ht="7.5" customHeight="1" x14ac:dyDescent="0.35"/>
    <row r="122" ht="7.5" customHeight="1" x14ac:dyDescent="0.35"/>
    <row r="123" ht="7.5" customHeight="1" x14ac:dyDescent="0.35"/>
    <row r="124" ht="7.5" customHeight="1" x14ac:dyDescent="0.35"/>
    <row r="125" ht="7.5" customHeight="1" x14ac:dyDescent="0.35"/>
    <row r="126" ht="7.5" customHeight="1" x14ac:dyDescent="0.35"/>
    <row r="127" ht="7.5" customHeight="1" x14ac:dyDescent="0.35"/>
    <row r="128" ht="7.5" customHeight="1" x14ac:dyDescent="0.35"/>
    <row r="129" ht="7.5" customHeight="1" x14ac:dyDescent="0.35"/>
    <row r="130" ht="7.5" customHeight="1" x14ac:dyDescent="0.35"/>
    <row r="131" ht="7.5" customHeight="1" x14ac:dyDescent="0.35"/>
    <row r="132" ht="7.5" customHeight="1" x14ac:dyDescent="0.35"/>
    <row r="133" ht="7.5" customHeight="1" x14ac:dyDescent="0.35"/>
    <row r="134" ht="7.5" customHeight="1" x14ac:dyDescent="0.35"/>
    <row r="135" ht="7.5" customHeight="1" x14ac:dyDescent="0.35"/>
    <row r="136" ht="7.5" customHeight="1" x14ac:dyDescent="0.35"/>
    <row r="137" ht="7.5" customHeight="1" x14ac:dyDescent="0.35"/>
    <row r="138" ht="7.5" customHeight="1" x14ac:dyDescent="0.35"/>
    <row r="139" ht="7.5" customHeight="1" x14ac:dyDescent="0.35"/>
    <row r="140" ht="7.5" customHeight="1" x14ac:dyDescent="0.35"/>
    <row r="141" ht="7.5" customHeight="1" x14ac:dyDescent="0.35"/>
    <row r="142" ht="7.5" customHeight="1" x14ac:dyDescent="0.35"/>
    <row r="143" ht="7.5" customHeight="1" x14ac:dyDescent="0.35"/>
    <row r="144" ht="7.5" customHeight="1" x14ac:dyDescent="0.35"/>
    <row r="145" ht="7.5" customHeight="1" x14ac:dyDescent="0.35"/>
    <row r="146" ht="7.5" customHeight="1" x14ac:dyDescent="0.35"/>
    <row r="147" ht="7.5" customHeight="1" x14ac:dyDescent="0.35"/>
    <row r="148" ht="7.5" customHeight="1" x14ac:dyDescent="0.35"/>
    <row r="149" ht="7.5" customHeight="1" x14ac:dyDescent="0.35"/>
    <row r="150" ht="7.5" customHeight="1" x14ac:dyDescent="0.35"/>
    <row r="151" ht="7.5" customHeight="1" x14ac:dyDescent="0.35"/>
    <row r="152" ht="7.5" customHeight="1" x14ac:dyDescent="0.35"/>
    <row r="153" ht="7.5" customHeight="1" x14ac:dyDescent="0.35"/>
    <row r="154" ht="7.5" customHeight="1" x14ac:dyDescent="0.35"/>
    <row r="155" ht="7.5" customHeight="1" x14ac:dyDescent="0.35"/>
    <row r="156" ht="7.5" customHeight="1" x14ac:dyDescent="0.35"/>
    <row r="157" ht="7.5" customHeight="1" x14ac:dyDescent="0.35"/>
    <row r="158" ht="7.5" customHeight="1" x14ac:dyDescent="0.35"/>
    <row r="159" ht="7.5" customHeight="1" x14ac:dyDescent="0.35"/>
    <row r="160" ht="7.5" customHeight="1" x14ac:dyDescent="0.35"/>
    <row r="161" spans="44:62" ht="7.5" customHeight="1" x14ac:dyDescent="0.35"/>
    <row r="162" spans="44:62" ht="7.5" customHeight="1" x14ac:dyDescent="0.35"/>
    <row r="163" spans="44:62" ht="7.5" customHeight="1" x14ac:dyDescent="0.35"/>
    <row r="164" spans="44:62" ht="7.5" customHeight="1" x14ac:dyDescent="0.35">
      <c r="AR164" s="132" t="s">
        <v>2069</v>
      </c>
    </row>
    <row r="165" spans="44:62" ht="7.5" customHeight="1" x14ac:dyDescent="0.35"/>
    <row r="166" spans="44:62" ht="7.5" customHeight="1" x14ac:dyDescent="0.35">
      <c r="AR166" s="144"/>
      <c r="AS166" s="144"/>
      <c r="AT166" s="144"/>
      <c r="AU166" s="144"/>
      <c r="AV166" s="144"/>
      <c r="AW166" s="144"/>
      <c r="AX166" s="144"/>
      <c r="AY166" s="144"/>
      <c r="AZ166" s="144"/>
      <c r="BA166" s="144"/>
      <c r="BB166" s="144"/>
      <c r="BC166" s="144"/>
      <c r="BD166" s="144"/>
      <c r="BE166" s="144"/>
      <c r="BF166" s="144"/>
      <c r="BG166" s="144"/>
      <c r="BH166" s="144"/>
      <c r="BI166" s="144"/>
      <c r="BJ166" s="144"/>
    </row>
    <row r="167" spans="44:62" ht="7.5" customHeight="1" x14ac:dyDescent="0.35"/>
    <row r="168" spans="44:62" ht="7.5" customHeight="1" x14ac:dyDescent="0.35"/>
    <row r="169" spans="44:62" ht="7.5" customHeight="1" x14ac:dyDescent="0.35"/>
    <row r="170" spans="44:62" ht="7.5" customHeight="1" x14ac:dyDescent="0.35"/>
    <row r="171" spans="44:62" ht="7.5" customHeight="1" x14ac:dyDescent="0.35"/>
    <row r="172" spans="44:62" ht="7.5" customHeight="1" x14ac:dyDescent="0.35"/>
    <row r="173" spans="44:62" ht="7.5" customHeight="1" x14ac:dyDescent="0.35"/>
    <row r="174" spans="44:62" ht="7.5" customHeight="1" x14ac:dyDescent="0.35"/>
    <row r="175" spans="44:62" ht="7.5" customHeight="1" x14ac:dyDescent="0.35"/>
    <row r="176" spans="44:62" ht="7.5" customHeight="1" x14ac:dyDescent="0.35"/>
    <row r="177" ht="7.5" customHeight="1" x14ac:dyDescent="0.35"/>
    <row r="178" ht="7.5" customHeight="1" x14ac:dyDescent="0.35"/>
    <row r="179" ht="7.5" customHeight="1" x14ac:dyDescent="0.35"/>
    <row r="180" ht="7.5" customHeight="1" x14ac:dyDescent="0.35"/>
    <row r="181" ht="7.5" customHeight="1" x14ac:dyDescent="0.35"/>
    <row r="182" ht="7.5" customHeight="1" x14ac:dyDescent="0.35"/>
    <row r="183" ht="7.5" customHeight="1" x14ac:dyDescent="0.35"/>
    <row r="184" ht="7.5" customHeight="1" x14ac:dyDescent="0.35"/>
    <row r="185" ht="7.5" customHeight="1" x14ac:dyDescent="0.35"/>
    <row r="186" ht="7.5" customHeight="1" x14ac:dyDescent="0.35"/>
    <row r="187" ht="7.5" customHeight="1" x14ac:dyDescent="0.35"/>
    <row r="188" ht="7.5" customHeight="1" x14ac:dyDescent="0.35"/>
    <row r="189" ht="7.5" customHeight="1" x14ac:dyDescent="0.35"/>
    <row r="190" ht="7.5" customHeight="1" x14ac:dyDescent="0.35"/>
    <row r="191" ht="7.5" customHeight="1" x14ac:dyDescent="0.35"/>
    <row r="192" ht="7.5" customHeight="1" x14ac:dyDescent="0.35"/>
    <row r="193" ht="7.5" customHeight="1" x14ac:dyDescent="0.35"/>
    <row r="194" ht="7.5" customHeight="1" x14ac:dyDescent="0.35"/>
    <row r="195" ht="7.5" customHeight="1" x14ac:dyDescent="0.35"/>
    <row r="196" ht="7.5" customHeight="1" x14ac:dyDescent="0.35"/>
    <row r="197" ht="7.5" customHeight="1" x14ac:dyDescent="0.35"/>
    <row r="198" ht="7.5" customHeight="1" x14ac:dyDescent="0.35"/>
    <row r="199" ht="7.5" customHeight="1" x14ac:dyDescent="0.35"/>
    <row r="200" ht="7.5" customHeight="1" x14ac:dyDescent="0.35"/>
    <row r="201" ht="7.5" customHeight="1" x14ac:dyDescent="0.35"/>
    <row r="202" ht="7.5" customHeight="1" x14ac:dyDescent="0.35"/>
    <row r="203" ht="7.5" customHeight="1" x14ac:dyDescent="0.35"/>
    <row r="204" ht="7.5" customHeight="1" x14ac:dyDescent="0.35"/>
    <row r="205" ht="7.5" customHeight="1" x14ac:dyDescent="0.35"/>
    <row r="206" ht="7.5" customHeight="1" x14ac:dyDescent="0.35"/>
    <row r="207" ht="7.5" customHeight="1" x14ac:dyDescent="0.35"/>
    <row r="208" ht="7.5" customHeight="1" x14ac:dyDescent="0.35"/>
    <row r="209" ht="7.5" customHeight="1" x14ac:dyDescent="0.35"/>
    <row r="210" ht="7.5" customHeight="1" x14ac:dyDescent="0.35"/>
    <row r="211" ht="7.5" customHeight="1" x14ac:dyDescent="0.35"/>
    <row r="212" ht="7.5" customHeight="1" x14ac:dyDescent="0.35"/>
    <row r="213" ht="7.5" customHeight="1" x14ac:dyDescent="0.35"/>
    <row r="214" ht="7.5" customHeight="1" x14ac:dyDescent="0.35"/>
    <row r="215" ht="7.5" customHeight="1" x14ac:dyDescent="0.35"/>
    <row r="216" ht="7.5" customHeight="1" x14ac:dyDescent="0.35"/>
    <row r="217" ht="7.5" customHeight="1" x14ac:dyDescent="0.35"/>
    <row r="218" ht="7.5" customHeight="1" x14ac:dyDescent="0.35"/>
    <row r="219" ht="7.5" customHeight="1" x14ac:dyDescent="0.35"/>
    <row r="220" ht="7.5" customHeight="1" x14ac:dyDescent="0.35"/>
    <row r="221" ht="7.5" customHeight="1" x14ac:dyDescent="0.35"/>
    <row r="222" ht="7.5" customHeight="1" x14ac:dyDescent="0.35"/>
    <row r="223" ht="7.5" customHeight="1" x14ac:dyDescent="0.35"/>
    <row r="224" ht="7.5" customHeight="1" x14ac:dyDescent="0.35"/>
    <row r="225" ht="7.5" customHeight="1" x14ac:dyDescent="0.35"/>
    <row r="226" ht="7.5" customHeight="1" x14ac:dyDescent="0.35"/>
    <row r="227" ht="7.5" customHeight="1" x14ac:dyDescent="0.35"/>
    <row r="228" ht="7.5" customHeight="1" x14ac:dyDescent="0.35"/>
    <row r="229" ht="7.5" customHeight="1" x14ac:dyDescent="0.35"/>
    <row r="230" ht="7.5" customHeight="1" x14ac:dyDescent="0.35"/>
    <row r="231" ht="7.5" customHeight="1" x14ac:dyDescent="0.35"/>
    <row r="232" ht="7.5" customHeight="1" x14ac:dyDescent="0.35"/>
    <row r="233" ht="7.5" customHeight="1" x14ac:dyDescent="0.35"/>
    <row r="234" ht="7.5" customHeight="1" x14ac:dyDescent="0.35"/>
    <row r="235" ht="7.5" customHeight="1" x14ac:dyDescent="0.35"/>
    <row r="236" ht="7.5" customHeight="1" x14ac:dyDescent="0.35"/>
    <row r="237" ht="7.5" customHeight="1" x14ac:dyDescent="0.35"/>
    <row r="238" ht="7.5" customHeight="1" x14ac:dyDescent="0.35"/>
    <row r="239" ht="7.5" customHeight="1" x14ac:dyDescent="0.35"/>
    <row r="240" ht="7.5" customHeight="1" x14ac:dyDescent="0.35"/>
    <row r="241" ht="7.5" customHeight="1" x14ac:dyDescent="0.35"/>
    <row r="242" ht="7.5" customHeight="1" x14ac:dyDescent="0.35"/>
    <row r="243" ht="7.5" customHeight="1" x14ac:dyDescent="0.35"/>
    <row r="244" ht="7.5" customHeight="1" x14ac:dyDescent="0.35"/>
    <row r="245" ht="7.5" customHeight="1" x14ac:dyDescent="0.35"/>
    <row r="246" ht="7.5" customHeight="1" x14ac:dyDescent="0.35"/>
    <row r="247" ht="7.5" customHeight="1" x14ac:dyDescent="0.35"/>
    <row r="248" ht="7.5" customHeight="1" x14ac:dyDescent="0.35"/>
    <row r="249" ht="7.5" customHeight="1" x14ac:dyDescent="0.35"/>
    <row r="250" ht="7.5" customHeight="1" x14ac:dyDescent="0.35"/>
    <row r="251" ht="7.5" customHeight="1" x14ac:dyDescent="0.35"/>
    <row r="252" ht="7.5" customHeight="1" x14ac:dyDescent="0.35"/>
    <row r="253" ht="7.5" customHeight="1" x14ac:dyDescent="0.35"/>
    <row r="254" ht="7.5" customHeight="1" x14ac:dyDescent="0.35"/>
    <row r="255" ht="7.5" customHeight="1" x14ac:dyDescent="0.35"/>
    <row r="256" ht="7.5" customHeight="1" x14ac:dyDescent="0.35"/>
    <row r="257" ht="7.5" customHeight="1" x14ac:dyDescent="0.35"/>
    <row r="258" ht="7.5" customHeight="1" x14ac:dyDescent="0.35"/>
    <row r="259" ht="7.5" customHeight="1" x14ac:dyDescent="0.35"/>
    <row r="260" ht="7.5" customHeight="1" x14ac:dyDescent="0.35"/>
    <row r="261" ht="7.5" customHeight="1" x14ac:dyDescent="0.35"/>
    <row r="262" ht="7.5" customHeight="1" x14ac:dyDescent="0.35"/>
    <row r="263" ht="7.5" customHeight="1" x14ac:dyDescent="0.35"/>
    <row r="264" ht="7.5" customHeight="1" x14ac:dyDescent="0.35"/>
    <row r="265" ht="7.5" customHeight="1" x14ac:dyDescent="0.35"/>
    <row r="266" ht="7.5" customHeight="1" x14ac:dyDescent="0.35"/>
    <row r="267" ht="7.5" customHeight="1" x14ac:dyDescent="0.35"/>
    <row r="268" ht="7.5" customHeight="1" x14ac:dyDescent="0.35"/>
    <row r="269" ht="7.5" customHeight="1" x14ac:dyDescent="0.35"/>
    <row r="270" ht="7.5" customHeight="1" x14ac:dyDescent="0.35"/>
    <row r="271" ht="7.5" customHeight="1" x14ac:dyDescent="0.35"/>
    <row r="272" ht="7.5" customHeight="1" x14ac:dyDescent="0.35"/>
    <row r="273" ht="7.5" customHeight="1" x14ac:dyDescent="0.35"/>
    <row r="274" ht="7.5" customHeight="1" x14ac:dyDescent="0.35"/>
    <row r="275" ht="7.5" customHeight="1" x14ac:dyDescent="0.35"/>
    <row r="276" ht="7.5" customHeight="1" x14ac:dyDescent="0.35"/>
    <row r="277" ht="7.5" customHeight="1" x14ac:dyDescent="0.35"/>
    <row r="278" ht="7.5" customHeight="1" x14ac:dyDescent="0.35"/>
    <row r="279" ht="7.5" customHeight="1" x14ac:dyDescent="0.35"/>
    <row r="280" ht="7.5" customHeight="1" x14ac:dyDescent="0.35"/>
    <row r="281" ht="7.5" customHeight="1" x14ac:dyDescent="0.35"/>
    <row r="282" ht="7.5" customHeight="1" x14ac:dyDescent="0.35"/>
    <row r="283" ht="7.5" customHeight="1" x14ac:dyDescent="0.35"/>
    <row r="284" ht="7.5" customHeight="1" x14ac:dyDescent="0.35"/>
    <row r="285" ht="7.5" customHeight="1" x14ac:dyDescent="0.35"/>
    <row r="286" ht="7.5" customHeight="1" x14ac:dyDescent="0.35"/>
    <row r="287" ht="7.5" customHeight="1" x14ac:dyDescent="0.35"/>
    <row r="288" ht="7.5" customHeight="1" x14ac:dyDescent="0.35"/>
    <row r="289" ht="7.5" customHeight="1" x14ac:dyDescent="0.35"/>
    <row r="290" ht="7.5" customHeight="1" x14ac:dyDescent="0.35"/>
    <row r="291" ht="7.5" customHeight="1" x14ac:dyDescent="0.35"/>
    <row r="292" ht="7.5" customHeight="1" x14ac:dyDescent="0.35"/>
    <row r="293" ht="7.5" customHeight="1" x14ac:dyDescent="0.35"/>
    <row r="294" ht="7.5" customHeight="1" x14ac:dyDescent="0.35"/>
    <row r="295" ht="7.5" customHeight="1" x14ac:dyDescent="0.35"/>
    <row r="296" ht="7.5" customHeight="1" x14ac:dyDescent="0.35"/>
    <row r="297" ht="7.5" customHeight="1" x14ac:dyDescent="0.35"/>
    <row r="298" ht="7.5" customHeight="1" x14ac:dyDescent="0.35"/>
    <row r="299" ht="7.5" customHeight="1" x14ac:dyDescent="0.35"/>
    <row r="300" ht="7.5" customHeight="1" x14ac:dyDescent="0.35"/>
    <row r="301" ht="7.5" customHeight="1" x14ac:dyDescent="0.35"/>
    <row r="302" ht="7.5" customHeight="1" x14ac:dyDescent="0.35"/>
    <row r="303" ht="7.5" customHeight="1" x14ac:dyDescent="0.35"/>
    <row r="304" ht="7.5" customHeight="1" x14ac:dyDescent="0.35"/>
    <row r="305" ht="7.5" customHeight="1" x14ac:dyDescent="0.35"/>
    <row r="306" ht="7.5" customHeight="1" x14ac:dyDescent="0.35"/>
    <row r="307" ht="7.5" customHeight="1" x14ac:dyDescent="0.35"/>
    <row r="308" ht="7.5" customHeight="1" x14ac:dyDescent="0.35"/>
    <row r="309" ht="7.5" customHeight="1" x14ac:dyDescent="0.35"/>
    <row r="310" ht="7.5" customHeight="1" x14ac:dyDescent="0.35"/>
    <row r="311" ht="7.5" customHeight="1" x14ac:dyDescent="0.35"/>
    <row r="312" ht="7.5" customHeight="1" x14ac:dyDescent="0.35"/>
    <row r="313" ht="7.5" customHeight="1" x14ac:dyDescent="0.35"/>
    <row r="314" ht="7.5" customHeight="1" x14ac:dyDescent="0.35"/>
    <row r="315" ht="7.5" customHeight="1" x14ac:dyDescent="0.35"/>
    <row r="316" ht="7.5" customHeight="1" x14ac:dyDescent="0.35"/>
    <row r="317" ht="7.5" customHeight="1" x14ac:dyDescent="0.35"/>
    <row r="318" ht="7.5" customHeight="1" x14ac:dyDescent="0.35"/>
    <row r="319" ht="7.5" customHeight="1" x14ac:dyDescent="0.35"/>
    <row r="320" ht="7.5" customHeight="1" x14ac:dyDescent="0.35"/>
    <row r="321" spans="33:34" ht="7.5" customHeight="1" x14ac:dyDescent="0.35"/>
    <row r="322" spans="33:34" ht="7.5" customHeight="1" x14ac:dyDescent="0.35"/>
    <row r="323" spans="33:34" ht="7.5" customHeight="1" x14ac:dyDescent="0.35"/>
    <row r="324" spans="33:34" ht="7.5" customHeight="1" x14ac:dyDescent="0.35"/>
    <row r="325" spans="33:34" ht="7.5" customHeight="1" x14ac:dyDescent="0.35">
      <c r="AG325" s="139"/>
      <c r="AH325" s="138"/>
    </row>
  </sheetData>
  <mergeCells count="2">
    <mergeCell ref="Q1:BF3"/>
    <mergeCell ref="BN6:CJ7"/>
  </mergeCells>
  <pageMargins left="0.7" right="0.7" top="0.75" bottom="0.75" header="0.3" footer="0.3"/>
  <customProperties>
    <customPr name="QAA_DRILLPATH_NODE_ID" r:id="rId1"/>
  </customPropertie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B1:DT325"/>
  <sheetViews>
    <sheetView workbookViewId="0">
      <selection activeCell="AW163" sqref="AW163"/>
    </sheetView>
  </sheetViews>
  <sheetFormatPr baseColWidth="10" defaultColWidth="8" defaultRowHeight="15.5" x14ac:dyDescent="0.35"/>
  <cols>
    <col min="1" max="1" width="3.08203125" customWidth="1"/>
    <col min="2" max="2" width="4.5" customWidth="1"/>
    <col min="3" max="3" width="5.08203125" customWidth="1"/>
    <col min="4" max="4" width="8" customWidth="1"/>
    <col min="5" max="102" width="1.5" customWidth="1"/>
    <col min="103" max="109" width="0" hidden="1" customWidth="1"/>
    <col min="110" max="111" width="8" hidden="1" customWidth="1"/>
    <col min="112" max="134" width="1.58203125" customWidth="1"/>
    <col min="135" max="135" width="2.08203125" customWidth="1"/>
    <col min="136" max="136" width="1.58203125" customWidth="1"/>
    <col min="137" max="138" width="2.08203125" customWidth="1"/>
    <col min="139" max="139" width="2.58203125" customWidth="1"/>
    <col min="140" max="140" width="2.08203125" customWidth="1"/>
    <col min="141" max="141" width="1.58203125" customWidth="1"/>
    <col min="142" max="142" width="2" customWidth="1"/>
    <col min="143" max="144" width="1.58203125" customWidth="1"/>
    <col min="145" max="145" width="2" customWidth="1"/>
    <col min="146" max="146" width="2.08203125" customWidth="1"/>
    <col min="147" max="147" width="1.58203125" customWidth="1"/>
    <col min="148" max="148" width="1.5" customWidth="1"/>
    <col min="149" max="154" width="1.58203125" customWidth="1"/>
    <col min="155" max="155" width="1.5" customWidth="1"/>
    <col min="156" max="156" width="1.08203125" customWidth="1"/>
    <col min="157" max="157" width="1.5" customWidth="1"/>
    <col min="158" max="158" width="1.58203125" customWidth="1"/>
  </cols>
  <sheetData>
    <row r="1" spans="11:92" ht="9" customHeight="1" x14ac:dyDescent="0.35">
      <c r="M1" s="135"/>
      <c r="N1" s="135"/>
      <c r="O1" s="135"/>
      <c r="P1" s="135"/>
      <c r="Q1" s="135"/>
      <c r="R1" s="135"/>
      <c r="S1" s="135"/>
      <c r="T1" s="135"/>
      <c r="U1" s="887" t="s">
        <v>2070</v>
      </c>
      <c r="V1" s="887"/>
      <c r="W1" s="887"/>
      <c r="X1" s="887"/>
      <c r="Y1" s="887"/>
      <c r="Z1" s="887"/>
      <c r="AA1" s="887"/>
      <c r="AB1" s="887"/>
      <c r="AC1" s="887"/>
      <c r="AD1" s="887"/>
      <c r="AE1" s="887"/>
      <c r="AF1" s="887"/>
      <c r="AG1" s="887"/>
      <c r="AH1" s="887"/>
      <c r="AI1" s="887"/>
      <c r="AJ1" s="887"/>
      <c r="AK1" s="887"/>
      <c r="AL1" s="887"/>
      <c r="AM1" s="887"/>
      <c r="AN1" s="887"/>
      <c r="AO1" s="887"/>
      <c r="AP1" s="887"/>
      <c r="AQ1" s="887"/>
      <c r="AR1" s="887"/>
      <c r="AS1" s="887"/>
      <c r="AT1" s="887"/>
      <c r="AU1" s="887"/>
      <c r="AV1" s="887"/>
      <c r="AW1" s="887"/>
      <c r="AX1" s="887"/>
      <c r="AY1" s="887"/>
      <c r="AZ1" s="887"/>
      <c r="BA1" s="887"/>
      <c r="BB1" s="887"/>
      <c r="BC1" s="887"/>
      <c r="BD1" s="887"/>
      <c r="BE1" s="887"/>
      <c r="BF1" s="887"/>
      <c r="BG1" s="887"/>
      <c r="BH1" s="887"/>
      <c r="BI1" s="887"/>
      <c r="BJ1" s="887"/>
    </row>
    <row r="2" spans="11:92" ht="9" customHeight="1" x14ac:dyDescent="0.35">
      <c r="M2" s="135"/>
      <c r="N2" s="135"/>
      <c r="O2" s="135"/>
      <c r="P2" s="135"/>
      <c r="Q2" s="135"/>
      <c r="R2" s="135"/>
      <c r="S2" s="135"/>
      <c r="T2" s="135"/>
      <c r="U2" s="887"/>
      <c r="V2" s="887"/>
      <c r="W2" s="887"/>
      <c r="X2" s="887"/>
      <c r="Y2" s="887"/>
      <c r="Z2" s="887"/>
      <c r="AA2" s="887"/>
      <c r="AB2" s="887"/>
      <c r="AC2" s="887"/>
      <c r="AD2" s="887"/>
      <c r="AE2" s="887"/>
      <c r="AF2" s="887"/>
      <c r="AG2" s="887"/>
      <c r="AH2" s="887"/>
      <c r="AI2" s="887"/>
      <c r="AJ2" s="887"/>
      <c r="AK2" s="887"/>
      <c r="AL2" s="887"/>
      <c r="AM2" s="887"/>
      <c r="AN2" s="887"/>
      <c r="AO2" s="887"/>
      <c r="AP2" s="887"/>
      <c r="AQ2" s="887"/>
      <c r="AR2" s="887"/>
      <c r="AS2" s="887"/>
      <c r="AT2" s="887"/>
      <c r="AU2" s="887"/>
      <c r="AV2" s="887"/>
      <c r="AW2" s="887"/>
      <c r="AX2" s="887"/>
      <c r="AY2" s="887"/>
      <c r="AZ2" s="887"/>
      <c r="BA2" s="887"/>
      <c r="BB2" s="887"/>
      <c r="BC2" s="887"/>
      <c r="BD2" s="887"/>
      <c r="BE2" s="887"/>
      <c r="BF2" s="887"/>
      <c r="BG2" s="887"/>
      <c r="BH2" s="887"/>
      <c r="BI2" s="887"/>
      <c r="BJ2" s="887"/>
    </row>
    <row r="3" spans="11:92" ht="9" customHeight="1" x14ac:dyDescent="0.35">
      <c r="M3" s="135"/>
      <c r="N3" s="135"/>
      <c r="O3" s="135"/>
      <c r="P3" s="135"/>
      <c r="Q3" s="135"/>
      <c r="R3" s="135"/>
      <c r="S3" s="135"/>
      <c r="U3" s="887"/>
      <c r="V3" s="887"/>
      <c r="W3" s="887"/>
      <c r="X3" s="887"/>
      <c r="Y3" s="887"/>
      <c r="Z3" s="887"/>
      <c r="AA3" s="887"/>
      <c r="AB3" s="887"/>
      <c r="AC3" s="887"/>
      <c r="AD3" s="887"/>
      <c r="AE3" s="887"/>
      <c r="AF3" s="887"/>
      <c r="AG3" s="887"/>
      <c r="AH3" s="887"/>
      <c r="AI3" s="887"/>
      <c r="AJ3" s="887"/>
      <c r="AK3" s="887"/>
      <c r="AL3" s="887"/>
      <c r="AM3" s="887"/>
      <c r="AN3" s="887"/>
      <c r="AO3" s="887"/>
      <c r="AP3" s="887"/>
      <c r="AQ3" s="887"/>
      <c r="AR3" s="887"/>
      <c r="AS3" s="887"/>
      <c r="AT3" s="887"/>
      <c r="AU3" s="887"/>
      <c r="AV3" s="887"/>
      <c r="AW3" s="887"/>
      <c r="AX3" s="887"/>
      <c r="AY3" s="887"/>
      <c r="AZ3" s="887"/>
      <c r="BA3" s="887"/>
      <c r="BB3" s="887"/>
      <c r="BC3" s="887"/>
      <c r="BD3" s="887"/>
      <c r="BE3" s="887"/>
      <c r="BF3" s="887"/>
      <c r="BG3" s="887"/>
      <c r="BH3" s="887"/>
      <c r="BI3" s="887"/>
      <c r="BJ3" s="887"/>
      <c r="BK3" s="136"/>
      <c r="BL3" s="136"/>
      <c r="BM3" s="890" t="s">
        <v>2071</v>
      </c>
      <c r="BN3" s="890"/>
      <c r="BO3" s="890"/>
      <c r="BP3" s="890"/>
      <c r="BQ3" s="890"/>
      <c r="BR3" s="890"/>
      <c r="BS3" s="890"/>
      <c r="BT3" s="890"/>
      <c r="BU3" s="890"/>
      <c r="BV3" s="890"/>
      <c r="BW3" s="890"/>
      <c r="BX3" s="890"/>
      <c r="BY3" s="890"/>
      <c r="BZ3" s="890"/>
      <c r="CA3" s="890"/>
      <c r="CB3" s="890"/>
      <c r="CC3" s="890"/>
      <c r="CD3" s="890"/>
      <c r="CE3" s="890"/>
      <c r="CF3" s="890"/>
      <c r="CG3" s="890"/>
      <c r="CH3" s="890"/>
      <c r="CI3" s="890"/>
      <c r="CJ3" s="890"/>
      <c r="CK3" s="890"/>
      <c r="CL3" s="145"/>
      <c r="CM3" s="145"/>
      <c r="CN3" s="145"/>
    </row>
    <row r="4" spans="11:92" ht="9" customHeight="1" x14ac:dyDescent="0.35">
      <c r="M4" s="135"/>
      <c r="N4" s="135"/>
      <c r="O4" s="135"/>
      <c r="P4" s="135"/>
      <c r="Q4" s="135"/>
      <c r="R4" s="135"/>
      <c r="S4" s="135"/>
      <c r="U4" s="887"/>
      <c r="V4" s="887"/>
      <c r="W4" s="887"/>
      <c r="X4" s="887"/>
      <c r="Y4" s="887"/>
      <c r="Z4" s="887"/>
      <c r="AA4" s="887"/>
      <c r="AB4" s="887"/>
      <c r="AC4" s="887"/>
      <c r="AD4" s="887"/>
      <c r="AE4" s="887"/>
      <c r="AF4" s="887"/>
      <c r="AG4" s="887"/>
      <c r="AH4" s="887"/>
      <c r="AI4" s="887"/>
      <c r="AJ4" s="887"/>
      <c r="AK4" s="887"/>
      <c r="AL4" s="887"/>
      <c r="AM4" s="887"/>
      <c r="AN4" s="887"/>
      <c r="AO4" s="887"/>
      <c r="AP4" s="887"/>
      <c r="AQ4" s="887"/>
      <c r="AR4" s="887"/>
      <c r="AS4" s="887"/>
      <c r="AT4" s="887"/>
      <c r="AU4" s="887"/>
      <c r="AV4" s="887"/>
      <c r="AW4" s="887"/>
      <c r="AX4" s="887"/>
      <c r="AY4" s="887"/>
      <c r="AZ4" s="887"/>
      <c r="BA4" s="887"/>
      <c r="BB4" s="887"/>
      <c r="BC4" s="887"/>
      <c r="BD4" s="887"/>
      <c r="BE4" s="887"/>
      <c r="BF4" s="887"/>
      <c r="BG4" s="887"/>
      <c r="BH4" s="887"/>
      <c r="BI4" s="887"/>
      <c r="BJ4" s="887"/>
      <c r="BK4" s="130"/>
      <c r="BL4" s="130"/>
      <c r="BM4" s="890"/>
      <c r="BN4" s="890"/>
      <c r="BO4" s="890"/>
      <c r="BP4" s="890"/>
      <c r="BQ4" s="890"/>
      <c r="BR4" s="890"/>
      <c r="BS4" s="890"/>
      <c r="BT4" s="890"/>
      <c r="BU4" s="890"/>
      <c r="BV4" s="890"/>
      <c r="BW4" s="890"/>
      <c r="BX4" s="890"/>
      <c r="BY4" s="890"/>
      <c r="BZ4" s="890"/>
      <c r="CA4" s="890"/>
      <c r="CB4" s="890"/>
      <c r="CC4" s="890"/>
      <c r="CD4" s="890"/>
      <c r="CE4" s="890"/>
      <c r="CF4" s="890"/>
      <c r="CG4" s="890"/>
      <c r="CH4" s="890"/>
      <c r="CI4" s="890"/>
      <c r="CJ4" s="890"/>
      <c r="CK4" s="890"/>
      <c r="CL4" s="145"/>
      <c r="CM4" s="145"/>
      <c r="CN4" s="145"/>
    </row>
    <row r="5" spans="11:92" ht="9" customHeight="1" x14ac:dyDescent="0.35">
      <c r="BM5" s="890"/>
      <c r="BN5" s="890"/>
      <c r="BO5" s="890"/>
      <c r="BP5" s="890"/>
      <c r="BQ5" s="890"/>
      <c r="BR5" s="890"/>
      <c r="BS5" s="890"/>
      <c r="BT5" s="890"/>
      <c r="BU5" s="890"/>
      <c r="BV5" s="890"/>
      <c r="BW5" s="890"/>
      <c r="BX5" s="890"/>
      <c r="BY5" s="890"/>
      <c r="BZ5" s="890"/>
      <c r="CA5" s="890"/>
      <c r="CB5" s="890"/>
      <c r="CC5" s="890"/>
      <c r="CD5" s="890"/>
      <c r="CE5" s="890"/>
      <c r="CF5" s="890"/>
      <c r="CG5" s="890"/>
      <c r="CH5" s="890"/>
      <c r="CI5" s="890"/>
      <c r="CJ5" s="890"/>
      <c r="CK5" s="890"/>
      <c r="CL5" s="145"/>
      <c r="CM5" s="145"/>
      <c r="CN5" s="145"/>
    </row>
    <row r="6" spans="11:92" ht="9" customHeight="1" x14ac:dyDescent="0.35">
      <c r="BM6" s="145"/>
      <c r="BN6" s="145"/>
      <c r="BO6" s="145"/>
      <c r="BP6" s="145"/>
      <c r="BQ6" s="145"/>
      <c r="BR6" s="145"/>
      <c r="BS6" s="145"/>
      <c r="BT6" s="145"/>
      <c r="BU6" s="145"/>
      <c r="BV6" s="145"/>
      <c r="BW6" s="145"/>
      <c r="BX6" s="145"/>
      <c r="BY6" s="145"/>
      <c r="BZ6" s="145"/>
      <c r="CA6" s="145"/>
      <c r="CB6" s="145"/>
      <c r="CC6" s="145"/>
      <c r="CD6" s="145"/>
      <c r="CE6" s="145"/>
      <c r="CF6" s="145"/>
      <c r="CG6" s="145"/>
      <c r="CH6" s="145"/>
      <c r="CI6" s="145"/>
      <c r="CJ6" s="145"/>
      <c r="CK6" s="145"/>
      <c r="CL6" s="145"/>
      <c r="CM6" s="145"/>
      <c r="CN6" s="145"/>
    </row>
    <row r="7" spans="11:92" ht="9" customHeight="1" x14ac:dyDescent="0.35">
      <c r="AO7" s="138"/>
      <c r="BM7" s="145"/>
      <c r="BN7" s="145"/>
      <c r="BO7" s="145"/>
      <c r="BP7" s="145"/>
      <c r="BQ7" s="145"/>
      <c r="BR7" s="145"/>
      <c r="BS7" s="145"/>
      <c r="BT7" s="145"/>
      <c r="BU7" s="145"/>
      <c r="BV7" s="145"/>
      <c r="BW7" s="145"/>
      <c r="BX7" s="145"/>
      <c r="BY7" s="145"/>
      <c r="BZ7" s="145"/>
      <c r="CA7" s="145"/>
      <c r="CB7" s="145"/>
      <c r="CC7" s="145"/>
      <c r="CD7" s="145"/>
      <c r="CE7" s="145"/>
      <c r="CF7" s="145"/>
      <c r="CG7" s="145"/>
      <c r="CH7" s="145"/>
      <c r="CI7" s="145"/>
      <c r="CJ7" s="145"/>
      <c r="CK7" s="145"/>
      <c r="CL7" s="145"/>
      <c r="CM7" s="145"/>
      <c r="CN7" s="145"/>
    </row>
    <row r="8" spans="11:92" ht="9" customHeight="1" x14ac:dyDescent="0.35">
      <c r="K8" s="138"/>
      <c r="R8" s="138"/>
      <c r="AJ8" s="138"/>
    </row>
    <row r="9" spans="11:92" ht="9" customHeight="1" x14ac:dyDescent="0.35">
      <c r="K9" s="138"/>
    </row>
    <row r="10" spans="11:92" ht="9" customHeight="1" x14ac:dyDescent="0.35"/>
    <row r="11" spans="11:92" ht="9" customHeight="1" x14ac:dyDescent="0.35"/>
    <row r="12" spans="11:92" ht="9" customHeight="1" x14ac:dyDescent="0.35">
      <c r="AA12" s="139"/>
    </row>
    <row r="13" spans="11:92" ht="9" customHeight="1" x14ac:dyDescent="0.35"/>
    <row r="14" spans="11:92" ht="9" customHeight="1" x14ac:dyDescent="0.35"/>
    <row r="15" spans="11:92" ht="9" customHeight="1" x14ac:dyDescent="0.35"/>
    <row r="16" spans="11:92" ht="9" customHeight="1" x14ac:dyDescent="0.35">
      <c r="BC16" s="138"/>
    </row>
    <row r="17" spans="2:112" ht="9" customHeight="1" x14ac:dyDescent="0.35"/>
    <row r="18" spans="2:112" ht="9" customHeight="1" x14ac:dyDescent="0.35">
      <c r="AK18" s="138"/>
      <c r="BD18" s="138"/>
      <c r="BF18" s="138"/>
      <c r="BH18" s="138"/>
      <c r="DH18" s="140"/>
    </row>
    <row r="19" spans="2:112" ht="9" customHeight="1" x14ac:dyDescent="0.35"/>
    <row r="20" spans="2:112" ht="9" customHeight="1" x14ac:dyDescent="0.35"/>
    <row r="21" spans="2:112" ht="9" customHeight="1" x14ac:dyDescent="0.35"/>
    <row r="22" spans="2:112" ht="9" customHeight="1" x14ac:dyDescent="0.35">
      <c r="J22" s="138"/>
      <c r="AF22" s="138"/>
      <c r="AO22" s="138"/>
    </row>
    <row r="23" spans="2:112" ht="9" customHeight="1" x14ac:dyDescent="0.35"/>
    <row r="24" spans="2:112" ht="9" customHeight="1" x14ac:dyDescent="0.35">
      <c r="BI24" s="138"/>
    </row>
    <row r="25" spans="2:112" ht="9" customHeight="1" x14ac:dyDescent="0.35">
      <c r="B25" s="146"/>
    </row>
    <row r="26" spans="2:112" ht="9" customHeight="1" x14ac:dyDescent="0.35">
      <c r="G26" s="138"/>
      <c r="AW26" s="138"/>
    </row>
    <row r="27" spans="2:112" ht="9" customHeight="1" x14ac:dyDescent="0.35"/>
    <row r="28" spans="2:112" ht="9" customHeight="1" x14ac:dyDescent="0.35">
      <c r="P28" s="138"/>
      <c r="AO28" s="138"/>
      <c r="AV28" s="138"/>
      <c r="BD28" s="138"/>
    </row>
    <row r="29" spans="2:112" ht="9" customHeight="1" x14ac:dyDescent="0.35">
      <c r="AU29" s="139"/>
    </row>
    <row r="30" spans="2:112" ht="9" customHeight="1" x14ac:dyDescent="0.35"/>
    <row r="31" spans="2:112" ht="9" customHeight="1" x14ac:dyDescent="0.35">
      <c r="AN31" s="138"/>
    </row>
    <row r="32" spans="2:112" ht="9" customHeight="1" x14ac:dyDescent="0.35"/>
    <row r="33" spans="2:48" ht="9" customHeight="1" x14ac:dyDescent="0.35">
      <c r="J33" s="138"/>
      <c r="P33" s="138"/>
    </row>
    <row r="34" spans="2:48" ht="9" customHeight="1" x14ac:dyDescent="0.35">
      <c r="AF34" s="138"/>
      <c r="AM34" s="138"/>
      <c r="AO34" s="141"/>
    </row>
    <row r="35" spans="2:48" ht="9" customHeight="1" x14ac:dyDescent="0.35"/>
    <row r="36" spans="2:48" ht="9" customHeight="1" x14ac:dyDescent="0.35"/>
    <row r="37" spans="2:48" ht="9" customHeight="1" x14ac:dyDescent="0.35">
      <c r="AO37" s="138"/>
    </row>
    <row r="38" spans="2:48" ht="9" customHeight="1" x14ac:dyDescent="0.35">
      <c r="B38" s="146"/>
    </row>
    <row r="39" spans="2:48" ht="9" customHeight="1" x14ac:dyDescent="0.35"/>
    <row r="40" spans="2:48" ht="9" customHeight="1" x14ac:dyDescent="0.35"/>
    <row r="41" spans="2:48" ht="9" customHeight="1" x14ac:dyDescent="0.35">
      <c r="K41" s="138"/>
      <c r="N41" s="138"/>
      <c r="AP41" s="138"/>
    </row>
    <row r="42" spans="2:48" ht="9" customHeight="1" x14ac:dyDescent="0.35"/>
    <row r="43" spans="2:48" ht="9" customHeight="1" x14ac:dyDescent="0.35">
      <c r="AR43" s="138"/>
    </row>
    <row r="44" spans="2:48" ht="9" customHeight="1" x14ac:dyDescent="0.35"/>
    <row r="45" spans="2:48" ht="9" customHeight="1" x14ac:dyDescent="0.35"/>
    <row r="46" spans="2:48" ht="9" customHeight="1" x14ac:dyDescent="0.35">
      <c r="AV46" s="138"/>
    </row>
    <row r="47" spans="2:48" ht="9" customHeight="1" x14ac:dyDescent="0.35"/>
    <row r="48" spans="2:48" ht="9" customHeight="1" x14ac:dyDescent="0.35"/>
    <row r="49" spans="24:56" ht="9" customHeight="1" x14ac:dyDescent="0.35">
      <c r="AR49" s="138"/>
    </row>
    <row r="50" spans="24:56" ht="9" customHeight="1" x14ac:dyDescent="0.35"/>
    <row r="51" spans="24:56" ht="9" customHeight="1" x14ac:dyDescent="0.35">
      <c r="AQ51" s="139"/>
      <c r="AY51" s="138"/>
    </row>
    <row r="52" spans="24:56" ht="9" customHeight="1" x14ac:dyDescent="0.35"/>
    <row r="53" spans="24:56" ht="9" customHeight="1" x14ac:dyDescent="0.35">
      <c r="X53" s="138"/>
      <c r="AZ53" s="138"/>
    </row>
    <row r="54" spans="24:56" ht="9" customHeight="1" x14ac:dyDescent="0.35"/>
    <row r="55" spans="24:56" ht="9" customHeight="1" x14ac:dyDescent="0.35">
      <c r="BD55" s="138"/>
    </row>
    <row r="56" spans="24:56" ht="9" customHeight="1" x14ac:dyDescent="0.35"/>
    <row r="57" spans="24:56" ht="9" customHeight="1" x14ac:dyDescent="0.35"/>
    <row r="58" spans="24:56" ht="9" customHeight="1" x14ac:dyDescent="0.35"/>
    <row r="59" spans="24:56" ht="9" customHeight="1" x14ac:dyDescent="0.35"/>
    <row r="60" spans="24:56" ht="9" customHeight="1" x14ac:dyDescent="0.35"/>
    <row r="61" spans="24:56" ht="9" customHeight="1" x14ac:dyDescent="0.35"/>
    <row r="62" spans="24:56" ht="9" customHeight="1" x14ac:dyDescent="0.35"/>
    <row r="63" spans="24:56" ht="9" customHeight="1" x14ac:dyDescent="0.35"/>
    <row r="64" spans="24:56" ht="9" customHeight="1" x14ac:dyDescent="0.35"/>
    <row r="65" spans="60:101" ht="9" customHeight="1" x14ac:dyDescent="0.35">
      <c r="BH65" s="129"/>
      <c r="BI65" s="129"/>
      <c r="BJ65" s="129"/>
      <c r="BK65" s="129"/>
      <c r="BL65" s="129"/>
      <c r="BM65" s="129"/>
      <c r="BN65" s="129"/>
      <c r="BO65" s="129"/>
      <c r="BP65" s="129"/>
      <c r="BQ65" s="129"/>
      <c r="BR65" s="129"/>
      <c r="BS65" s="129"/>
      <c r="BT65" s="129"/>
      <c r="BU65" s="129"/>
      <c r="BV65" s="129"/>
      <c r="BW65" s="129"/>
      <c r="BX65" s="129"/>
      <c r="BY65" s="129"/>
      <c r="BZ65" s="129"/>
      <c r="CA65" s="129"/>
      <c r="CB65" s="129"/>
      <c r="CC65" s="129"/>
      <c r="CD65" s="129"/>
      <c r="CE65" s="129"/>
      <c r="CF65" s="129"/>
      <c r="CG65" s="129"/>
      <c r="CH65" s="129"/>
      <c r="CI65" s="129"/>
      <c r="CJ65" s="129"/>
      <c r="CK65" s="129"/>
      <c r="CL65" s="129"/>
      <c r="CM65" s="129"/>
      <c r="CN65" s="129"/>
      <c r="CO65" s="129"/>
      <c r="CP65" s="129"/>
      <c r="CQ65" s="129"/>
      <c r="CR65" s="129"/>
      <c r="CS65" s="129"/>
      <c r="CT65" s="129"/>
      <c r="CU65" s="129"/>
      <c r="CV65" s="129"/>
      <c r="CW65" s="129"/>
    </row>
    <row r="66" spans="60:101" ht="9" customHeight="1" x14ac:dyDescent="0.35">
      <c r="BH66" s="129"/>
      <c r="BI66" s="129"/>
      <c r="BJ66" s="129"/>
      <c r="BK66" s="129"/>
      <c r="BL66" s="129"/>
      <c r="BM66" s="129"/>
      <c r="BN66" s="129"/>
      <c r="BO66" s="129"/>
      <c r="BP66" s="129"/>
      <c r="BQ66" s="129"/>
      <c r="BR66" s="129"/>
      <c r="BS66" s="129"/>
      <c r="BT66" s="129"/>
      <c r="BU66" s="129"/>
      <c r="BV66" s="129"/>
      <c r="BW66" s="129"/>
      <c r="BX66" s="129"/>
      <c r="BY66" s="129"/>
      <c r="BZ66" s="129"/>
      <c r="CA66" s="129"/>
      <c r="CB66" s="129"/>
      <c r="CC66" s="129"/>
      <c r="CD66" s="129"/>
      <c r="CE66" s="129"/>
      <c r="CF66" s="129"/>
      <c r="CG66" s="129"/>
      <c r="CH66" s="129"/>
      <c r="CI66" s="129"/>
      <c r="CJ66" s="129"/>
      <c r="CK66" s="129"/>
      <c r="CL66" s="129"/>
      <c r="CM66" s="129"/>
      <c r="CN66" s="129"/>
      <c r="CO66" s="129"/>
      <c r="CP66" s="129"/>
      <c r="CQ66" s="129"/>
      <c r="CR66" s="129"/>
      <c r="CS66" s="129"/>
      <c r="CT66" s="129"/>
      <c r="CU66" s="129"/>
      <c r="CV66" s="129"/>
      <c r="CW66" s="129"/>
    </row>
    <row r="67" spans="60:101" ht="9" customHeight="1" x14ac:dyDescent="0.35">
      <c r="BH67" s="129"/>
      <c r="BI67" s="129"/>
      <c r="BJ67" s="129"/>
      <c r="BK67" s="129"/>
      <c r="BL67" s="129"/>
      <c r="BM67" s="129"/>
      <c r="BN67" s="129"/>
      <c r="BO67" s="129"/>
      <c r="BP67" s="129"/>
      <c r="BQ67" s="129"/>
      <c r="BR67" s="129"/>
      <c r="BS67" s="129"/>
      <c r="BT67" s="129"/>
      <c r="BU67" s="129"/>
      <c r="BV67" s="129"/>
      <c r="BW67" s="129"/>
      <c r="BX67" s="129"/>
      <c r="BY67" s="129"/>
      <c r="BZ67" s="129"/>
      <c r="CA67" s="129"/>
      <c r="CB67" s="129"/>
      <c r="CC67" s="129"/>
      <c r="CD67" s="129"/>
      <c r="CE67" s="129"/>
      <c r="CF67" s="129"/>
      <c r="CG67" s="129"/>
      <c r="CH67" s="129"/>
      <c r="CI67" s="129"/>
      <c r="CJ67" s="129"/>
      <c r="CK67" s="129"/>
      <c r="CL67" s="129"/>
      <c r="CM67" s="129"/>
      <c r="CN67" s="129"/>
      <c r="CO67" s="129"/>
      <c r="CP67" s="129"/>
      <c r="CQ67" s="129"/>
      <c r="CR67" s="129"/>
      <c r="CS67" s="129"/>
      <c r="CT67" s="129"/>
      <c r="CU67" s="129"/>
      <c r="CV67" s="129"/>
      <c r="CW67" s="129"/>
    </row>
    <row r="68" spans="60:101" ht="9" customHeight="1" x14ac:dyDescent="0.35"/>
    <row r="69" spans="60:101" ht="9" customHeight="1" x14ac:dyDescent="0.35"/>
    <row r="70" spans="60:101" ht="9" customHeight="1" x14ac:dyDescent="0.35"/>
    <row r="71" spans="60:101" ht="9" customHeight="1" x14ac:dyDescent="0.35"/>
    <row r="72" spans="60:101" ht="9" customHeight="1" x14ac:dyDescent="0.35"/>
    <row r="73" spans="60:101" ht="9" customHeight="1" x14ac:dyDescent="0.35"/>
    <row r="74" spans="60:101" ht="9" customHeight="1" x14ac:dyDescent="0.35"/>
    <row r="75" spans="60:101" ht="9" customHeight="1" x14ac:dyDescent="0.35"/>
    <row r="76" spans="60:101" ht="9" customHeight="1" x14ac:dyDescent="0.35"/>
    <row r="77" spans="60:101" ht="9" customHeight="1" x14ac:dyDescent="0.35"/>
    <row r="78" spans="60:101" ht="9" customHeight="1" x14ac:dyDescent="0.35"/>
    <row r="79" spans="60:101" ht="9" customHeight="1" x14ac:dyDescent="0.35"/>
    <row r="80" spans="60:101" ht="9" customHeight="1" x14ac:dyDescent="0.35"/>
    <row r="81" spans="33:124" ht="9" customHeight="1" x14ac:dyDescent="0.35"/>
    <row r="82" spans="33:124" ht="9" customHeight="1" x14ac:dyDescent="0.35"/>
    <row r="83" spans="33:124" ht="9" customHeight="1" x14ac:dyDescent="0.35"/>
    <row r="84" spans="33:124" ht="9" customHeight="1" x14ac:dyDescent="0.35"/>
    <row r="85" spans="33:124" ht="9" customHeight="1" x14ac:dyDescent="0.35"/>
    <row r="86" spans="33:124" ht="9" customHeight="1" x14ac:dyDescent="0.35"/>
    <row r="87" spans="33:124" ht="9" customHeight="1" x14ac:dyDescent="0.35"/>
    <row r="88" spans="33:124" ht="9" customHeight="1" x14ac:dyDescent="0.35"/>
    <row r="89" spans="33:124" ht="9" customHeight="1" x14ac:dyDescent="0.35"/>
    <row r="90" spans="33:124" ht="9" customHeight="1" x14ac:dyDescent="0.35"/>
    <row r="91" spans="33:124" ht="9" customHeight="1" x14ac:dyDescent="0.35">
      <c r="DT91" s="140"/>
    </row>
    <row r="92" spans="33:124" ht="9" customHeight="1" x14ac:dyDescent="0.35"/>
    <row r="93" spans="33:124" ht="9" customHeight="1" x14ac:dyDescent="0.35"/>
    <row r="94" spans="33:124" ht="9" customHeight="1" x14ac:dyDescent="0.35">
      <c r="AG94" s="142"/>
    </row>
    <row r="95" spans="33:124" ht="9" customHeight="1" x14ac:dyDescent="0.35"/>
    <row r="96" spans="33:124" ht="9" customHeight="1" x14ac:dyDescent="0.35"/>
    <row r="97" spans="47:47" ht="9" customHeight="1" x14ac:dyDescent="0.35"/>
    <row r="98" spans="47:47" ht="9" customHeight="1" x14ac:dyDescent="0.35"/>
    <row r="99" spans="47:47" ht="9" customHeight="1" x14ac:dyDescent="0.35"/>
    <row r="100" spans="47:47" ht="9" customHeight="1" x14ac:dyDescent="0.35">
      <c r="AU100" s="143"/>
    </row>
    <row r="101" spans="47:47" ht="9" customHeight="1" x14ac:dyDescent="0.35"/>
    <row r="102" spans="47:47" ht="9" customHeight="1" x14ac:dyDescent="0.35"/>
    <row r="103" spans="47:47" ht="9" customHeight="1" x14ac:dyDescent="0.35"/>
    <row r="104" spans="47:47" ht="9" customHeight="1" x14ac:dyDescent="0.35"/>
    <row r="105" spans="47:47" ht="9" customHeight="1" x14ac:dyDescent="0.35"/>
    <row r="106" spans="47:47" ht="9" customHeight="1" x14ac:dyDescent="0.35"/>
    <row r="107" spans="47:47" ht="9" customHeight="1" x14ac:dyDescent="0.35"/>
    <row r="108" spans="47:47" ht="9" customHeight="1" x14ac:dyDescent="0.35"/>
    <row r="109" spans="47:47" ht="9" customHeight="1" x14ac:dyDescent="0.35"/>
    <row r="110" spans="47:47" ht="9" customHeight="1" x14ac:dyDescent="0.35"/>
    <row r="111" spans="47:47" ht="9" customHeight="1" x14ac:dyDescent="0.35"/>
    <row r="112" spans="47:47" ht="9" customHeight="1" x14ac:dyDescent="0.35"/>
    <row r="113" ht="9" customHeight="1" x14ac:dyDescent="0.35"/>
    <row r="114" ht="9" customHeight="1" x14ac:dyDescent="0.35"/>
    <row r="115" ht="9" customHeight="1" x14ac:dyDescent="0.35"/>
    <row r="116" ht="9" customHeight="1" x14ac:dyDescent="0.35"/>
    <row r="117" ht="9" customHeight="1" x14ac:dyDescent="0.35"/>
    <row r="118" ht="9" customHeight="1" x14ac:dyDescent="0.35"/>
    <row r="119" ht="9" customHeight="1" x14ac:dyDescent="0.35"/>
    <row r="120" ht="9" customHeight="1" x14ac:dyDescent="0.35"/>
    <row r="121" ht="9" customHeight="1" x14ac:dyDescent="0.35"/>
    <row r="122" ht="9" customHeight="1" x14ac:dyDescent="0.35"/>
    <row r="123" ht="9" customHeight="1" x14ac:dyDescent="0.35"/>
    <row r="124" ht="9" customHeight="1" x14ac:dyDescent="0.35"/>
    <row r="125" ht="9" customHeight="1" x14ac:dyDescent="0.35"/>
    <row r="126" ht="9" customHeight="1" x14ac:dyDescent="0.35"/>
    <row r="127" ht="9" customHeight="1" x14ac:dyDescent="0.35"/>
    <row r="128" ht="9" customHeight="1" x14ac:dyDescent="0.35"/>
    <row r="129" ht="9" customHeight="1" x14ac:dyDescent="0.35"/>
    <row r="130" ht="9" customHeight="1" x14ac:dyDescent="0.35"/>
    <row r="131" ht="9" customHeight="1" x14ac:dyDescent="0.35"/>
    <row r="132" ht="9" customHeight="1" x14ac:dyDescent="0.35"/>
    <row r="133" ht="9" customHeight="1" x14ac:dyDescent="0.35"/>
    <row r="134" ht="9" customHeight="1" x14ac:dyDescent="0.35"/>
    <row r="135" ht="9" customHeight="1" x14ac:dyDescent="0.35"/>
    <row r="136" ht="9" customHeight="1" x14ac:dyDescent="0.35"/>
    <row r="137" ht="9" customHeight="1" x14ac:dyDescent="0.35"/>
    <row r="138" ht="9" customHeight="1" x14ac:dyDescent="0.35"/>
    <row r="139" ht="9" customHeight="1" x14ac:dyDescent="0.35"/>
    <row r="140" ht="9" customHeight="1" x14ac:dyDescent="0.35"/>
    <row r="141" ht="9" customHeight="1" x14ac:dyDescent="0.35"/>
    <row r="142" ht="9" customHeight="1" x14ac:dyDescent="0.35"/>
    <row r="143" ht="9" customHeight="1" x14ac:dyDescent="0.35"/>
    <row r="144" ht="9" customHeight="1" x14ac:dyDescent="0.35"/>
    <row r="145" ht="9" customHeight="1" x14ac:dyDescent="0.35"/>
    <row r="146" ht="9" customHeight="1" x14ac:dyDescent="0.35"/>
    <row r="147" ht="9" customHeight="1" x14ac:dyDescent="0.35"/>
    <row r="148" ht="9" customHeight="1" x14ac:dyDescent="0.35"/>
    <row r="149" ht="9" customHeight="1" x14ac:dyDescent="0.35"/>
    <row r="150" ht="9" customHeight="1" x14ac:dyDescent="0.35"/>
    <row r="151" ht="9" customHeight="1" x14ac:dyDescent="0.35"/>
    <row r="152" ht="9" customHeight="1" x14ac:dyDescent="0.35"/>
    <row r="153" ht="9" customHeight="1" x14ac:dyDescent="0.35"/>
    <row r="154" ht="9" customHeight="1" x14ac:dyDescent="0.35"/>
    <row r="155" ht="9" customHeight="1" x14ac:dyDescent="0.35"/>
    <row r="156" ht="9" customHeight="1" x14ac:dyDescent="0.35"/>
    <row r="157" ht="9" customHeight="1" x14ac:dyDescent="0.35"/>
    <row r="158" ht="9" customHeight="1" x14ac:dyDescent="0.35"/>
    <row r="159" ht="9" customHeight="1" x14ac:dyDescent="0.35"/>
    <row r="160" ht="9" customHeight="1" x14ac:dyDescent="0.35"/>
    <row r="161" spans="48:66" ht="9" customHeight="1" x14ac:dyDescent="0.35"/>
    <row r="162" spans="48:66" ht="9" customHeight="1" x14ac:dyDescent="0.35"/>
    <row r="163" spans="48:66" ht="9" customHeight="1" x14ac:dyDescent="0.35">
      <c r="AV163" s="132" t="s">
        <v>2069</v>
      </c>
    </row>
    <row r="164" spans="48:66" ht="9" customHeight="1" x14ac:dyDescent="0.35"/>
    <row r="165" spans="48:66" ht="9" customHeight="1" x14ac:dyDescent="0.35">
      <c r="AV165" s="144"/>
      <c r="AW165" s="144"/>
      <c r="AX165" s="144"/>
      <c r="AY165" s="144"/>
      <c r="AZ165" s="144"/>
      <c r="BA165" s="144"/>
      <c r="BB165" s="144"/>
      <c r="BC165" s="144"/>
      <c r="BD165" s="144"/>
      <c r="BE165" s="144"/>
      <c r="BF165" s="144"/>
      <c r="BG165" s="144"/>
      <c r="BH165" s="144"/>
      <c r="BI165" s="144"/>
      <c r="BJ165" s="144"/>
      <c r="BK165" s="144"/>
      <c r="BL165" s="144"/>
      <c r="BM165" s="144"/>
      <c r="BN165" s="144"/>
    </row>
    <row r="166" spans="48:66" ht="9" customHeight="1" x14ac:dyDescent="0.35"/>
    <row r="167" spans="48:66" ht="9" customHeight="1" x14ac:dyDescent="0.35"/>
    <row r="168" spans="48:66" ht="9" customHeight="1" x14ac:dyDescent="0.35"/>
    <row r="169" spans="48:66" ht="9" customHeight="1" x14ac:dyDescent="0.35"/>
    <row r="170" spans="48:66" ht="9" customHeight="1" x14ac:dyDescent="0.35"/>
    <row r="171" spans="48:66" ht="9" customHeight="1" x14ac:dyDescent="0.35"/>
    <row r="172" spans="48:66" ht="9" customHeight="1" x14ac:dyDescent="0.35"/>
    <row r="173" spans="48:66" ht="9" customHeight="1" x14ac:dyDescent="0.35"/>
    <row r="174" spans="48:66" ht="9" customHeight="1" x14ac:dyDescent="0.35"/>
    <row r="175" spans="48:66" ht="9" customHeight="1" x14ac:dyDescent="0.35"/>
    <row r="176" spans="48:66" ht="9" customHeight="1" x14ac:dyDescent="0.35"/>
    <row r="177" ht="9" customHeight="1" x14ac:dyDescent="0.35"/>
    <row r="178" ht="9" customHeight="1" x14ac:dyDescent="0.35"/>
    <row r="179" ht="9" customHeight="1" x14ac:dyDescent="0.35"/>
    <row r="180" ht="9" customHeight="1" x14ac:dyDescent="0.35"/>
    <row r="181" ht="9" customHeight="1" x14ac:dyDescent="0.35"/>
    <row r="182" ht="9" customHeight="1" x14ac:dyDescent="0.35"/>
    <row r="183" ht="9" customHeight="1" x14ac:dyDescent="0.35"/>
    <row r="184" ht="9" customHeight="1" x14ac:dyDescent="0.35"/>
    <row r="185" ht="9" customHeight="1" x14ac:dyDescent="0.35"/>
    <row r="186" ht="9" customHeight="1" x14ac:dyDescent="0.35"/>
    <row r="187" ht="9" customHeight="1" x14ac:dyDescent="0.35"/>
    <row r="188" ht="9" customHeight="1" x14ac:dyDescent="0.35"/>
    <row r="189" ht="9" customHeight="1" x14ac:dyDescent="0.35"/>
    <row r="190" ht="9" customHeight="1" x14ac:dyDescent="0.35"/>
    <row r="191" ht="9" customHeight="1" x14ac:dyDescent="0.35"/>
    <row r="192" ht="9" customHeight="1" x14ac:dyDescent="0.35"/>
    <row r="193" ht="9" customHeight="1" x14ac:dyDescent="0.35"/>
    <row r="194" ht="9" customHeight="1" x14ac:dyDescent="0.35"/>
    <row r="195" ht="9" customHeight="1" x14ac:dyDescent="0.35"/>
    <row r="196" ht="9" customHeight="1" x14ac:dyDescent="0.35"/>
    <row r="197" ht="9" customHeight="1" x14ac:dyDescent="0.35"/>
    <row r="198" ht="9" customHeight="1" x14ac:dyDescent="0.35"/>
    <row r="199" ht="9" customHeight="1" x14ac:dyDescent="0.35"/>
    <row r="200" ht="9" customHeight="1" x14ac:dyDescent="0.35"/>
    <row r="201" ht="9" customHeight="1" x14ac:dyDescent="0.35"/>
    <row r="202" ht="9" customHeight="1" x14ac:dyDescent="0.35"/>
    <row r="203" ht="9" customHeight="1" x14ac:dyDescent="0.35"/>
    <row r="204" ht="9" customHeight="1" x14ac:dyDescent="0.35"/>
    <row r="205" ht="9" customHeight="1" x14ac:dyDescent="0.35"/>
    <row r="206" ht="9" customHeight="1" x14ac:dyDescent="0.35"/>
    <row r="207" ht="9" customHeight="1" x14ac:dyDescent="0.35"/>
    <row r="208" ht="9" customHeight="1" x14ac:dyDescent="0.35"/>
    <row r="209" ht="9" customHeight="1" x14ac:dyDescent="0.35"/>
    <row r="210" ht="9" customHeight="1" x14ac:dyDescent="0.35"/>
    <row r="211" ht="9" customHeight="1" x14ac:dyDescent="0.35"/>
    <row r="212" ht="9" customHeight="1" x14ac:dyDescent="0.35"/>
    <row r="213" ht="9" customHeight="1" x14ac:dyDescent="0.35"/>
    <row r="214" ht="9" customHeight="1" x14ac:dyDescent="0.35"/>
    <row r="215" ht="9" customHeight="1" x14ac:dyDescent="0.35"/>
    <row r="216" ht="9" customHeight="1" x14ac:dyDescent="0.35"/>
    <row r="217" ht="9" customHeight="1" x14ac:dyDescent="0.35"/>
    <row r="218" ht="9" customHeight="1" x14ac:dyDescent="0.35"/>
    <row r="219" ht="9" customHeight="1" x14ac:dyDescent="0.35"/>
    <row r="220" ht="9" customHeight="1" x14ac:dyDescent="0.35"/>
    <row r="221" ht="9" customHeight="1" x14ac:dyDescent="0.35"/>
    <row r="222" ht="9" customHeight="1" x14ac:dyDescent="0.35"/>
    <row r="223" ht="9" customHeight="1" x14ac:dyDescent="0.35"/>
    <row r="224" ht="9" customHeight="1" x14ac:dyDescent="0.35"/>
    <row r="225" ht="9" customHeight="1" x14ac:dyDescent="0.35"/>
    <row r="226" ht="9" customHeight="1" x14ac:dyDescent="0.35"/>
    <row r="227" ht="9" customHeight="1" x14ac:dyDescent="0.35"/>
    <row r="228" ht="9" customHeight="1" x14ac:dyDescent="0.35"/>
    <row r="229" ht="9" customHeight="1" x14ac:dyDescent="0.35"/>
    <row r="230" ht="9" customHeight="1" x14ac:dyDescent="0.35"/>
    <row r="231" ht="9" customHeight="1" x14ac:dyDescent="0.35"/>
    <row r="232" ht="9" customHeight="1" x14ac:dyDescent="0.35"/>
    <row r="233" ht="9" customHeight="1" x14ac:dyDescent="0.35"/>
    <row r="234" ht="9" customHeight="1" x14ac:dyDescent="0.35"/>
    <row r="235" ht="9" customHeight="1" x14ac:dyDescent="0.35"/>
    <row r="236" ht="9" customHeight="1" x14ac:dyDescent="0.35"/>
    <row r="237" ht="9" customHeight="1" x14ac:dyDescent="0.35"/>
    <row r="238" ht="9" customHeight="1" x14ac:dyDescent="0.35"/>
    <row r="239" ht="9" customHeight="1" x14ac:dyDescent="0.35"/>
    <row r="240" ht="9" customHeight="1" x14ac:dyDescent="0.35"/>
    <row r="241" ht="9" customHeight="1" x14ac:dyDescent="0.35"/>
    <row r="242" ht="9" customHeight="1" x14ac:dyDescent="0.35"/>
    <row r="243" ht="9" customHeight="1" x14ac:dyDescent="0.35"/>
    <row r="244" ht="9" customHeight="1" x14ac:dyDescent="0.35"/>
    <row r="245" ht="9" customHeight="1" x14ac:dyDescent="0.35"/>
    <row r="246" ht="9" customHeight="1" x14ac:dyDescent="0.35"/>
    <row r="247" ht="9" customHeight="1" x14ac:dyDescent="0.35"/>
    <row r="248" ht="9" customHeight="1" x14ac:dyDescent="0.35"/>
    <row r="249" ht="9" customHeight="1" x14ac:dyDescent="0.35"/>
    <row r="250" ht="9" customHeight="1" x14ac:dyDescent="0.35"/>
    <row r="251" ht="9" customHeight="1" x14ac:dyDescent="0.35"/>
    <row r="252" ht="9" customHeight="1" x14ac:dyDescent="0.35"/>
    <row r="253" ht="9" customHeight="1" x14ac:dyDescent="0.35"/>
    <row r="254" ht="9" customHeight="1" x14ac:dyDescent="0.35"/>
    <row r="255" ht="9" customHeight="1" x14ac:dyDescent="0.35"/>
    <row r="256" ht="9" customHeight="1" x14ac:dyDescent="0.35"/>
    <row r="257" ht="9" customHeight="1" x14ac:dyDescent="0.35"/>
    <row r="258" ht="9" customHeight="1" x14ac:dyDescent="0.35"/>
    <row r="259" ht="9" customHeight="1" x14ac:dyDescent="0.35"/>
    <row r="260" ht="9" customHeight="1" x14ac:dyDescent="0.35"/>
    <row r="261" ht="9" customHeight="1" x14ac:dyDescent="0.35"/>
    <row r="262" ht="9" customHeight="1" x14ac:dyDescent="0.35"/>
    <row r="263" ht="9" customHeight="1" x14ac:dyDescent="0.35"/>
    <row r="264" ht="9" customHeight="1" x14ac:dyDescent="0.35"/>
    <row r="265" ht="9" customHeight="1" x14ac:dyDescent="0.35"/>
    <row r="266" ht="9" customHeight="1" x14ac:dyDescent="0.35"/>
    <row r="267" ht="9" customHeight="1" x14ac:dyDescent="0.35"/>
    <row r="268" ht="9" customHeight="1" x14ac:dyDescent="0.35"/>
    <row r="269" ht="9" customHeight="1" x14ac:dyDescent="0.35"/>
    <row r="270" ht="9" customHeight="1" x14ac:dyDescent="0.35"/>
    <row r="271" ht="9" customHeight="1" x14ac:dyDescent="0.35"/>
    <row r="272" ht="9" customHeight="1" x14ac:dyDescent="0.35"/>
    <row r="273" ht="9" customHeight="1" x14ac:dyDescent="0.35"/>
    <row r="274" ht="9" customHeight="1" x14ac:dyDescent="0.35"/>
    <row r="275" ht="9" customHeight="1" x14ac:dyDescent="0.35"/>
    <row r="276" ht="9" customHeight="1" x14ac:dyDescent="0.35"/>
    <row r="277" ht="9" customHeight="1" x14ac:dyDescent="0.35"/>
    <row r="278" ht="9" customHeight="1" x14ac:dyDescent="0.35"/>
    <row r="279" ht="9" customHeight="1" x14ac:dyDescent="0.35"/>
    <row r="280" ht="9" customHeight="1" x14ac:dyDescent="0.35"/>
    <row r="281" ht="9" customHeight="1" x14ac:dyDescent="0.35"/>
    <row r="282" ht="9" customHeight="1" x14ac:dyDescent="0.35"/>
    <row r="283" ht="9" customHeight="1" x14ac:dyDescent="0.35"/>
    <row r="284" ht="9" customHeight="1" x14ac:dyDescent="0.35"/>
    <row r="285" ht="9" customHeight="1" x14ac:dyDescent="0.35"/>
    <row r="286" ht="9" customHeight="1" x14ac:dyDescent="0.35"/>
    <row r="287" ht="9" customHeight="1" x14ac:dyDescent="0.35"/>
    <row r="288" ht="9" customHeight="1" x14ac:dyDescent="0.35"/>
    <row r="289" ht="9" customHeight="1" x14ac:dyDescent="0.35"/>
    <row r="290" ht="9" customHeight="1" x14ac:dyDescent="0.35"/>
    <row r="291" ht="9" customHeight="1" x14ac:dyDescent="0.35"/>
    <row r="292" ht="9" customHeight="1" x14ac:dyDescent="0.35"/>
    <row r="293" ht="9" customHeight="1" x14ac:dyDescent="0.35"/>
    <row r="294" ht="9" customHeight="1" x14ac:dyDescent="0.35"/>
    <row r="295" ht="9" customHeight="1" x14ac:dyDescent="0.35"/>
    <row r="296" ht="9" customHeight="1" x14ac:dyDescent="0.35"/>
    <row r="297" ht="9" customHeight="1" x14ac:dyDescent="0.35"/>
    <row r="298" ht="9" customHeight="1" x14ac:dyDescent="0.35"/>
    <row r="299" ht="9" customHeight="1" x14ac:dyDescent="0.35"/>
    <row r="300" ht="9" customHeight="1" x14ac:dyDescent="0.35"/>
    <row r="301" ht="9" customHeight="1" x14ac:dyDescent="0.35"/>
    <row r="302" ht="9" customHeight="1" x14ac:dyDescent="0.35"/>
    <row r="303" ht="9" customHeight="1" x14ac:dyDescent="0.35"/>
    <row r="304" ht="9" customHeight="1" x14ac:dyDescent="0.35"/>
    <row r="305" ht="9" customHeight="1" x14ac:dyDescent="0.35"/>
    <row r="306" ht="9" customHeight="1" x14ac:dyDescent="0.35"/>
    <row r="307" ht="9" customHeight="1" x14ac:dyDescent="0.35"/>
    <row r="308" ht="9" customHeight="1" x14ac:dyDescent="0.35"/>
    <row r="309" ht="9" customHeight="1" x14ac:dyDescent="0.35"/>
    <row r="310" ht="9" customHeight="1" x14ac:dyDescent="0.35"/>
    <row r="311" ht="9" customHeight="1" x14ac:dyDescent="0.35"/>
    <row r="312" ht="9" customHeight="1" x14ac:dyDescent="0.35"/>
    <row r="313" ht="9" customHeight="1" x14ac:dyDescent="0.35"/>
    <row r="314" ht="9" customHeight="1" x14ac:dyDescent="0.35"/>
    <row r="315" ht="9" customHeight="1" x14ac:dyDescent="0.35"/>
    <row r="316" ht="9" customHeight="1" x14ac:dyDescent="0.35"/>
    <row r="317" ht="9" customHeight="1" x14ac:dyDescent="0.35"/>
    <row r="318" ht="9" customHeight="1" x14ac:dyDescent="0.35"/>
    <row r="319" ht="9" customHeight="1" x14ac:dyDescent="0.35"/>
    <row r="320" ht="9" customHeight="1" x14ac:dyDescent="0.35"/>
    <row r="321" spans="37:38" ht="9" customHeight="1" x14ac:dyDescent="0.35"/>
    <row r="322" spans="37:38" ht="9" customHeight="1" x14ac:dyDescent="0.35"/>
    <row r="323" spans="37:38" ht="9" customHeight="1" x14ac:dyDescent="0.35"/>
    <row r="324" spans="37:38" ht="9" customHeight="1" x14ac:dyDescent="0.35"/>
    <row r="325" spans="37:38" ht="9" customHeight="1" x14ac:dyDescent="0.35">
      <c r="AK325" s="139"/>
      <c r="AL325" s="138"/>
    </row>
  </sheetData>
  <mergeCells count="2">
    <mergeCell ref="U1:BJ4"/>
    <mergeCell ref="BM3:CK5"/>
  </mergeCells>
  <pageMargins left="0.7" right="0.7" top="0.75" bottom="0.75" header="0.3" footer="0.3"/>
  <customProperties>
    <customPr name="QAA_DRILLPATH_NODE_ID" r:id="rId1"/>
  </customPropertie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B1:DT325"/>
  <sheetViews>
    <sheetView workbookViewId="0">
      <selection activeCell="EV53" sqref="EV53"/>
    </sheetView>
  </sheetViews>
  <sheetFormatPr baseColWidth="10" defaultColWidth="8" defaultRowHeight="15.5" x14ac:dyDescent="0.35"/>
  <cols>
    <col min="1" max="1" width="2.08203125" customWidth="1"/>
    <col min="2" max="2" width="1.58203125" customWidth="1"/>
    <col min="3" max="4" width="1.08203125" customWidth="1"/>
    <col min="5" max="102" width="1.5" customWidth="1"/>
    <col min="103" max="109" width="0" hidden="1" customWidth="1"/>
    <col min="110" max="111" width="8" hidden="1" customWidth="1"/>
    <col min="112" max="134" width="1.58203125" customWidth="1"/>
    <col min="135" max="135" width="2.08203125" customWidth="1"/>
    <col min="136" max="136" width="1.58203125" customWidth="1"/>
    <col min="137" max="138" width="2.08203125" customWidth="1"/>
    <col min="139" max="139" width="2.58203125" customWidth="1"/>
    <col min="140" max="140" width="2.08203125" customWidth="1"/>
    <col min="141" max="141" width="1.58203125" customWidth="1"/>
    <col min="142" max="142" width="2" customWidth="1"/>
    <col min="143" max="144" width="1.58203125" customWidth="1"/>
    <col min="145" max="145" width="2" customWidth="1"/>
    <col min="146" max="146" width="2.08203125" customWidth="1"/>
    <col min="147" max="147" width="1.58203125" customWidth="1"/>
    <col min="148" max="148" width="1.5" customWidth="1"/>
    <col min="149" max="154" width="1.58203125" customWidth="1"/>
    <col min="155" max="155" width="1.5" customWidth="1"/>
    <col min="156" max="156" width="1.08203125" customWidth="1"/>
    <col min="157" max="157" width="1.5" customWidth="1"/>
    <col min="158" max="158" width="1.58203125" customWidth="1"/>
  </cols>
  <sheetData>
    <row r="1" spans="11:92" ht="8.25" customHeight="1" thickBot="1" x14ac:dyDescent="0.4">
      <c r="M1" s="135"/>
      <c r="N1" s="135"/>
      <c r="O1" s="135"/>
      <c r="P1" s="135"/>
      <c r="Q1" s="135"/>
      <c r="R1" s="135"/>
      <c r="S1" s="135"/>
      <c r="T1" s="135"/>
      <c r="V1" s="148"/>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row>
    <row r="2" spans="11:92" ht="8.25" customHeight="1" thickBot="1" x14ac:dyDescent="0.4">
      <c r="M2" s="135"/>
      <c r="N2" s="135"/>
      <c r="O2" s="135"/>
      <c r="P2" s="135"/>
      <c r="Q2" s="135"/>
      <c r="R2" s="135"/>
      <c r="S2" s="135"/>
      <c r="U2" s="891" t="s">
        <v>2072</v>
      </c>
      <c r="V2" s="892"/>
      <c r="W2" s="892"/>
      <c r="X2" s="892"/>
      <c r="Y2" s="892"/>
      <c r="Z2" s="892"/>
      <c r="AA2" s="892"/>
      <c r="AB2" s="892"/>
      <c r="AC2" s="892"/>
      <c r="AD2" s="892"/>
      <c r="AE2" s="892"/>
      <c r="AF2" s="892"/>
      <c r="AG2" s="892"/>
      <c r="AH2" s="892"/>
      <c r="AI2" s="892"/>
      <c r="AJ2" s="892"/>
      <c r="AK2" s="892"/>
      <c r="AL2" s="892"/>
      <c r="AM2" s="892"/>
      <c r="AN2" s="892"/>
      <c r="AO2" s="892"/>
      <c r="AP2" s="892"/>
      <c r="AQ2" s="892"/>
      <c r="AR2" s="892"/>
      <c r="AS2" s="892"/>
      <c r="AT2" s="892"/>
      <c r="AU2" s="892"/>
      <c r="AV2" s="892"/>
      <c r="AW2" s="892"/>
      <c r="AX2" s="892"/>
      <c r="AY2" s="892"/>
      <c r="AZ2" s="892"/>
      <c r="BA2" s="892"/>
      <c r="BB2" s="892"/>
      <c r="BC2" s="892"/>
      <c r="BD2" s="892"/>
      <c r="BE2" s="892"/>
      <c r="BF2" s="892"/>
      <c r="BG2" s="892"/>
      <c r="BH2" s="892"/>
      <c r="BI2" s="892"/>
      <c r="BJ2" s="893"/>
      <c r="BK2" s="136"/>
      <c r="BL2" s="136"/>
      <c r="BM2" s="890" t="s">
        <v>2071</v>
      </c>
      <c r="BN2" s="890"/>
      <c r="BO2" s="890"/>
      <c r="BP2" s="890"/>
      <c r="BQ2" s="890"/>
      <c r="BR2" s="890"/>
      <c r="BS2" s="890"/>
      <c r="BT2" s="890"/>
      <c r="BU2" s="890"/>
      <c r="BV2" s="890"/>
      <c r="BW2" s="890"/>
      <c r="BX2" s="890"/>
      <c r="BY2" s="890"/>
      <c r="BZ2" s="890"/>
      <c r="CA2" s="890"/>
      <c r="CB2" s="890"/>
      <c r="CC2" s="890"/>
      <c r="CD2" s="890"/>
      <c r="CE2" s="890"/>
      <c r="CF2" s="890"/>
      <c r="CG2" s="890"/>
      <c r="CH2" s="890"/>
      <c r="CI2" s="890"/>
      <c r="CJ2" s="890"/>
      <c r="CK2" s="890"/>
      <c r="CL2" s="145"/>
      <c r="CM2" s="145"/>
      <c r="CN2" s="145"/>
    </row>
    <row r="3" spans="11:92" ht="20.25" customHeight="1" thickBot="1" x14ac:dyDescent="0.4">
      <c r="M3" s="135"/>
      <c r="N3" s="135"/>
      <c r="O3" s="135"/>
      <c r="P3" s="135"/>
      <c r="Q3" s="135"/>
      <c r="R3" s="135"/>
      <c r="S3" s="135"/>
      <c r="U3" s="891" t="s">
        <v>2072</v>
      </c>
      <c r="V3" s="892"/>
      <c r="W3" s="892"/>
      <c r="X3" s="892"/>
      <c r="Y3" s="892"/>
      <c r="Z3" s="892"/>
      <c r="AA3" s="892"/>
      <c r="AB3" s="892"/>
      <c r="AC3" s="892"/>
      <c r="AD3" s="892"/>
      <c r="AE3" s="892"/>
      <c r="AF3" s="892"/>
      <c r="AG3" s="892"/>
      <c r="AH3" s="892"/>
      <c r="AI3" s="892"/>
      <c r="AJ3" s="892"/>
      <c r="AK3" s="892"/>
      <c r="AL3" s="892"/>
      <c r="AM3" s="892"/>
      <c r="AN3" s="892"/>
      <c r="AO3" s="892"/>
      <c r="AP3" s="892"/>
      <c r="AQ3" s="892"/>
      <c r="AR3" s="892"/>
      <c r="AS3" s="892"/>
      <c r="AT3" s="892"/>
      <c r="AU3" s="892"/>
      <c r="AV3" s="892"/>
      <c r="AW3" s="892"/>
      <c r="AX3" s="892"/>
      <c r="AY3" s="892"/>
      <c r="AZ3" s="892"/>
      <c r="BA3" s="892"/>
      <c r="BB3" s="892"/>
      <c r="BC3" s="892"/>
      <c r="BD3" s="892"/>
      <c r="BE3" s="892"/>
      <c r="BF3" s="892"/>
      <c r="BG3" s="892"/>
      <c r="BH3" s="892"/>
      <c r="BI3" s="892"/>
      <c r="BJ3" s="893"/>
      <c r="BK3" s="130"/>
      <c r="BL3" s="130"/>
      <c r="BM3" s="890"/>
      <c r="BN3" s="890"/>
      <c r="BO3" s="890"/>
      <c r="BP3" s="890"/>
      <c r="BQ3" s="890"/>
      <c r="BR3" s="890"/>
      <c r="BS3" s="890"/>
      <c r="BT3" s="890"/>
      <c r="BU3" s="890"/>
      <c r="BV3" s="890"/>
      <c r="BW3" s="890"/>
      <c r="BX3" s="890"/>
      <c r="BY3" s="890"/>
      <c r="BZ3" s="890"/>
      <c r="CA3" s="890"/>
      <c r="CB3" s="890"/>
      <c r="CC3" s="890"/>
      <c r="CD3" s="890"/>
      <c r="CE3" s="890"/>
      <c r="CF3" s="890"/>
      <c r="CG3" s="890"/>
      <c r="CH3" s="890"/>
      <c r="CI3" s="890"/>
      <c r="CJ3" s="890"/>
      <c r="CK3" s="890"/>
      <c r="CL3" s="145"/>
      <c r="CM3" s="145"/>
      <c r="CN3" s="145"/>
    </row>
    <row r="4" spans="11:92" ht="8.25" customHeight="1" x14ac:dyDescent="0.35">
      <c r="BM4" s="890"/>
      <c r="BN4" s="890"/>
      <c r="BO4" s="890"/>
      <c r="BP4" s="890"/>
      <c r="BQ4" s="890"/>
      <c r="BR4" s="890"/>
      <c r="BS4" s="890"/>
      <c r="BT4" s="890"/>
      <c r="BU4" s="890"/>
      <c r="BV4" s="890"/>
      <c r="BW4" s="890"/>
      <c r="BX4" s="890"/>
      <c r="BY4" s="890"/>
      <c r="BZ4" s="890"/>
      <c r="CA4" s="890"/>
      <c r="CB4" s="890"/>
      <c r="CC4" s="890"/>
      <c r="CD4" s="890"/>
      <c r="CE4" s="890"/>
      <c r="CF4" s="890"/>
      <c r="CG4" s="890"/>
      <c r="CH4" s="890"/>
      <c r="CI4" s="890"/>
      <c r="CJ4" s="890"/>
      <c r="CK4" s="890"/>
      <c r="CL4" s="145"/>
      <c r="CM4" s="145"/>
      <c r="CN4" s="145"/>
    </row>
    <row r="5" spans="11:92" ht="8.25" customHeight="1" x14ac:dyDescent="0.35">
      <c r="BM5" s="145"/>
      <c r="BN5" s="145"/>
      <c r="BO5" s="145"/>
      <c r="BP5" s="145"/>
      <c r="BQ5" s="145"/>
      <c r="BR5" s="145"/>
      <c r="BS5" s="145"/>
      <c r="BT5" s="145"/>
      <c r="BU5" s="145"/>
      <c r="BV5" s="145"/>
      <c r="BW5" s="145"/>
      <c r="BX5" s="145"/>
      <c r="BY5" s="145"/>
      <c r="BZ5" s="145"/>
      <c r="CA5" s="145"/>
      <c r="CB5" s="145"/>
      <c r="CC5" s="145"/>
      <c r="CD5" s="145"/>
      <c r="CE5" s="145"/>
      <c r="CF5" s="145"/>
      <c r="CG5" s="145"/>
      <c r="CH5" s="145"/>
      <c r="CI5" s="145"/>
      <c r="CJ5" s="145"/>
      <c r="CK5" s="145"/>
      <c r="CL5" s="145"/>
      <c r="CM5" s="145"/>
      <c r="CN5" s="145"/>
    </row>
    <row r="6" spans="11:92" ht="8.25" customHeight="1" x14ac:dyDescent="0.35">
      <c r="AO6" s="138"/>
      <c r="BM6" s="145"/>
      <c r="BN6" s="145"/>
      <c r="BO6" s="145"/>
      <c r="BP6" s="145"/>
      <c r="BQ6" s="145"/>
      <c r="BR6" s="145"/>
      <c r="BS6" s="145"/>
      <c r="BT6" s="145"/>
      <c r="BU6" s="145"/>
      <c r="BV6" s="145"/>
      <c r="BW6" s="145"/>
      <c r="BX6" s="145"/>
      <c r="BY6" s="145"/>
      <c r="BZ6" s="145"/>
      <c r="CA6" s="145"/>
      <c r="CB6" s="145"/>
      <c r="CC6" s="145"/>
      <c r="CD6" s="145"/>
      <c r="CE6" s="145"/>
      <c r="CF6" s="145"/>
      <c r="CG6" s="145"/>
      <c r="CH6" s="145"/>
      <c r="CI6" s="145"/>
      <c r="CJ6" s="145"/>
      <c r="CK6" s="145"/>
      <c r="CL6" s="145"/>
      <c r="CM6" s="145"/>
      <c r="CN6" s="145"/>
    </row>
    <row r="7" spans="11:92" ht="8.25" customHeight="1" x14ac:dyDescent="0.35">
      <c r="K7" s="138"/>
      <c r="R7" s="138"/>
      <c r="AJ7" s="138"/>
    </row>
    <row r="8" spans="11:92" ht="8.25" customHeight="1" x14ac:dyDescent="0.35">
      <c r="K8" s="138"/>
    </row>
    <row r="9" spans="11:92" ht="8.25" customHeight="1" x14ac:dyDescent="0.35"/>
    <row r="10" spans="11:92" ht="8.25" customHeight="1" x14ac:dyDescent="0.35"/>
    <row r="11" spans="11:92" ht="8.25" customHeight="1" x14ac:dyDescent="0.35">
      <c r="AA11" s="139"/>
    </row>
    <row r="12" spans="11:92" ht="8.25" customHeight="1" x14ac:dyDescent="0.35"/>
    <row r="13" spans="11:92" ht="8.25" customHeight="1" x14ac:dyDescent="0.35"/>
    <row r="14" spans="11:92" ht="8.25" customHeight="1" x14ac:dyDescent="0.35"/>
    <row r="15" spans="11:92" ht="8.25" customHeight="1" x14ac:dyDescent="0.35">
      <c r="BC15" s="138"/>
    </row>
    <row r="16" spans="11:92" ht="8.25" customHeight="1" x14ac:dyDescent="0.35"/>
    <row r="17" spans="2:112" ht="8.25" customHeight="1" x14ac:dyDescent="0.35">
      <c r="AK17" s="138"/>
      <c r="BD17" s="138"/>
      <c r="BF17" s="138"/>
      <c r="BH17" s="138"/>
      <c r="DH17" s="140"/>
    </row>
    <row r="18" spans="2:112" ht="8.25" customHeight="1" x14ac:dyDescent="0.35"/>
    <row r="19" spans="2:112" ht="8.25" customHeight="1" x14ac:dyDescent="0.35"/>
    <row r="20" spans="2:112" ht="8.25" customHeight="1" x14ac:dyDescent="0.35"/>
    <row r="21" spans="2:112" ht="8.25" customHeight="1" x14ac:dyDescent="0.35">
      <c r="J21" s="138"/>
      <c r="AF21" s="138"/>
      <c r="AO21" s="138"/>
    </row>
    <row r="22" spans="2:112" ht="8.25" customHeight="1" x14ac:dyDescent="0.35"/>
    <row r="23" spans="2:112" ht="8.25" customHeight="1" x14ac:dyDescent="0.35">
      <c r="BI23" s="138"/>
    </row>
    <row r="24" spans="2:112" ht="8.25" customHeight="1" x14ac:dyDescent="0.35">
      <c r="B24" s="146"/>
    </row>
    <row r="25" spans="2:112" ht="8.25" customHeight="1" x14ac:dyDescent="0.35">
      <c r="G25" s="138"/>
      <c r="AW25" s="138"/>
    </row>
    <row r="26" spans="2:112" ht="8.25" customHeight="1" x14ac:dyDescent="0.35"/>
    <row r="27" spans="2:112" ht="8.25" customHeight="1" x14ac:dyDescent="0.35">
      <c r="P27" s="138"/>
      <c r="AO27" s="138"/>
      <c r="AV27" s="138"/>
      <c r="BD27" s="138"/>
    </row>
    <row r="28" spans="2:112" ht="8.25" customHeight="1" x14ac:dyDescent="0.35">
      <c r="AU28" s="139"/>
    </row>
    <row r="29" spans="2:112" ht="8.25" customHeight="1" x14ac:dyDescent="0.35"/>
    <row r="30" spans="2:112" ht="8.25" customHeight="1" x14ac:dyDescent="0.35">
      <c r="AN30" s="138"/>
    </row>
    <row r="31" spans="2:112" ht="8.25" customHeight="1" x14ac:dyDescent="0.35"/>
    <row r="32" spans="2:112" ht="8.25" customHeight="1" x14ac:dyDescent="0.35">
      <c r="J32" s="138"/>
      <c r="P32" s="138"/>
    </row>
    <row r="33" spans="2:48" ht="8.25" customHeight="1" x14ac:dyDescent="0.35">
      <c r="AF33" s="138"/>
      <c r="AM33" s="138"/>
      <c r="AO33" s="141"/>
    </row>
    <row r="34" spans="2:48" ht="8.25" customHeight="1" x14ac:dyDescent="0.35"/>
    <row r="35" spans="2:48" ht="8.25" customHeight="1" x14ac:dyDescent="0.35"/>
    <row r="36" spans="2:48" ht="8.25" customHeight="1" x14ac:dyDescent="0.35">
      <c r="AO36" s="138"/>
    </row>
    <row r="37" spans="2:48" ht="8.25" customHeight="1" x14ac:dyDescent="0.35">
      <c r="B37" s="146"/>
    </row>
    <row r="38" spans="2:48" ht="8.25" customHeight="1" x14ac:dyDescent="0.35"/>
    <row r="39" spans="2:48" ht="8.25" customHeight="1" x14ac:dyDescent="0.35"/>
    <row r="40" spans="2:48" ht="8.25" customHeight="1" x14ac:dyDescent="0.35">
      <c r="K40" s="138"/>
      <c r="N40" s="138"/>
      <c r="AP40" s="138"/>
    </row>
    <row r="41" spans="2:48" ht="8.25" customHeight="1" x14ac:dyDescent="0.35"/>
    <row r="42" spans="2:48" ht="8.25" customHeight="1" x14ac:dyDescent="0.35">
      <c r="AR42" s="138"/>
    </row>
    <row r="43" spans="2:48" ht="8.25" customHeight="1" x14ac:dyDescent="0.35"/>
    <row r="44" spans="2:48" ht="8.25" customHeight="1" x14ac:dyDescent="0.35"/>
    <row r="45" spans="2:48" ht="8.25" customHeight="1" x14ac:dyDescent="0.35">
      <c r="AV45" s="138"/>
    </row>
    <row r="46" spans="2:48" ht="8.25" customHeight="1" x14ac:dyDescent="0.35"/>
    <row r="47" spans="2:48" ht="8.25" customHeight="1" x14ac:dyDescent="0.35"/>
    <row r="48" spans="2:48" ht="8.25" customHeight="1" x14ac:dyDescent="0.35">
      <c r="AR48" s="138"/>
    </row>
    <row r="49" spans="24:101" ht="8.25" customHeight="1" x14ac:dyDescent="0.35"/>
    <row r="50" spans="24:101" ht="8.25" customHeight="1" x14ac:dyDescent="0.35">
      <c r="AQ50" s="139"/>
      <c r="AY50" s="138"/>
    </row>
    <row r="51" spans="24:101" ht="8.25" customHeight="1" x14ac:dyDescent="0.35"/>
    <row r="52" spans="24:101" ht="8.25" customHeight="1" x14ac:dyDescent="0.35">
      <c r="X52" s="138"/>
      <c r="AZ52" s="138"/>
    </row>
    <row r="53" spans="24:101" ht="8.25" customHeight="1" x14ac:dyDescent="0.35"/>
    <row r="54" spans="24:101" ht="8.25" customHeight="1" x14ac:dyDescent="0.35">
      <c r="BD54" s="138"/>
    </row>
    <row r="55" spans="24:101" ht="8.25" customHeight="1" x14ac:dyDescent="0.35"/>
    <row r="56" spans="24:101" ht="8.25" customHeight="1" x14ac:dyDescent="0.35"/>
    <row r="57" spans="24:101" ht="8.25" customHeight="1" x14ac:dyDescent="0.35"/>
    <row r="58" spans="24:101" ht="8.25" customHeight="1" x14ac:dyDescent="0.35"/>
    <row r="59" spans="24:101" ht="8.25" customHeight="1" x14ac:dyDescent="0.35"/>
    <row r="60" spans="24:101" ht="8.25" customHeight="1" x14ac:dyDescent="0.35"/>
    <row r="61" spans="24:101" ht="8.25" customHeight="1" x14ac:dyDescent="0.35"/>
    <row r="62" spans="24:101" ht="8.25" customHeight="1" x14ac:dyDescent="0.35"/>
    <row r="63" spans="24:101" ht="8.25" customHeight="1" x14ac:dyDescent="0.35"/>
    <row r="64" spans="24:101" ht="8.25" customHeight="1" x14ac:dyDescent="0.35">
      <c r="BH64" s="129"/>
      <c r="BI64" s="129"/>
      <c r="BJ64" s="129"/>
      <c r="BK64" s="129"/>
      <c r="BL64" s="129"/>
      <c r="BM64" s="129"/>
      <c r="BN64" s="129"/>
      <c r="BO64" s="129"/>
      <c r="BP64" s="129"/>
      <c r="BQ64" s="129"/>
      <c r="BR64" s="129"/>
      <c r="BS64" s="129"/>
      <c r="BT64" s="129"/>
      <c r="BU64" s="129"/>
      <c r="BV64" s="129"/>
      <c r="BW64" s="129"/>
      <c r="BX64" s="129"/>
      <c r="BY64" s="129"/>
      <c r="BZ64" s="129"/>
      <c r="CA64" s="129"/>
      <c r="CB64" s="129"/>
      <c r="CC64" s="129"/>
      <c r="CD64" s="129"/>
      <c r="CE64" s="129"/>
      <c r="CF64" s="129"/>
      <c r="CG64" s="129"/>
      <c r="CH64" s="129"/>
      <c r="CI64" s="129"/>
      <c r="CJ64" s="129"/>
      <c r="CK64" s="129"/>
      <c r="CL64" s="129"/>
      <c r="CM64" s="129"/>
      <c r="CN64" s="129"/>
      <c r="CO64" s="129"/>
      <c r="CP64" s="129"/>
      <c r="CQ64" s="129"/>
      <c r="CR64" s="129"/>
      <c r="CS64" s="129"/>
      <c r="CT64" s="129"/>
      <c r="CU64" s="129"/>
      <c r="CV64" s="129"/>
      <c r="CW64" s="129"/>
    </row>
    <row r="65" spans="60:101" ht="8.25" customHeight="1" x14ac:dyDescent="0.35">
      <c r="BH65" s="129"/>
      <c r="BI65" s="129"/>
      <c r="BJ65" s="129"/>
      <c r="BK65" s="129"/>
      <c r="BL65" s="129"/>
      <c r="BM65" s="129"/>
      <c r="BN65" s="129"/>
      <c r="BO65" s="129"/>
      <c r="BP65" s="129"/>
      <c r="BQ65" s="129"/>
      <c r="BR65" s="129"/>
      <c r="BS65" s="129"/>
      <c r="BT65" s="129"/>
      <c r="BU65" s="129"/>
      <c r="BV65" s="129"/>
      <c r="BW65" s="129"/>
      <c r="BX65" s="129"/>
      <c r="BY65" s="129"/>
      <c r="BZ65" s="129"/>
      <c r="CA65" s="129"/>
      <c r="CB65" s="129"/>
      <c r="CC65" s="129"/>
      <c r="CD65" s="129"/>
      <c r="CE65" s="129"/>
      <c r="CF65" s="129"/>
      <c r="CG65" s="129"/>
      <c r="CH65" s="129"/>
      <c r="CI65" s="129"/>
      <c r="CJ65" s="129"/>
      <c r="CK65" s="129"/>
      <c r="CL65" s="129"/>
      <c r="CM65" s="129"/>
      <c r="CN65" s="129"/>
      <c r="CO65" s="129"/>
      <c r="CP65" s="129"/>
      <c r="CQ65" s="129"/>
      <c r="CR65" s="129"/>
      <c r="CS65" s="129"/>
      <c r="CT65" s="129"/>
      <c r="CU65" s="129"/>
      <c r="CV65" s="129"/>
      <c r="CW65" s="129"/>
    </row>
    <row r="66" spans="60:101" ht="8.25" customHeight="1" x14ac:dyDescent="0.35">
      <c r="BH66" s="129"/>
      <c r="BI66" s="129"/>
      <c r="BJ66" s="129"/>
      <c r="BK66" s="129"/>
      <c r="BL66" s="129"/>
      <c r="BM66" s="129"/>
      <c r="BN66" s="129"/>
      <c r="BO66" s="129"/>
      <c r="BP66" s="129"/>
      <c r="BQ66" s="129"/>
      <c r="BR66" s="129"/>
      <c r="BS66" s="129"/>
      <c r="BT66" s="129"/>
      <c r="BU66" s="129"/>
      <c r="BV66" s="129"/>
      <c r="BW66" s="129"/>
      <c r="BX66" s="129"/>
      <c r="BY66" s="129"/>
      <c r="BZ66" s="129"/>
      <c r="CA66" s="129"/>
      <c r="CB66" s="129"/>
      <c r="CC66" s="129"/>
      <c r="CD66" s="129"/>
      <c r="CE66" s="129"/>
      <c r="CF66" s="129"/>
      <c r="CG66" s="129"/>
      <c r="CH66" s="129"/>
      <c r="CI66" s="129"/>
      <c r="CJ66" s="129"/>
      <c r="CK66" s="129"/>
      <c r="CL66" s="129"/>
      <c r="CM66" s="129"/>
      <c r="CN66" s="129"/>
      <c r="CO66" s="129"/>
      <c r="CP66" s="129"/>
      <c r="CQ66" s="129"/>
      <c r="CR66" s="129"/>
      <c r="CS66" s="129"/>
      <c r="CT66" s="129"/>
      <c r="CU66" s="129"/>
      <c r="CV66" s="129"/>
      <c r="CW66" s="129"/>
    </row>
    <row r="67" spans="60:101" ht="8.25" customHeight="1" x14ac:dyDescent="0.35"/>
    <row r="68" spans="60:101" ht="8.25" customHeight="1" x14ac:dyDescent="0.35"/>
    <row r="69" spans="60:101" ht="8.25" customHeight="1" x14ac:dyDescent="0.35"/>
    <row r="70" spans="60:101" ht="8.25" customHeight="1" x14ac:dyDescent="0.35"/>
    <row r="71" spans="60:101" ht="8.25" customHeight="1" x14ac:dyDescent="0.35"/>
    <row r="72" spans="60:101" ht="8.25" customHeight="1" x14ac:dyDescent="0.35"/>
    <row r="73" spans="60:101" ht="8.25" customHeight="1" x14ac:dyDescent="0.35"/>
    <row r="74" spans="60:101" ht="8.25" customHeight="1" x14ac:dyDescent="0.35"/>
    <row r="75" spans="60:101" ht="8.25" customHeight="1" x14ac:dyDescent="0.35"/>
    <row r="76" spans="60:101" ht="8.25" customHeight="1" x14ac:dyDescent="0.35"/>
    <row r="77" spans="60:101" ht="8.25" customHeight="1" x14ac:dyDescent="0.35"/>
    <row r="78" spans="60:101" ht="8.25" customHeight="1" x14ac:dyDescent="0.35"/>
    <row r="79" spans="60:101" ht="8.25" customHeight="1" x14ac:dyDescent="0.35"/>
    <row r="80" spans="60:101" ht="8.25" customHeight="1" x14ac:dyDescent="0.35"/>
    <row r="81" spans="33:124" ht="8.25" customHeight="1" x14ac:dyDescent="0.35"/>
    <row r="82" spans="33:124" ht="8.25" customHeight="1" x14ac:dyDescent="0.35"/>
    <row r="83" spans="33:124" ht="8.25" customHeight="1" x14ac:dyDescent="0.35"/>
    <row r="84" spans="33:124" ht="8.25" customHeight="1" x14ac:dyDescent="0.35"/>
    <row r="85" spans="33:124" ht="8.25" customHeight="1" x14ac:dyDescent="0.35"/>
    <row r="86" spans="33:124" ht="8.25" customHeight="1" x14ac:dyDescent="0.35"/>
    <row r="87" spans="33:124" ht="8.25" customHeight="1" x14ac:dyDescent="0.35"/>
    <row r="88" spans="33:124" ht="8.25" customHeight="1" x14ac:dyDescent="0.35"/>
    <row r="89" spans="33:124" ht="8.25" customHeight="1" x14ac:dyDescent="0.35"/>
    <row r="90" spans="33:124" ht="8.25" customHeight="1" x14ac:dyDescent="0.35">
      <c r="DT90" s="140"/>
    </row>
    <row r="91" spans="33:124" ht="8.25" customHeight="1" x14ac:dyDescent="0.35"/>
    <row r="92" spans="33:124" ht="8.25" customHeight="1" x14ac:dyDescent="0.35"/>
    <row r="93" spans="33:124" ht="8.25" customHeight="1" x14ac:dyDescent="0.35">
      <c r="AG93" s="142"/>
    </row>
    <row r="94" spans="33:124" ht="8.25" customHeight="1" x14ac:dyDescent="0.35"/>
    <row r="95" spans="33:124" ht="8.25" customHeight="1" x14ac:dyDescent="0.35"/>
    <row r="96" spans="33:124" ht="8.25" customHeight="1" x14ac:dyDescent="0.35"/>
    <row r="97" spans="47:47" ht="8.25" customHeight="1" x14ac:dyDescent="0.35"/>
    <row r="98" spans="47:47" ht="8.25" customHeight="1" x14ac:dyDescent="0.35"/>
    <row r="99" spans="47:47" ht="8.25" customHeight="1" x14ac:dyDescent="0.35">
      <c r="AU99" s="143"/>
    </row>
    <row r="100" spans="47:47" ht="8.25" customHeight="1" x14ac:dyDescent="0.35"/>
    <row r="101" spans="47:47" ht="8.25" customHeight="1" x14ac:dyDescent="0.35"/>
    <row r="102" spans="47:47" ht="8.25" customHeight="1" x14ac:dyDescent="0.35"/>
    <row r="103" spans="47:47" ht="8.25" customHeight="1" x14ac:dyDescent="0.35"/>
    <row r="104" spans="47:47" ht="8.25" customHeight="1" x14ac:dyDescent="0.35"/>
    <row r="105" spans="47:47" ht="8.25" customHeight="1" x14ac:dyDescent="0.35"/>
    <row r="106" spans="47:47" ht="8.25" customHeight="1" x14ac:dyDescent="0.35"/>
    <row r="107" spans="47:47" ht="8.25" customHeight="1" x14ac:dyDescent="0.35"/>
    <row r="108" spans="47:47" ht="8.25" customHeight="1" x14ac:dyDescent="0.35"/>
    <row r="109" spans="47:47" ht="8.25" customHeight="1" x14ac:dyDescent="0.35"/>
    <row r="110" spans="47:47" ht="8.25" customHeight="1" x14ac:dyDescent="0.35"/>
    <row r="111" spans="47:47" ht="8.25" customHeight="1" x14ac:dyDescent="0.35"/>
    <row r="112" spans="47:47" ht="8.25" customHeight="1" x14ac:dyDescent="0.35"/>
    <row r="113" ht="8.25" customHeight="1" x14ac:dyDescent="0.35"/>
    <row r="114" ht="8.25" customHeight="1" x14ac:dyDescent="0.35"/>
    <row r="115" ht="8.25" customHeight="1" x14ac:dyDescent="0.35"/>
    <row r="116" ht="8.25" customHeight="1" x14ac:dyDescent="0.35"/>
    <row r="117" ht="8.25" customHeight="1" x14ac:dyDescent="0.35"/>
    <row r="118" ht="8.25" customHeight="1" x14ac:dyDescent="0.35"/>
    <row r="119" ht="8.25" customHeight="1" x14ac:dyDescent="0.35"/>
    <row r="120" ht="8.25" customHeight="1" x14ac:dyDescent="0.35"/>
    <row r="121" ht="8.25" customHeight="1" x14ac:dyDescent="0.35"/>
    <row r="122" ht="8.25" customHeight="1" x14ac:dyDescent="0.35"/>
    <row r="123" ht="8.25" customHeight="1" x14ac:dyDescent="0.35"/>
    <row r="124" ht="8.25" customHeight="1" x14ac:dyDescent="0.35"/>
    <row r="125" ht="8.25" customHeight="1" x14ac:dyDescent="0.35"/>
    <row r="126" ht="8.25" customHeight="1" x14ac:dyDescent="0.35"/>
    <row r="127" ht="8.25" customHeight="1" x14ac:dyDescent="0.35"/>
    <row r="128" ht="8.25" customHeight="1" x14ac:dyDescent="0.35"/>
    <row r="129" ht="8.25" customHeight="1" x14ac:dyDescent="0.35"/>
    <row r="130" ht="8.25" customHeight="1" x14ac:dyDescent="0.35"/>
    <row r="131" ht="8.25" customHeight="1" x14ac:dyDescent="0.35"/>
    <row r="132" ht="8.25" customHeight="1" x14ac:dyDescent="0.35"/>
    <row r="133" ht="8.25" customHeight="1" x14ac:dyDescent="0.35"/>
    <row r="134" ht="8.25" customHeight="1" x14ac:dyDescent="0.35"/>
    <row r="135" ht="8.25" customHeight="1" x14ac:dyDescent="0.35"/>
    <row r="136" ht="8.25" customHeight="1" x14ac:dyDescent="0.35"/>
    <row r="137" ht="8.25" customHeight="1" x14ac:dyDescent="0.35"/>
    <row r="138" ht="8.25" customHeight="1" x14ac:dyDescent="0.35"/>
    <row r="139" ht="8.25" customHeight="1" x14ac:dyDescent="0.35"/>
    <row r="140" ht="8.25" customHeight="1" x14ac:dyDescent="0.35"/>
    <row r="141" ht="8.25" customHeight="1" x14ac:dyDescent="0.35"/>
    <row r="142" ht="8.25" customHeight="1" x14ac:dyDescent="0.35"/>
    <row r="143" ht="8.25" customHeight="1" x14ac:dyDescent="0.35"/>
    <row r="144" ht="8.25" customHeight="1" x14ac:dyDescent="0.35"/>
    <row r="145" spans="48:48" ht="8.25" customHeight="1" x14ac:dyDescent="0.35"/>
    <row r="146" spans="48:48" ht="8.25" customHeight="1" x14ac:dyDescent="0.35"/>
    <row r="147" spans="48:48" ht="8.25" customHeight="1" x14ac:dyDescent="0.35"/>
    <row r="148" spans="48:48" ht="8.25" customHeight="1" x14ac:dyDescent="0.35"/>
    <row r="149" spans="48:48" ht="8.25" customHeight="1" x14ac:dyDescent="0.35"/>
    <row r="150" spans="48:48" ht="8.25" customHeight="1" x14ac:dyDescent="0.35"/>
    <row r="151" spans="48:48" ht="8.25" customHeight="1" x14ac:dyDescent="0.35"/>
    <row r="152" spans="48:48" ht="8.25" customHeight="1" x14ac:dyDescent="0.35"/>
    <row r="153" spans="48:48" ht="8.25" customHeight="1" x14ac:dyDescent="0.35"/>
    <row r="154" spans="48:48" ht="8.25" customHeight="1" x14ac:dyDescent="0.35"/>
    <row r="155" spans="48:48" ht="8.25" customHeight="1" x14ac:dyDescent="0.35">
      <c r="AV155" s="132"/>
    </row>
    <row r="156" spans="48:48" ht="8.25" customHeight="1" x14ac:dyDescent="0.35"/>
    <row r="157" spans="48:48" ht="8.25" customHeight="1" x14ac:dyDescent="0.35"/>
    <row r="158" spans="48:48" ht="8.25" customHeight="1" x14ac:dyDescent="0.35"/>
    <row r="159" spans="48:48" ht="8.25" customHeight="1" x14ac:dyDescent="0.35"/>
    <row r="160" spans="48:48" ht="8.25" customHeight="1" x14ac:dyDescent="0.35"/>
    <row r="161" spans="48:66" ht="8.25" customHeight="1" x14ac:dyDescent="0.35"/>
    <row r="162" spans="48:66" ht="8.25" customHeight="1" x14ac:dyDescent="0.35"/>
    <row r="163" spans="48:66" ht="8.25" customHeight="1" x14ac:dyDescent="0.35"/>
    <row r="164" spans="48:66" ht="8.25" customHeight="1" x14ac:dyDescent="0.35">
      <c r="AV164" s="144"/>
      <c r="AW164" s="144"/>
      <c r="AX164" s="144"/>
      <c r="AY164" s="144"/>
      <c r="AZ164" s="144"/>
      <c r="BA164" s="144"/>
      <c r="BB164" s="144"/>
      <c r="BC164" s="144"/>
      <c r="BD164" s="144"/>
      <c r="BE164" s="144"/>
      <c r="BF164" s="144"/>
      <c r="BG164" s="144"/>
      <c r="BH164" s="144"/>
      <c r="BI164" s="144"/>
      <c r="BJ164" s="144"/>
      <c r="BK164" s="144"/>
      <c r="BL164" s="144"/>
      <c r="BM164" s="144"/>
      <c r="BN164" s="144"/>
    </row>
    <row r="165" spans="48:66" ht="8.25" customHeight="1" x14ac:dyDescent="0.35"/>
    <row r="166" spans="48:66" ht="8.25" customHeight="1" x14ac:dyDescent="0.35"/>
    <row r="167" spans="48:66" ht="8.25" customHeight="1" x14ac:dyDescent="0.35"/>
    <row r="168" spans="48:66" ht="8.25" customHeight="1" x14ac:dyDescent="0.35"/>
    <row r="169" spans="48:66" ht="8.25" customHeight="1" x14ac:dyDescent="0.35"/>
    <row r="170" spans="48:66" ht="8.25" customHeight="1" x14ac:dyDescent="0.35"/>
    <row r="171" spans="48:66" ht="8.25" customHeight="1" x14ac:dyDescent="0.35"/>
    <row r="172" spans="48:66" ht="8.25" customHeight="1" x14ac:dyDescent="0.35"/>
    <row r="173" spans="48:66" ht="8.25" customHeight="1" x14ac:dyDescent="0.35"/>
    <row r="174" spans="48:66" ht="8.25" customHeight="1" x14ac:dyDescent="0.35"/>
    <row r="175" spans="48:66" ht="8.25" customHeight="1" x14ac:dyDescent="0.35"/>
    <row r="176" spans="48:66" ht="8.25" customHeight="1" x14ac:dyDescent="0.35"/>
    <row r="177" ht="8.25" customHeight="1" x14ac:dyDescent="0.35"/>
    <row r="178" ht="8.25" customHeight="1" x14ac:dyDescent="0.35"/>
    <row r="179" ht="8.25" customHeight="1" x14ac:dyDescent="0.35"/>
    <row r="180" ht="8.25" customHeight="1" x14ac:dyDescent="0.35"/>
    <row r="181" ht="8.25" customHeight="1" x14ac:dyDescent="0.35"/>
    <row r="182" ht="8.25" customHeight="1" x14ac:dyDescent="0.35"/>
    <row r="183" ht="8.25" customHeight="1" x14ac:dyDescent="0.35"/>
    <row r="184" ht="8.25" customHeight="1" x14ac:dyDescent="0.35"/>
    <row r="185" ht="8.25" customHeight="1" x14ac:dyDescent="0.35"/>
    <row r="186" ht="8.25" customHeight="1" x14ac:dyDescent="0.35"/>
    <row r="187" ht="8.25" customHeight="1" x14ac:dyDescent="0.35"/>
    <row r="188" ht="8.25" customHeight="1" x14ac:dyDescent="0.35"/>
    <row r="189" ht="8.25" customHeight="1" x14ac:dyDescent="0.35"/>
    <row r="190" ht="8.25" customHeight="1" x14ac:dyDescent="0.35"/>
    <row r="191" ht="8.25" customHeight="1" x14ac:dyDescent="0.35"/>
    <row r="192" ht="8.25" customHeight="1" x14ac:dyDescent="0.35"/>
    <row r="193" ht="8.25" customHeight="1" x14ac:dyDescent="0.35"/>
    <row r="194" ht="8.25" customHeight="1" x14ac:dyDescent="0.35"/>
    <row r="195" ht="8.25" customHeight="1" x14ac:dyDescent="0.35"/>
    <row r="196" ht="8.25" customHeight="1" x14ac:dyDescent="0.35"/>
    <row r="197" ht="8.25" customHeight="1" x14ac:dyDescent="0.35"/>
    <row r="198" ht="8.25" customHeight="1" x14ac:dyDescent="0.35"/>
    <row r="199" ht="8.25" customHeight="1" x14ac:dyDescent="0.35"/>
    <row r="200" ht="8.25" customHeight="1" x14ac:dyDescent="0.35"/>
    <row r="201" ht="8.25" customHeight="1" x14ac:dyDescent="0.35"/>
    <row r="202" ht="8.25" customHeight="1" x14ac:dyDescent="0.35"/>
    <row r="203" ht="8.25" customHeight="1" x14ac:dyDescent="0.35"/>
    <row r="204" ht="8.25" customHeight="1" x14ac:dyDescent="0.35"/>
    <row r="205" ht="8.25" customHeight="1" x14ac:dyDescent="0.35"/>
    <row r="206" ht="8.25" customHeight="1" x14ac:dyDescent="0.35"/>
    <row r="207" ht="8.25" customHeight="1" x14ac:dyDescent="0.35"/>
    <row r="208" ht="8.25" customHeight="1" x14ac:dyDescent="0.35"/>
    <row r="209" ht="8.25" customHeight="1" x14ac:dyDescent="0.35"/>
    <row r="210" ht="8.25" customHeight="1" x14ac:dyDescent="0.35"/>
    <row r="211" ht="8.25" customHeight="1" x14ac:dyDescent="0.35"/>
    <row r="212" ht="8.25" customHeight="1" x14ac:dyDescent="0.35"/>
    <row r="213" ht="8.25" customHeight="1" x14ac:dyDescent="0.35"/>
    <row r="214" ht="8.25" customHeight="1" x14ac:dyDescent="0.35"/>
    <row r="215" ht="8.25" customHeight="1" x14ac:dyDescent="0.35"/>
    <row r="216" ht="8.25" customHeight="1" x14ac:dyDescent="0.35"/>
    <row r="217" ht="8.25" customHeight="1" x14ac:dyDescent="0.35"/>
    <row r="218" ht="8.25" customHeight="1" x14ac:dyDescent="0.35"/>
    <row r="219" ht="8.25" customHeight="1" x14ac:dyDescent="0.35"/>
    <row r="220" ht="8.25" customHeight="1" x14ac:dyDescent="0.35"/>
    <row r="221" ht="8.25" customHeight="1" x14ac:dyDescent="0.35"/>
    <row r="222" ht="8.25" customHeight="1" x14ac:dyDescent="0.35"/>
    <row r="223" ht="8.25" customHeight="1" x14ac:dyDescent="0.35"/>
    <row r="224" ht="8.25" customHeight="1" x14ac:dyDescent="0.35"/>
    <row r="225" ht="8.25" customHeight="1" x14ac:dyDescent="0.35"/>
    <row r="226" ht="8.25" customHeight="1" x14ac:dyDescent="0.35"/>
    <row r="227" ht="8.25" customHeight="1" x14ac:dyDescent="0.35"/>
    <row r="228" ht="8.25" customHeight="1" x14ac:dyDescent="0.35"/>
    <row r="229" ht="8.25" customHeight="1" x14ac:dyDescent="0.35"/>
    <row r="230" ht="8.25" customHeight="1" x14ac:dyDescent="0.35"/>
    <row r="231" ht="8.25" customHeight="1" x14ac:dyDescent="0.35"/>
    <row r="232" ht="8.25" customHeight="1" x14ac:dyDescent="0.35"/>
    <row r="233" ht="8.25" customHeight="1" x14ac:dyDescent="0.35"/>
    <row r="234" ht="8.25" customHeight="1" x14ac:dyDescent="0.35"/>
    <row r="235" ht="8.25" customHeight="1" x14ac:dyDescent="0.35"/>
    <row r="236" ht="8.25" customHeight="1" x14ac:dyDescent="0.35"/>
    <row r="237" ht="8.25" customHeight="1" x14ac:dyDescent="0.35"/>
    <row r="238" ht="8.25" customHeight="1" x14ac:dyDescent="0.35"/>
    <row r="239" ht="8.25" customHeight="1" x14ac:dyDescent="0.35"/>
    <row r="240" ht="8.25" customHeight="1" x14ac:dyDescent="0.35"/>
    <row r="241" ht="8.25" customHeight="1" x14ac:dyDescent="0.35"/>
    <row r="242" ht="8.25" customHeight="1" x14ac:dyDescent="0.35"/>
    <row r="243" ht="8.25" customHeight="1" x14ac:dyDescent="0.35"/>
    <row r="244" ht="8.25" customHeight="1" x14ac:dyDescent="0.35"/>
    <row r="245" ht="8.25" customHeight="1" x14ac:dyDescent="0.35"/>
    <row r="246" ht="8.25" customHeight="1" x14ac:dyDescent="0.35"/>
    <row r="247" ht="8.25" customHeight="1" x14ac:dyDescent="0.35"/>
    <row r="248" ht="8.25" customHeight="1" x14ac:dyDescent="0.35"/>
    <row r="249" ht="8.25" customHeight="1" x14ac:dyDescent="0.35"/>
    <row r="250" ht="8.25" customHeight="1" x14ac:dyDescent="0.35"/>
    <row r="251" ht="8.25" customHeight="1" x14ac:dyDescent="0.35"/>
    <row r="252" ht="8.25" customHeight="1" x14ac:dyDescent="0.35"/>
    <row r="253" ht="8.25" customHeight="1" x14ac:dyDescent="0.35"/>
    <row r="254" ht="8.25" customHeight="1" x14ac:dyDescent="0.35"/>
    <row r="255" ht="8.25" customHeight="1" x14ac:dyDescent="0.35"/>
    <row r="256" ht="8.25" customHeight="1" x14ac:dyDescent="0.35"/>
    <row r="257" ht="8.25" customHeight="1" x14ac:dyDescent="0.35"/>
    <row r="258" ht="8.25" customHeight="1" x14ac:dyDescent="0.35"/>
    <row r="259" ht="8.25" customHeight="1" x14ac:dyDescent="0.35"/>
    <row r="260" ht="8.25" customHeight="1" x14ac:dyDescent="0.35"/>
    <row r="261" ht="8.25" customHeight="1" x14ac:dyDescent="0.35"/>
    <row r="262" ht="8.25" customHeight="1" x14ac:dyDescent="0.35"/>
    <row r="263" ht="8.25" customHeight="1" x14ac:dyDescent="0.35"/>
    <row r="264" ht="8.25" customHeight="1" x14ac:dyDescent="0.35"/>
    <row r="265" ht="8.25" customHeight="1" x14ac:dyDescent="0.35"/>
    <row r="266" ht="8.25" customHeight="1" x14ac:dyDescent="0.35"/>
    <row r="267" ht="8.25" customHeight="1" x14ac:dyDescent="0.35"/>
    <row r="268" ht="8.25" customHeight="1" x14ac:dyDescent="0.35"/>
    <row r="269" ht="8.25" customHeight="1" x14ac:dyDescent="0.35"/>
    <row r="270" ht="8.25" customHeight="1" x14ac:dyDescent="0.35"/>
    <row r="271" ht="8.25" customHeight="1" x14ac:dyDescent="0.35"/>
    <row r="272" ht="8.25" customHeight="1" x14ac:dyDescent="0.35"/>
    <row r="273" ht="8.25" customHeight="1" x14ac:dyDescent="0.35"/>
    <row r="274" ht="8.25" customHeight="1" x14ac:dyDescent="0.35"/>
    <row r="275" ht="8.25" customHeight="1" x14ac:dyDescent="0.35"/>
    <row r="276" ht="8.25" customHeight="1" x14ac:dyDescent="0.35"/>
    <row r="277" ht="8.25" customHeight="1" x14ac:dyDescent="0.35"/>
    <row r="278" ht="8.25" customHeight="1" x14ac:dyDescent="0.35"/>
    <row r="279" ht="8.25" customHeight="1" x14ac:dyDescent="0.35"/>
    <row r="280" ht="8.25" customHeight="1" x14ac:dyDescent="0.35"/>
    <row r="281" ht="8.25" customHeight="1" x14ac:dyDescent="0.35"/>
    <row r="282" ht="8.25" customHeight="1" x14ac:dyDescent="0.35"/>
    <row r="283" ht="8.25" customHeight="1" x14ac:dyDescent="0.35"/>
    <row r="284" ht="8.25" customHeight="1" x14ac:dyDescent="0.35"/>
    <row r="285" ht="8.25" customHeight="1" x14ac:dyDescent="0.35"/>
    <row r="286" ht="8.25" customHeight="1" x14ac:dyDescent="0.35"/>
    <row r="287" ht="8.25" customHeight="1" x14ac:dyDescent="0.35"/>
    <row r="288" ht="8.25" customHeight="1" x14ac:dyDescent="0.35"/>
    <row r="289" ht="8.25" customHeight="1" x14ac:dyDescent="0.35"/>
    <row r="290" ht="8.25" customHeight="1" x14ac:dyDescent="0.35"/>
    <row r="291" ht="8.25" customHeight="1" x14ac:dyDescent="0.35"/>
    <row r="292" ht="8.25" customHeight="1" x14ac:dyDescent="0.35"/>
    <row r="293" ht="8.25" customHeight="1" x14ac:dyDescent="0.35"/>
    <row r="294" ht="8.25" customHeight="1" x14ac:dyDescent="0.35"/>
    <row r="295" ht="8.25" customHeight="1" x14ac:dyDescent="0.35"/>
    <row r="296" ht="8.25" customHeight="1" x14ac:dyDescent="0.35"/>
    <row r="297" ht="8.25" customHeight="1" x14ac:dyDescent="0.35"/>
    <row r="298" ht="8.25" customHeight="1" x14ac:dyDescent="0.35"/>
    <row r="299" ht="8.25" customHeight="1" x14ac:dyDescent="0.35"/>
    <row r="300" ht="8.25" customHeight="1" x14ac:dyDescent="0.35"/>
    <row r="301" ht="8.25" customHeight="1" x14ac:dyDescent="0.35"/>
    <row r="302" ht="8.25" customHeight="1" x14ac:dyDescent="0.35"/>
    <row r="303" ht="8.25" customHeight="1" x14ac:dyDescent="0.35"/>
    <row r="304" ht="8.25" customHeight="1" x14ac:dyDescent="0.35"/>
    <row r="305" ht="8.25" customHeight="1" x14ac:dyDescent="0.35"/>
    <row r="306" ht="8.25" customHeight="1" x14ac:dyDescent="0.35"/>
    <row r="307" ht="8.25" customHeight="1" x14ac:dyDescent="0.35"/>
    <row r="308" ht="8.25" customHeight="1" x14ac:dyDescent="0.35"/>
    <row r="309" ht="8.25" customHeight="1" x14ac:dyDescent="0.35"/>
    <row r="310" ht="8.25" customHeight="1" x14ac:dyDescent="0.35"/>
    <row r="311" ht="8.25" customHeight="1" x14ac:dyDescent="0.35"/>
    <row r="312" ht="8.25" customHeight="1" x14ac:dyDescent="0.35"/>
    <row r="313" ht="8.25" customHeight="1" x14ac:dyDescent="0.35"/>
    <row r="314" ht="8.25" customHeight="1" x14ac:dyDescent="0.35"/>
    <row r="315" ht="8.25" customHeight="1" x14ac:dyDescent="0.35"/>
    <row r="316" ht="8.25" customHeight="1" x14ac:dyDescent="0.35"/>
    <row r="317" ht="8.25" customHeight="1" x14ac:dyDescent="0.35"/>
    <row r="318" ht="8.25" customHeight="1" x14ac:dyDescent="0.35"/>
    <row r="319" ht="8.25" customHeight="1" x14ac:dyDescent="0.35"/>
    <row r="320" ht="8.25" customHeight="1" x14ac:dyDescent="0.35"/>
    <row r="321" spans="37:38" ht="8.25" customHeight="1" x14ac:dyDescent="0.35"/>
    <row r="322" spans="37:38" ht="8.25" customHeight="1" x14ac:dyDescent="0.35"/>
    <row r="323" spans="37:38" ht="8.25" customHeight="1" x14ac:dyDescent="0.35"/>
    <row r="324" spans="37:38" ht="8.25" customHeight="1" x14ac:dyDescent="0.35"/>
    <row r="325" spans="37:38" ht="8.25" customHeight="1" x14ac:dyDescent="0.35">
      <c r="AK325" s="139"/>
      <c r="AL325" s="138"/>
    </row>
  </sheetData>
  <mergeCells count="3">
    <mergeCell ref="U3:BJ3"/>
    <mergeCell ref="U2:BJ2"/>
    <mergeCell ref="BM2:CK4"/>
  </mergeCells>
  <pageMargins left="0.7" right="0.7" top="0.75" bottom="0.75" header="0.3" footer="0.3"/>
  <customProperties>
    <customPr name="QAA_DRILLPATH_NODE_ID" r:id="rId1"/>
  </customPropertie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DS325"/>
  <sheetViews>
    <sheetView workbookViewId="0">
      <selection activeCell="BL170" sqref="BL170"/>
    </sheetView>
  </sheetViews>
  <sheetFormatPr baseColWidth="10" defaultColWidth="1.5" defaultRowHeight="15.5" x14ac:dyDescent="0.35"/>
  <sheetData>
    <row r="1" spans="10:91" ht="7.5" customHeight="1" x14ac:dyDescent="0.35">
      <c r="L1" s="135"/>
      <c r="M1" s="135"/>
      <c r="N1" s="135"/>
      <c r="O1" s="135"/>
      <c r="P1" s="135"/>
      <c r="Q1" s="135"/>
      <c r="R1" s="135"/>
      <c r="S1" s="135"/>
      <c r="T1" s="887" t="s">
        <v>2073</v>
      </c>
      <c r="U1" s="887"/>
      <c r="V1" s="887"/>
      <c r="W1" s="887"/>
      <c r="X1" s="887"/>
      <c r="Y1" s="887"/>
      <c r="Z1" s="887"/>
      <c r="AA1" s="887"/>
      <c r="AB1" s="887"/>
      <c r="AC1" s="887"/>
      <c r="AD1" s="887"/>
      <c r="AE1" s="887"/>
      <c r="AF1" s="887"/>
      <c r="AG1" s="887"/>
      <c r="AH1" s="887"/>
      <c r="AI1" s="887"/>
      <c r="AJ1" s="887"/>
      <c r="AK1" s="887"/>
      <c r="AL1" s="887"/>
      <c r="AM1" s="887"/>
      <c r="AN1" s="887"/>
      <c r="AO1" s="887"/>
      <c r="AP1" s="887"/>
      <c r="AQ1" s="887"/>
      <c r="AR1" s="887"/>
      <c r="AS1" s="887"/>
      <c r="AT1" s="887"/>
      <c r="AU1" s="887"/>
      <c r="AV1" s="887"/>
      <c r="AW1" s="887"/>
      <c r="AX1" s="887"/>
      <c r="AY1" s="887"/>
      <c r="AZ1" s="887"/>
      <c r="BA1" s="887"/>
      <c r="BB1" s="887"/>
      <c r="BC1" s="887"/>
      <c r="BD1" s="887"/>
      <c r="BE1" s="887"/>
      <c r="BF1" s="887"/>
      <c r="BG1" s="887"/>
      <c r="BH1" s="887"/>
      <c r="BI1" s="887"/>
    </row>
    <row r="2" spans="10:91" ht="7.5" customHeight="1" x14ac:dyDescent="0.35">
      <c r="L2" s="135"/>
      <c r="M2" s="135"/>
      <c r="N2" s="135"/>
      <c r="O2" s="135"/>
      <c r="P2" s="135"/>
      <c r="Q2" s="135"/>
      <c r="R2" s="135"/>
      <c r="S2" s="135"/>
      <c r="T2" s="887"/>
      <c r="U2" s="887"/>
      <c r="V2" s="887"/>
      <c r="W2" s="887"/>
      <c r="X2" s="887"/>
      <c r="Y2" s="887"/>
      <c r="Z2" s="887"/>
      <c r="AA2" s="887"/>
      <c r="AB2" s="887"/>
      <c r="AC2" s="887"/>
      <c r="AD2" s="887"/>
      <c r="AE2" s="887"/>
      <c r="AF2" s="887"/>
      <c r="AG2" s="887"/>
      <c r="AH2" s="887"/>
      <c r="AI2" s="887"/>
      <c r="AJ2" s="887"/>
      <c r="AK2" s="887"/>
      <c r="AL2" s="887"/>
      <c r="AM2" s="887"/>
      <c r="AN2" s="887"/>
      <c r="AO2" s="887"/>
      <c r="AP2" s="887"/>
      <c r="AQ2" s="887"/>
      <c r="AR2" s="887"/>
      <c r="AS2" s="887"/>
      <c r="AT2" s="887"/>
      <c r="AU2" s="887"/>
      <c r="AV2" s="887"/>
      <c r="AW2" s="887"/>
      <c r="AX2" s="887"/>
      <c r="AY2" s="887"/>
      <c r="AZ2" s="887"/>
      <c r="BA2" s="887"/>
      <c r="BB2" s="887"/>
      <c r="BC2" s="887"/>
      <c r="BD2" s="887"/>
      <c r="BE2" s="887"/>
      <c r="BF2" s="887"/>
      <c r="BG2" s="887"/>
      <c r="BH2" s="887"/>
      <c r="BI2" s="887"/>
    </row>
    <row r="3" spans="10:91" ht="22.5" customHeight="1" thickBot="1" x14ac:dyDescent="0.4">
      <c r="L3" s="135"/>
      <c r="M3" s="135"/>
      <c r="N3" s="135"/>
      <c r="O3" s="135"/>
      <c r="P3" s="135"/>
      <c r="Q3" s="135"/>
      <c r="R3" s="135"/>
      <c r="T3" s="888"/>
      <c r="U3" s="888"/>
      <c r="V3" s="888"/>
      <c r="W3" s="888"/>
      <c r="X3" s="888"/>
      <c r="Y3" s="888"/>
      <c r="Z3" s="888"/>
      <c r="AA3" s="888"/>
      <c r="AB3" s="888"/>
      <c r="AC3" s="888"/>
      <c r="AD3" s="888"/>
      <c r="AE3" s="888"/>
      <c r="AF3" s="888"/>
      <c r="AG3" s="888"/>
      <c r="AH3" s="888"/>
      <c r="AI3" s="888"/>
      <c r="AJ3" s="888"/>
      <c r="AK3" s="888"/>
      <c r="AL3" s="888"/>
      <c r="AM3" s="888"/>
      <c r="AN3" s="888"/>
      <c r="AO3" s="888"/>
      <c r="AP3" s="888"/>
      <c r="AQ3" s="888"/>
      <c r="AR3" s="888"/>
      <c r="AS3" s="888"/>
      <c r="AT3" s="888"/>
      <c r="AU3" s="888"/>
      <c r="AV3" s="888"/>
      <c r="AW3" s="888"/>
      <c r="AX3" s="888"/>
      <c r="AY3" s="888"/>
      <c r="AZ3" s="888"/>
      <c r="BA3" s="888"/>
      <c r="BB3" s="888"/>
      <c r="BC3" s="888"/>
      <c r="BD3" s="888"/>
      <c r="BE3" s="888"/>
      <c r="BF3" s="888"/>
      <c r="BG3" s="888"/>
      <c r="BH3" s="888"/>
      <c r="BI3" s="888"/>
      <c r="BJ3" s="136"/>
      <c r="BK3" s="136"/>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row>
    <row r="4" spans="10:91" ht="7.5" customHeight="1" x14ac:dyDescent="0.35">
      <c r="L4" s="135"/>
      <c r="M4" s="135"/>
      <c r="N4" s="135"/>
      <c r="O4" s="135"/>
      <c r="P4" s="135"/>
      <c r="Q4" s="135"/>
      <c r="R4" s="135"/>
      <c r="T4" s="130"/>
      <c r="U4" s="130"/>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0"/>
      <c r="BG4" s="130"/>
      <c r="BH4" s="130"/>
      <c r="BI4" s="130"/>
      <c r="BJ4" s="130"/>
      <c r="BK4" s="130"/>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row>
    <row r="5" spans="10:91" ht="7.5" customHeight="1" x14ac:dyDescent="0.35">
      <c r="BL5" s="145"/>
      <c r="BM5" s="145"/>
      <c r="BN5" s="145"/>
      <c r="BO5" s="145"/>
      <c r="BP5" s="145"/>
      <c r="BQ5" s="145"/>
      <c r="BR5" s="145"/>
      <c r="BS5" s="145"/>
      <c r="BT5" s="145"/>
      <c r="BU5" s="145"/>
      <c r="BV5" s="145"/>
      <c r="BW5" s="145"/>
      <c r="BX5" s="145"/>
      <c r="BY5" s="145"/>
      <c r="BZ5" s="145"/>
      <c r="CA5" s="145"/>
      <c r="CB5" s="145"/>
      <c r="CC5" s="145"/>
      <c r="CD5" s="145"/>
      <c r="CE5" s="145"/>
      <c r="CF5" s="145"/>
      <c r="CG5" s="145"/>
      <c r="CH5" s="145"/>
      <c r="CI5" s="145"/>
      <c r="CJ5" s="145"/>
      <c r="CK5" s="145"/>
      <c r="CL5" s="145"/>
      <c r="CM5" s="145"/>
    </row>
    <row r="6" spans="10:91" ht="7.5" customHeight="1" x14ac:dyDescent="0.35">
      <c r="BL6" s="145"/>
      <c r="BM6" s="145"/>
      <c r="BN6" s="145"/>
      <c r="BO6" s="145"/>
      <c r="BP6" s="145"/>
      <c r="BQ6" s="145"/>
      <c r="BR6" s="145"/>
      <c r="BS6" s="145"/>
      <c r="BT6" s="145"/>
      <c r="BU6" s="145"/>
      <c r="BV6" s="145"/>
      <c r="BW6" s="145"/>
      <c r="BX6" s="145"/>
      <c r="BY6" s="145"/>
      <c r="BZ6" s="145"/>
      <c r="CA6" s="145"/>
      <c r="CB6" s="145"/>
      <c r="CC6" s="145"/>
      <c r="CD6" s="145"/>
      <c r="CE6" s="145"/>
      <c r="CF6" s="145"/>
      <c r="CG6" s="145"/>
      <c r="CH6" s="145"/>
      <c r="CI6" s="145"/>
      <c r="CJ6" s="145"/>
      <c r="CK6" s="145"/>
      <c r="CL6" s="145"/>
      <c r="CM6" s="145"/>
    </row>
    <row r="7" spans="10:91" ht="7.5" customHeight="1" x14ac:dyDescent="0.35">
      <c r="AN7" s="138"/>
      <c r="BL7" s="145"/>
      <c r="BM7" s="145"/>
      <c r="BN7" s="145"/>
      <c r="BO7" s="145"/>
      <c r="BP7" s="145"/>
      <c r="BQ7" s="145"/>
      <c r="BR7" s="145"/>
      <c r="BS7" s="145"/>
      <c r="BT7" s="145"/>
      <c r="BU7" s="145"/>
      <c r="BV7" s="145"/>
      <c r="BW7" s="145"/>
      <c r="BX7" s="145"/>
      <c r="BY7" s="145"/>
      <c r="BZ7" s="145"/>
      <c r="CA7" s="145"/>
      <c r="CB7" s="145"/>
      <c r="CC7" s="145"/>
      <c r="CD7" s="145"/>
      <c r="CE7" s="145"/>
      <c r="CF7" s="145"/>
      <c r="CG7" s="145"/>
      <c r="CH7" s="145"/>
      <c r="CI7" s="145"/>
      <c r="CJ7" s="145"/>
      <c r="CK7" s="145"/>
      <c r="CL7" s="145"/>
      <c r="CM7" s="145"/>
    </row>
    <row r="8" spans="10:91" ht="7.5" customHeight="1" x14ac:dyDescent="0.35">
      <c r="J8" s="138"/>
      <c r="Q8" s="138"/>
      <c r="AI8" s="138"/>
    </row>
    <row r="9" spans="10:91" ht="7.5" customHeight="1" x14ac:dyDescent="0.35">
      <c r="J9" s="138"/>
    </row>
    <row r="10" spans="10:91" ht="7.5" customHeight="1" x14ac:dyDescent="0.35"/>
    <row r="11" spans="10:91" ht="7.5" customHeight="1" x14ac:dyDescent="0.35"/>
    <row r="12" spans="10:91" ht="7.5" customHeight="1" x14ac:dyDescent="0.35">
      <c r="Z12" s="139"/>
    </row>
    <row r="13" spans="10:91" ht="7.5" customHeight="1" x14ac:dyDescent="0.35"/>
    <row r="14" spans="10:91" ht="7.5" customHeight="1" x14ac:dyDescent="0.35"/>
    <row r="15" spans="10:91" ht="7.5" customHeight="1" x14ac:dyDescent="0.35"/>
    <row r="16" spans="10:91" ht="7.5" customHeight="1" x14ac:dyDescent="0.35">
      <c r="BB16" s="138"/>
    </row>
    <row r="17" spans="1:111" ht="7.5" customHeight="1" x14ac:dyDescent="0.35"/>
    <row r="18" spans="1:111" ht="7.5" customHeight="1" x14ac:dyDescent="0.35">
      <c r="AJ18" s="138"/>
      <c r="BC18" s="138"/>
      <c r="BE18" s="138"/>
      <c r="BG18" s="138"/>
      <c r="DG18" s="140"/>
    </row>
    <row r="19" spans="1:111" ht="7.5" customHeight="1" x14ac:dyDescent="0.35"/>
    <row r="20" spans="1:111" ht="7.5" customHeight="1" x14ac:dyDescent="0.35"/>
    <row r="21" spans="1:111" ht="7.5" customHeight="1" x14ac:dyDescent="0.35"/>
    <row r="22" spans="1:111" ht="7.5" customHeight="1" x14ac:dyDescent="0.35">
      <c r="I22" s="138"/>
      <c r="AE22" s="138"/>
      <c r="AN22" s="138"/>
    </row>
    <row r="23" spans="1:111" ht="7.5" customHeight="1" x14ac:dyDescent="0.35"/>
    <row r="24" spans="1:111" ht="7.5" customHeight="1" x14ac:dyDescent="0.35">
      <c r="BH24" s="138"/>
    </row>
    <row r="25" spans="1:111" ht="7.5" customHeight="1" x14ac:dyDescent="0.35">
      <c r="A25" s="146"/>
    </row>
    <row r="26" spans="1:111" ht="7.5" customHeight="1" x14ac:dyDescent="0.35">
      <c r="F26" s="138"/>
      <c r="AV26" s="138"/>
    </row>
    <row r="27" spans="1:111" ht="7.5" customHeight="1" x14ac:dyDescent="0.35"/>
    <row r="28" spans="1:111" ht="7.5" customHeight="1" x14ac:dyDescent="0.35">
      <c r="O28" s="138"/>
      <c r="AN28" s="138"/>
      <c r="AU28" s="138"/>
      <c r="BC28" s="138"/>
    </row>
    <row r="29" spans="1:111" ht="7.5" customHeight="1" x14ac:dyDescent="0.35">
      <c r="AT29" s="139"/>
    </row>
    <row r="30" spans="1:111" ht="7.5" customHeight="1" x14ac:dyDescent="0.35"/>
    <row r="31" spans="1:111" ht="7.5" customHeight="1" x14ac:dyDescent="0.35">
      <c r="AM31" s="138"/>
    </row>
    <row r="32" spans="1:111" ht="7.5" customHeight="1" x14ac:dyDescent="0.35"/>
    <row r="33" spans="1:47" ht="7.5" customHeight="1" x14ac:dyDescent="0.35">
      <c r="I33" s="138"/>
      <c r="O33" s="138"/>
    </row>
    <row r="34" spans="1:47" ht="7.5" customHeight="1" x14ac:dyDescent="0.35">
      <c r="AE34" s="138"/>
      <c r="AL34" s="138"/>
      <c r="AN34" s="141"/>
    </row>
    <row r="35" spans="1:47" ht="7.5" customHeight="1" x14ac:dyDescent="0.35"/>
    <row r="36" spans="1:47" ht="7.5" customHeight="1" x14ac:dyDescent="0.35"/>
    <row r="37" spans="1:47" ht="7.5" customHeight="1" x14ac:dyDescent="0.35">
      <c r="AN37" s="138"/>
    </row>
    <row r="38" spans="1:47" ht="7.5" customHeight="1" x14ac:dyDescent="0.35">
      <c r="A38" s="146"/>
    </row>
    <row r="39" spans="1:47" ht="7.5" customHeight="1" x14ac:dyDescent="0.35"/>
    <row r="40" spans="1:47" ht="7.5" customHeight="1" x14ac:dyDescent="0.35"/>
    <row r="41" spans="1:47" ht="7.5" customHeight="1" x14ac:dyDescent="0.35">
      <c r="J41" s="138"/>
      <c r="M41" s="138"/>
      <c r="AO41" s="138"/>
    </row>
    <row r="42" spans="1:47" ht="7.5" customHeight="1" x14ac:dyDescent="0.35"/>
    <row r="43" spans="1:47" ht="7.5" customHeight="1" x14ac:dyDescent="0.35">
      <c r="AQ43" s="138"/>
    </row>
    <row r="44" spans="1:47" ht="7.5" customHeight="1" x14ac:dyDescent="0.35"/>
    <row r="45" spans="1:47" ht="7.5" customHeight="1" x14ac:dyDescent="0.35"/>
    <row r="46" spans="1:47" ht="7.5" customHeight="1" x14ac:dyDescent="0.35">
      <c r="AU46" s="138"/>
    </row>
    <row r="47" spans="1:47" ht="7.5" customHeight="1" x14ac:dyDescent="0.35"/>
    <row r="48" spans="1:47" ht="7.5" customHeight="1" x14ac:dyDescent="0.35"/>
    <row r="49" spans="23:55" ht="7.5" customHeight="1" x14ac:dyDescent="0.35">
      <c r="AQ49" s="138"/>
    </row>
    <row r="50" spans="23:55" ht="7.5" customHeight="1" x14ac:dyDescent="0.35"/>
    <row r="51" spans="23:55" ht="7.5" customHeight="1" x14ac:dyDescent="0.35">
      <c r="AP51" s="139"/>
      <c r="AX51" s="138"/>
    </row>
    <row r="52" spans="23:55" ht="7.5" customHeight="1" x14ac:dyDescent="0.35"/>
    <row r="53" spans="23:55" ht="7.5" customHeight="1" x14ac:dyDescent="0.35">
      <c r="W53" s="138"/>
      <c r="AY53" s="138"/>
    </row>
    <row r="54" spans="23:55" ht="7.5" customHeight="1" x14ac:dyDescent="0.35"/>
    <row r="55" spans="23:55" ht="7.5" customHeight="1" x14ac:dyDescent="0.35">
      <c r="BC55" s="138"/>
    </row>
    <row r="56" spans="23:55" ht="7.5" customHeight="1" x14ac:dyDescent="0.35"/>
    <row r="57" spans="23:55" ht="7.5" customHeight="1" x14ac:dyDescent="0.35"/>
    <row r="58" spans="23:55" ht="7.5" customHeight="1" x14ac:dyDescent="0.35"/>
    <row r="59" spans="23:55" ht="7.5" customHeight="1" x14ac:dyDescent="0.35"/>
    <row r="60" spans="23:55" ht="7.5" customHeight="1" x14ac:dyDescent="0.35"/>
    <row r="61" spans="23:55" ht="7.5" customHeight="1" x14ac:dyDescent="0.35"/>
    <row r="62" spans="23:55" ht="7.5" customHeight="1" x14ac:dyDescent="0.35"/>
    <row r="63" spans="23:55" ht="7.5" customHeight="1" x14ac:dyDescent="0.35"/>
    <row r="64" spans="23:55" ht="7.5" customHeight="1" x14ac:dyDescent="0.35"/>
    <row r="65" spans="59:100" ht="7.5" customHeight="1" x14ac:dyDescent="0.35">
      <c r="BG65" s="129"/>
      <c r="BH65" s="129"/>
      <c r="BI65" s="129"/>
      <c r="BJ65" s="129"/>
      <c r="BK65" s="129"/>
      <c r="BL65" s="129"/>
      <c r="BM65" s="129"/>
      <c r="BN65" s="129"/>
      <c r="BO65" s="129"/>
      <c r="BP65" s="129"/>
      <c r="BQ65" s="129"/>
      <c r="BR65" s="129"/>
      <c r="BS65" s="129"/>
      <c r="BT65" s="129"/>
      <c r="BU65" s="129"/>
      <c r="BV65" s="129"/>
      <c r="BW65" s="129"/>
      <c r="BX65" s="129"/>
      <c r="BY65" s="129"/>
      <c r="BZ65" s="129"/>
      <c r="CA65" s="129"/>
      <c r="CB65" s="129"/>
      <c r="CC65" s="129"/>
      <c r="CD65" s="129"/>
      <c r="CE65" s="129"/>
      <c r="CF65" s="129"/>
      <c r="CG65" s="129"/>
      <c r="CH65" s="129"/>
      <c r="CI65" s="129"/>
      <c r="CJ65" s="129"/>
      <c r="CK65" s="129"/>
      <c r="CL65" s="129"/>
      <c r="CM65" s="129"/>
      <c r="CN65" s="129"/>
      <c r="CO65" s="129"/>
      <c r="CP65" s="129"/>
      <c r="CQ65" s="129"/>
      <c r="CR65" s="129"/>
      <c r="CS65" s="129"/>
      <c r="CT65" s="129"/>
      <c r="CU65" s="129"/>
      <c r="CV65" s="129"/>
    </row>
    <row r="66" spans="59:100" ht="7.5" customHeight="1" x14ac:dyDescent="0.35">
      <c r="BG66" s="129"/>
      <c r="BH66" s="129"/>
      <c r="BI66" s="129"/>
      <c r="BJ66" s="129"/>
      <c r="BK66" s="129"/>
      <c r="BL66" s="129"/>
      <c r="BM66" s="129"/>
      <c r="BN66" s="129"/>
      <c r="BO66" s="129"/>
      <c r="BP66" s="129"/>
      <c r="BQ66" s="129"/>
      <c r="BR66" s="129"/>
      <c r="BS66" s="129"/>
      <c r="BT66" s="129"/>
      <c r="BU66" s="129"/>
      <c r="BV66" s="129"/>
      <c r="BW66" s="129"/>
      <c r="BX66" s="129"/>
      <c r="BY66" s="129"/>
      <c r="BZ66" s="129"/>
      <c r="CA66" s="129"/>
      <c r="CB66" s="129"/>
      <c r="CC66" s="129"/>
      <c r="CD66" s="129"/>
      <c r="CE66" s="129"/>
      <c r="CF66" s="129"/>
      <c r="CG66" s="129"/>
      <c r="CH66" s="129"/>
      <c r="CI66" s="129"/>
      <c r="CJ66" s="129"/>
      <c r="CK66" s="129"/>
      <c r="CL66" s="129"/>
      <c r="CM66" s="129"/>
      <c r="CN66" s="129"/>
      <c r="CO66" s="129"/>
      <c r="CP66" s="129"/>
      <c r="CQ66" s="129"/>
      <c r="CR66" s="129"/>
      <c r="CS66" s="129"/>
      <c r="CT66" s="129"/>
      <c r="CU66" s="129"/>
      <c r="CV66" s="129"/>
    </row>
    <row r="67" spans="59:100" ht="7.5" customHeight="1" x14ac:dyDescent="0.35">
      <c r="BG67" s="129"/>
      <c r="BH67" s="129"/>
      <c r="BI67" s="129"/>
      <c r="BJ67" s="129"/>
      <c r="BK67" s="129"/>
      <c r="BL67" s="129"/>
      <c r="BM67" s="129"/>
      <c r="BN67" s="129"/>
      <c r="BO67" s="129"/>
      <c r="BP67" s="129"/>
      <c r="BQ67" s="129"/>
      <c r="BR67" s="129"/>
      <c r="BS67" s="129"/>
      <c r="BT67" s="129"/>
      <c r="BU67" s="129"/>
      <c r="BV67" s="129"/>
      <c r="BW67" s="129"/>
      <c r="BX67" s="129"/>
      <c r="BY67" s="129"/>
      <c r="BZ67" s="129"/>
      <c r="CA67" s="129"/>
      <c r="CB67" s="129"/>
      <c r="CC67" s="129"/>
      <c r="CD67" s="129"/>
      <c r="CE67" s="129"/>
      <c r="CF67" s="129"/>
      <c r="CG67" s="129"/>
      <c r="CH67" s="129"/>
      <c r="CI67" s="129"/>
      <c r="CJ67" s="129"/>
      <c r="CK67" s="129"/>
      <c r="CL67" s="129"/>
      <c r="CM67" s="129"/>
      <c r="CN67" s="129"/>
      <c r="CO67" s="129"/>
      <c r="CP67" s="129"/>
      <c r="CQ67" s="129"/>
      <c r="CR67" s="129"/>
      <c r="CS67" s="129"/>
      <c r="CT67" s="129"/>
      <c r="CU67" s="129"/>
      <c r="CV67" s="129"/>
    </row>
    <row r="68" spans="59:100" ht="7.5" customHeight="1" x14ac:dyDescent="0.35"/>
    <row r="69" spans="59:100" ht="7.5" customHeight="1" x14ac:dyDescent="0.35"/>
    <row r="70" spans="59:100" ht="7.5" customHeight="1" x14ac:dyDescent="0.35"/>
    <row r="71" spans="59:100" ht="7.5" customHeight="1" x14ac:dyDescent="0.35"/>
    <row r="72" spans="59:100" ht="7.5" customHeight="1" x14ac:dyDescent="0.35"/>
    <row r="73" spans="59:100" ht="7.5" customHeight="1" x14ac:dyDescent="0.35"/>
    <row r="74" spans="59:100" ht="7.5" customHeight="1" x14ac:dyDescent="0.35"/>
    <row r="75" spans="59:100" ht="7.5" customHeight="1" x14ac:dyDescent="0.35"/>
    <row r="76" spans="59:100" ht="7.5" customHeight="1" x14ac:dyDescent="0.35"/>
    <row r="77" spans="59:100" ht="7.5" customHeight="1" x14ac:dyDescent="0.35"/>
    <row r="78" spans="59:100" ht="7.5" customHeight="1" x14ac:dyDescent="0.35"/>
    <row r="79" spans="59:100" ht="7.5" customHeight="1" x14ac:dyDescent="0.35"/>
    <row r="80" spans="59:100" ht="7.5" customHeight="1" x14ac:dyDescent="0.35"/>
    <row r="81" spans="123:123" ht="7.5" customHeight="1" x14ac:dyDescent="0.35"/>
    <row r="82" spans="123:123" ht="7.5" customHeight="1" x14ac:dyDescent="0.35"/>
    <row r="83" spans="123:123" ht="7.5" customHeight="1" x14ac:dyDescent="0.35"/>
    <row r="84" spans="123:123" ht="7.5" customHeight="1" x14ac:dyDescent="0.35"/>
    <row r="85" spans="123:123" ht="7.5" customHeight="1" x14ac:dyDescent="0.35"/>
    <row r="86" spans="123:123" ht="7.5" customHeight="1" x14ac:dyDescent="0.35"/>
    <row r="87" spans="123:123" ht="7.5" customHeight="1" x14ac:dyDescent="0.35"/>
    <row r="88" spans="123:123" ht="7.5" customHeight="1" x14ac:dyDescent="0.35"/>
    <row r="89" spans="123:123" ht="7.5" customHeight="1" x14ac:dyDescent="0.35"/>
    <row r="90" spans="123:123" ht="7.5" customHeight="1" x14ac:dyDescent="0.35"/>
    <row r="91" spans="123:123" ht="7.5" customHeight="1" x14ac:dyDescent="0.35">
      <c r="DS91" s="140"/>
    </row>
    <row r="92" spans="123:123" ht="7.5" customHeight="1" x14ac:dyDescent="0.35"/>
    <row r="93" spans="123:123" ht="7.5" customHeight="1" x14ac:dyDescent="0.35"/>
    <row r="94" spans="123:123" ht="7.5" customHeight="1" x14ac:dyDescent="0.35"/>
    <row r="95" spans="123:123" ht="7.5" customHeight="1" x14ac:dyDescent="0.35"/>
    <row r="96" spans="123:123" ht="7.5" customHeight="1" x14ac:dyDescent="0.35"/>
    <row r="97" ht="7.5" customHeight="1" x14ac:dyDescent="0.35"/>
    <row r="98" ht="7.5" customHeight="1" x14ac:dyDescent="0.35"/>
    <row r="99" ht="7.5" customHeight="1" x14ac:dyDescent="0.35"/>
    <row r="100" ht="7.5" customHeight="1" x14ac:dyDescent="0.35"/>
    <row r="101" ht="7.5" customHeight="1" x14ac:dyDescent="0.35"/>
    <row r="102" ht="7.5" customHeight="1" x14ac:dyDescent="0.35"/>
    <row r="103" ht="7.5" customHeight="1" x14ac:dyDescent="0.35"/>
    <row r="104" ht="7.5" customHeight="1" x14ac:dyDescent="0.35"/>
    <row r="105" ht="7.5" customHeight="1" x14ac:dyDescent="0.35"/>
    <row r="106" ht="7.5" customHeight="1" x14ac:dyDescent="0.35"/>
    <row r="107" ht="7.5" customHeight="1" x14ac:dyDescent="0.35"/>
    <row r="108" ht="7.5" customHeight="1" x14ac:dyDescent="0.35"/>
    <row r="109" ht="7.5" customHeight="1" x14ac:dyDescent="0.35"/>
    <row r="110" ht="7.5" customHeight="1" x14ac:dyDescent="0.35"/>
    <row r="111" ht="7.5" customHeight="1" x14ac:dyDescent="0.35"/>
    <row r="112" ht="7.5" customHeight="1" x14ac:dyDescent="0.35"/>
    <row r="113" spans="29:43" ht="7.5" customHeight="1" x14ac:dyDescent="0.35"/>
    <row r="114" spans="29:43" ht="7.5" customHeight="1" x14ac:dyDescent="0.35">
      <c r="AC114" s="142"/>
    </row>
    <row r="115" spans="29:43" ht="7.5" customHeight="1" x14ac:dyDescent="0.35"/>
    <row r="116" spans="29:43" ht="7.5" customHeight="1" x14ac:dyDescent="0.35"/>
    <row r="117" spans="29:43" ht="7.5" customHeight="1" x14ac:dyDescent="0.35"/>
    <row r="118" spans="29:43" ht="7.5" customHeight="1" x14ac:dyDescent="0.35"/>
    <row r="119" spans="29:43" ht="7.5" customHeight="1" x14ac:dyDescent="0.35"/>
    <row r="120" spans="29:43" ht="7.5" customHeight="1" x14ac:dyDescent="0.35">
      <c r="AQ120" s="143"/>
    </row>
    <row r="121" spans="29:43" ht="7.5" customHeight="1" x14ac:dyDescent="0.35"/>
    <row r="122" spans="29:43" ht="7.5" customHeight="1" x14ac:dyDescent="0.35"/>
    <row r="123" spans="29:43" ht="7.5" customHeight="1" x14ac:dyDescent="0.35"/>
    <row r="124" spans="29:43" ht="7.5" customHeight="1" x14ac:dyDescent="0.35"/>
    <row r="125" spans="29:43" ht="7.5" customHeight="1" x14ac:dyDescent="0.35"/>
    <row r="126" spans="29:43" ht="7.5" customHeight="1" x14ac:dyDescent="0.35"/>
    <row r="127" spans="29:43" ht="7.5" customHeight="1" x14ac:dyDescent="0.35"/>
    <row r="128" spans="29:43" ht="7.5" customHeight="1" x14ac:dyDescent="0.35"/>
    <row r="129" ht="7.5" customHeight="1" x14ac:dyDescent="0.35"/>
    <row r="130" ht="7.5" customHeight="1" x14ac:dyDescent="0.35"/>
    <row r="131" ht="7.5" customHeight="1" x14ac:dyDescent="0.35"/>
    <row r="132" ht="7.5" customHeight="1" x14ac:dyDescent="0.35"/>
    <row r="133" ht="7.5" customHeight="1" x14ac:dyDescent="0.35"/>
    <row r="134" ht="7.5" customHeight="1" x14ac:dyDescent="0.35"/>
    <row r="135" ht="7.5" customHeight="1" x14ac:dyDescent="0.35"/>
    <row r="136" ht="7.5" customHeight="1" x14ac:dyDescent="0.35"/>
    <row r="137" ht="7.5" customHeight="1" x14ac:dyDescent="0.35"/>
    <row r="138" ht="7.5" customHeight="1" x14ac:dyDescent="0.35"/>
    <row r="139" ht="7.5" customHeight="1" x14ac:dyDescent="0.35"/>
    <row r="140" ht="7.5" customHeight="1" x14ac:dyDescent="0.35"/>
    <row r="141" ht="7.5" customHeight="1" x14ac:dyDescent="0.35"/>
    <row r="142" ht="7.5" customHeight="1" x14ac:dyDescent="0.35"/>
    <row r="143" ht="7.5" customHeight="1" x14ac:dyDescent="0.35"/>
    <row r="144" ht="7.5" customHeight="1" x14ac:dyDescent="0.35"/>
    <row r="145" ht="7.5" customHeight="1" x14ac:dyDescent="0.35"/>
    <row r="146" ht="7.5" customHeight="1" x14ac:dyDescent="0.35"/>
    <row r="147" ht="7.5" customHeight="1" x14ac:dyDescent="0.35"/>
    <row r="148" ht="7.5" customHeight="1" x14ac:dyDescent="0.35"/>
    <row r="149" ht="7.5" customHeight="1" x14ac:dyDescent="0.35"/>
    <row r="150" ht="7.5" customHeight="1" x14ac:dyDescent="0.35"/>
    <row r="151" ht="7.5" customHeight="1" x14ac:dyDescent="0.35"/>
    <row r="152" ht="7.5" customHeight="1" x14ac:dyDescent="0.35"/>
    <row r="153" ht="7.5" customHeight="1" x14ac:dyDescent="0.35"/>
    <row r="154" ht="7.5" customHeight="1" x14ac:dyDescent="0.35"/>
    <row r="155" ht="7.5" customHeight="1" x14ac:dyDescent="0.35"/>
    <row r="156" ht="7.5" customHeight="1" x14ac:dyDescent="0.35"/>
    <row r="157" ht="7.5" customHeight="1" x14ac:dyDescent="0.35"/>
    <row r="158" ht="7.5" customHeight="1" x14ac:dyDescent="0.35"/>
    <row r="159" ht="7.5" customHeight="1" x14ac:dyDescent="0.35"/>
    <row r="160" ht="7.5" customHeight="1" x14ac:dyDescent="0.35"/>
    <row r="161" ht="7.5" customHeight="1" x14ac:dyDescent="0.35"/>
    <row r="162" ht="7.5" customHeight="1" x14ac:dyDescent="0.35"/>
    <row r="163" ht="7.5" customHeight="1" x14ac:dyDescent="0.35"/>
    <row r="164" ht="7.5" customHeight="1" x14ac:dyDescent="0.35"/>
    <row r="165" ht="7.5" customHeight="1" x14ac:dyDescent="0.35"/>
    <row r="166" ht="7.5" customHeight="1" x14ac:dyDescent="0.35"/>
    <row r="167" ht="7.5" customHeight="1" x14ac:dyDescent="0.35"/>
    <row r="168" ht="7.5" customHeight="1" x14ac:dyDescent="0.35"/>
    <row r="169" ht="7.5" customHeight="1" x14ac:dyDescent="0.35"/>
    <row r="170" ht="7.5" customHeight="1" x14ac:dyDescent="0.35"/>
    <row r="171" ht="7.5" customHeight="1" x14ac:dyDescent="0.35"/>
    <row r="172" ht="7.5" customHeight="1" x14ac:dyDescent="0.35"/>
    <row r="173" ht="7.5" customHeight="1" x14ac:dyDescent="0.35"/>
    <row r="174" ht="7.5" customHeight="1" x14ac:dyDescent="0.35"/>
    <row r="175" ht="7.5" customHeight="1" x14ac:dyDescent="0.35"/>
    <row r="176" ht="7.5" customHeight="1" x14ac:dyDescent="0.35"/>
    <row r="177" ht="7.5" customHeight="1" x14ac:dyDescent="0.35"/>
    <row r="178" ht="7.5" customHeight="1" x14ac:dyDescent="0.35"/>
    <row r="179" ht="7.5" customHeight="1" x14ac:dyDescent="0.35"/>
    <row r="180" ht="7.5" customHeight="1" x14ac:dyDescent="0.35"/>
    <row r="181" ht="7.5" customHeight="1" x14ac:dyDescent="0.35"/>
    <row r="182" ht="7.5" customHeight="1" x14ac:dyDescent="0.35"/>
    <row r="183" ht="7.5" customHeight="1" x14ac:dyDescent="0.35"/>
    <row r="184" ht="7.5" customHeight="1" x14ac:dyDescent="0.35"/>
    <row r="185" ht="7.5" customHeight="1" x14ac:dyDescent="0.35"/>
    <row r="186" ht="7.5" customHeight="1" x14ac:dyDescent="0.35"/>
    <row r="187" ht="7.5" customHeight="1" x14ac:dyDescent="0.35"/>
    <row r="188" ht="7.5" customHeight="1" x14ac:dyDescent="0.35"/>
    <row r="189" ht="7.5" customHeight="1" x14ac:dyDescent="0.35"/>
    <row r="190" ht="7.5" customHeight="1" x14ac:dyDescent="0.35"/>
    <row r="191" ht="7.5" customHeight="1" x14ac:dyDescent="0.35"/>
    <row r="192" ht="7.5" customHeight="1" x14ac:dyDescent="0.35"/>
    <row r="193" ht="7.5" customHeight="1" x14ac:dyDescent="0.35"/>
    <row r="194" ht="7.5" customHeight="1" x14ac:dyDescent="0.35"/>
    <row r="195" ht="7.5" customHeight="1" x14ac:dyDescent="0.35"/>
    <row r="196" ht="7.5" customHeight="1" x14ac:dyDescent="0.35"/>
    <row r="197" ht="7.5" customHeight="1" x14ac:dyDescent="0.35"/>
    <row r="198" ht="7.5" customHeight="1" x14ac:dyDescent="0.35"/>
    <row r="199" ht="7.5" customHeight="1" x14ac:dyDescent="0.35"/>
    <row r="200" ht="7.5" customHeight="1" x14ac:dyDescent="0.35"/>
    <row r="201" ht="7.5" customHeight="1" x14ac:dyDescent="0.35"/>
    <row r="202" ht="7.5" customHeight="1" x14ac:dyDescent="0.35"/>
    <row r="203" ht="7.5" customHeight="1" x14ac:dyDescent="0.35"/>
    <row r="204" ht="7.5" customHeight="1" x14ac:dyDescent="0.35"/>
    <row r="205" ht="7.5" customHeight="1" x14ac:dyDescent="0.35"/>
    <row r="206" ht="7.5" customHeight="1" x14ac:dyDescent="0.35"/>
    <row r="207" ht="7.5" customHeight="1" x14ac:dyDescent="0.35"/>
    <row r="208" ht="7.5" customHeight="1" x14ac:dyDescent="0.35"/>
    <row r="209" ht="7.5" customHeight="1" x14ac:dyDescent="0.35"/>
    <row r="210" ht="7.5" customHeight="1" x14ac:dyDescent="0.35"/>
    <row r="211" ht="7.5" customHeight="1" x14ac:dyDescent="0.35"/>
    <row r="212" ht="7.5" customHeight="1" x14ac:dyDescent="0.35"/>
    <row r="213" ht="7.5" customHeight="1" x14ac:dyDescent="0.35"/>
    <row r="214" ht="7.5" customHeight="1" x14ac:dyDescent="0.35"/>
    <row r="215" ht="7.5" customHeight="1" x14ac:dyDescent="0.35"/>
    <row r="216" ht="7.5" customHeight="1" x14ac:dyDescent="0.35"/>
    <row r="217" ht="7.5" customHeight="1" x14ac:dyDescent="0.35"/>
    <row r="218" ht="7.5" customHeight="1" x14ac:dyDescent="0.35"/>
    <row r="219" ht="7.5" customHeight="1" x14ac:dyDescent="0.35"/>
    <row r="220" ht="7.5" customHeight="1" x14ac:dyDescent="0.35"/>
    <row r="221" ht="7.5" customHeight="1" x14ac:dyDescent="0.35"/>
    <row r="222" ht="7.5" customHeight="1" x14ac:dyDescent="0.35"/>
    <row r="223" ht="7.5" customHeight="1" x14ac:dyDescent="0.35"/>
    <row r="224" ht="7.5" customHeight="1" x14ac:dyDescent="0.35"/>
    <row r="225" ht="7.5" customHeight="1" x14ac:dyDescent="0.35"/>
    <row r="226" ht="7.5" customHeight="1" x14ac:dyDescent="0.35"/>
    <row r="227" ht="7.5" customHeight="1" x14ac:dyDescent="0.35"/>
    <row r="228" ht="7.5" customHeight="1" x14ac:dyDescent="0.35"/>
    <row r="229" ht="7.5" customHeight="1" x14ac:dyDescent="0.35"/>
    <row r="230" ht="7.5" customHeight="1" x14ac:dyDescent="0.35"/>
    <row r="231" ht="7.5" customHeight="1" x14ac:dyDescent="0.35"/>
    <row r="232" ht="7.5" customHeight="1" x14ac:dyDescent="0.35"/>
    <row r="233" ht="7.5" customHeight="1" x14ac:dyDescent="0.35"/>
    <row r="234" ht="7.5" customHeight="1" x14ac:dyDescent="0.35"/>
    <row r="235" ht="7.5" customHeight="1" x14ac:dyDescent="0.35"/>
    <row r="236" ht="7.5" customHeight="1" x14ac:dyDescent="0.35"/>
    <row r="237" ht="7.5" customHeight="1" x14ac:dyDescent="0.35"/>
    <row r="238" ht="7.5" customHeight="1" x14ac:dyDescent="0.35"/>
    <row r="239" ht="7.5" customHeight="1" x14ac:dyDescent="0.35"/>
    <row r="240" ht="7.5" customHeight="1" x14ac:dyDescent="0.35"/>
    <row r="241" ht="7.5" customHeight="1" x14ac:dyDescent="0.35"/>
    <row r="242" ht="7.5" customHeight="1" x14ac:dyDescent="0.35"/>
    <row r="243" ht="7.5" customHeight="1" x14ac:dyDescent="0.35"/>
    <row r="244" ht="7.5" customHeight="1" x14ac:dyDescent="0.35"/>
    <row r="245" ht="7.5" customHeight="1" x14ac:dyDescent="0.35"/>
    <row r="246" ht="7.5" customHeight="1" x14ac:dyDescent="0.35"/>
    <row r="247" ht="7.5" customHeight="1" x14ac:dyDescent="0.35"/>
    <row r="248" ht="7.5" customHeight="1" x14ac:dyDescent="0.35"/>
    <row r="249" ht="7.5" customHeight="1" x14ac:dyDescent="0.35"/>
    <row r="250" ht="7.5" customHeight="1" x14ac:dyDescent="0.35"/>
    <row r="251" ht="7.5" customHeight="1" x14ac:dyDescent="0.35"/>
    <row r="252" ht="7.5" customHeight="1" x14ac:dyDescent="0.35"/>
    <row r="253" ht="7.5" customHeight="1" x14ac:dyDescent="0.35"/>
    <row r="254" ht="7.5" customHeight="1" x14ac:dyDescent="0.35"/>
    <row r="255" ht="7.5" customHeight="1" x14ac:dyDescent="0.35"/>
    <row r="256" ht="7.5" customHeight="1" x14ac:dyDescent="0.35"/>
    <row r="257" ht="7.5" customHeight="1" x14ac:dyDescent="0.35"/>
    <row r="258" ht="7.5" customHeight="1" x14ac:dyDescent="0.35"/>
    <row r="259" ht="7.5" customHeight="1" x14ac:dyDescent="0.35"/>
    <row r="260" ht="7.5" customHeight="1" x14ac:dyDescent="0.35"/>
    <row r="261" ht="7.5" customHeight="1" x14ac:dyDescent="0.35"/>
    <row r="262" ht="7.5" customHeight="1" x14ac:dyDescent="0.35"/>
    <row r="263" ht="7.5" customHeight="1" x14ac:dyDescent="0.35"/>
    <row r="264" ht="7.5" customHeight="1" x14ac:dyDescent="0.35"/>
    <row r="265" ht="7.5" customHeight="1" x14ac:dyDescent="0.35"/>
    <row r="266" ht="7.5" customHeight="1" x14ac:dyDescent="0.35"/>
    <row r="267" ht="7.5" customHeight="1" x14ac:dyDescent="0.35"/>
    <row r="268" ht="7.5" customHeight="1" x14ac:dyDescent="0.35"/>
    <row r="269" ht="7.5" customHeight="1" x14ac:dyDescent="0.35"/>
    <row r="270" ht="7.5" customHeight="1" x14ac:dyDescent="0.35"/>
    <row r="271" ht="7.5" customHeight="1" x14ac:dyDescent="0.35"/>
    <row r="272" ht="7.5" customHeight="1" x14ac:dyDescent="0.35"/>
    <row r="273" ht="7.5" customHeight="1" x14ac:dyDescent="0.35"/>
    <row r="274" ht="7.5" customHeight="1" x14ac:dyDescent="0.35"/>
    <row r="275" ht="7.5" customHeight="1" x14ac:dyDescent="0.35"/>
    <row r="276" ht="7.5" customHeight="1" x14ac:dyDescent="0.35"/>
    <row r="277" ht="7.5" customHeight="1" x14ac:dyDescent="0.35"/>
    <row r="278" ht="7.5" customHeight="1" x14ac:dyDescent="0.35"/>
    <row r="279" ht="7.5" customHeight="1" x14ac:dyDescent="0.35"/>
    <row r="280" ht="7.5" customHeight="1" x14ac:dyDescent="0.35"/>
    <row r="281" ht="7.5" customHeight="1" x14ac:dyDescent="0.35"/>
    <row r="282" ht="7.5" customHeight="1" x14ac:dyDescent="0.35"/>
    <row r="283" ht="7.5" customHeight="1" x14ac:dyDescent="0.35"/>
    <row r="284" ht="7.5" customHeight="1" x14ac:dyDescent="0.35"/>
    <row r="285" ht="7.5" customHeight="1" x14ac:dyDescent="0.35"/>
    <row r="286" ht="7.5" customHeight="1" x14ac:dyDescent="0.35"/>
    <row r="287" ht="7.5" customHeight="1" x14ac:dyDescent="0.35"/>
    <row r="288" ht="7.5" customHeight="1" x14ac:dyDescent="0.35"/>
    <row r="289" ht="7.5" customHeight="1" x14ac:dyDescent="0.35"/>
    <row r="290" ht="7.5" customHeight="1" x14ac:dyDescent="0.35"/>
    <row r="291" ht="7.5" customHeight="1" x14ac:dyDescent="0.35"/>
    <row r="292" ht="7.5" customHeight="1" x14ac:dyDescent="0.35"/>
    <row r="293" ht="7.5" customHeight="1" x14ac:dyDescent="0.35"/>
    <row r="294" ht="7.5" customHeight="1" x14ac:dyDescent="0.35"/>
    <row r="295" ht="7.5" customHeight="1" x14ac:dyDescent="0.35"/>
    <row r="296" ht="7.5" customHeight="1" x14ac:dyDescent="0.35"/>
    <row r="297" ht="7.5" customHeight="1" x14ac:dyDescent="0.35"/>
    <row r="298" ht="7.5" customHeight="1" x14ac:dyDescent="0.35"/>
    <row r="299" ht="7.5" customHeight="1" x14ac:dyDescent="0.35"/>
    <row r="300" ht="7.5" customHeight="1" x14ac:dyDescent="0.35"/>
    <row r="301" ht="7.5" customHeight="1" x14ac:dyDescent="0.35"/>
    <row r="302" ht="7.5" customHeight="1" x14ac:dyDescent="0.35"/>
    <row r="303" ht="7.5" customHeight="1" x14ac:dyDescent="0.35"/>
    <row r="304" ht="7.5" customHeight="1" x14ac:dyDescent="0.35"/>
    <row r="305" ht="7.5" customHeight="1" x14ac:dyDescent="0.35"/>
    <row r="306" ht="7.5" customHeight="1" x14ac:dyDescent="0.35"/>
    <row r="307" ht="7.5" customHeight="1" x14ac:dyDescent="0.35"/>
    <row r="308" ht="7.5" customHeight="1" x14ac:dyDescent="0.35"/>
    <row r="309" ht="7.5" customHeight="1" x14ac:dyDescent="0.35"/>
    <row r="310" ht="7.5" customHeight="1" x14ac:dyDescent="0.35"/>
    <row r="311" ht="7.5" customHeight="1" x14ac:dyDescent="0.35"/>
    <row r="312" ht="7.5" customHeight="1" x14ac:dyDescent="0.35"/>
    <row r="313" ht="7.5" customHeight="1" x14ac:dyDescent="0.35"/>
    <row r="314" ht="7.5" customHeight="1" x14ac:dyDescent="0.35"/>
    <row r="315" ht="7.5" customHeight="1" x14ac:dyDescent="0.35"/>
    <row r="316" ht="7.5" customHeight="1" x14ac:dyDescent="0.35"/>
    <row r="317" ht="7.5" customHeight="1" x14ac:dyDescent="0.35"/>
    <row r="318" ht="7.5" customHeight="1" x14ac:dyDescent="0.35"/>
    <row r="319" ht="7.5" customHeight="1" x14ac:dyDescent="0.35"/>
    <row r="320" ht="7.5" customHeight="1" x14ac:dyDescent="0.35"/>
    <row r="321" spans="37:38" ht="7.5" customHeight="1" x14ac:dyDescent="0.35"/>
    <row r="322" spans="37:38" ht="7.5" customHeight="1" x14ac:dyDescent="0.35"/>
    <row r="323" spans="37:38" ht="7.5" customHeight="1" x14ac:dyDescent="0.35"/>
    <row r="324" spans="37:38" ht="7.5" customHeight="1" x14ac:dyDescent="0.35"/>
    <row r="325" spans="37:38" ht="7.5" customHeight="1" x14ac:dyDescent="0.35">
      <c r="AK325" s="139"/>
      <c r="AL325" s="138"/>
    </row>
  </sheetData>
  <mergeCells count="1">
    <mergeCell ref="T1:BI3"/>
  </mergeCells>
  <pageMargins left="0.7" right="0.7" top="0.75" bottom="0.75" header="0.3" footer="0.3"/>
  <customProperties>
    <customPr name="QAA_DRILLPATH_NODE_ID" r:id="rId1"/>
  </customPropertie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O2:AC54"/>
  <sheetViews>
    <sheetView topLeftCell="A40" workbookViewId="0">
      <selection activeCell="BK64" sqref="BK64"/>
    </sheetView>
  </sheetViews>
  <sheetFormatPr baseColWidth="10" defaultColWidth="1.08203125" defaultRowHeight="15.5" x14ac:dyDescent="0.35"/>
  <sheetData>
    <row r="2" spans="15:29" ht="7.5" customHeight="1" x14ac:dyDescent="0.5">
      <c r="T2" s="149"/>
    </row>
    <row r="3" spans="15:29" ht="7.5" customHeight="1" x14ac:dyDescent="0.35">
      <c r="O3" s="150"/>
    </row>
    <row r="4" spans="15:29" ht="7.5" customHeight="1" x14ac:dyDescent="0.35"/>
    <row r="5" spans="15:29" ht="7.5" customHeight="1" x14ac:dyDescent="0.35"/>
    <row r="6" spans="15:29" ht="7.5" customHeight="1" x14ac:dyDescent="0.35"/>
    <row r="7" spans="15:29" ht="7.5" customHeight="1" x14ac:dyDescent="0.4">
      <c r="AC7" s="147"/>
    </row>
    <row r="8" spans="15:29" ht="7.5" customHeight="1" x14ac:dyDescent="0.35"/>
    <row r="9" spans="15:29" ht="7.5" customHeight="1" x14ac:dyDescent="0.35"/>
    <row r="10" spans="15:29" ht="7.5" customHeight="1" x14ac:dyDescent="0.35"/>
    <row r="11" spans="15:29" ht="7.5" customHeight="1" x14ac:dyDescent="0.35"/>
    <row r="12" spans="15:29" ht="7.5" customHeight="1" x14ac:dyDescent="0.35"/>
    <row r="13" spans="15:29" ht="7.5" customHeight="1" x14ac:dyDescent="0.35"/>
    <row r="14" spans="15:29" ht="7.5" customHeight="1" x14ac:dyDescent="0.35"/>
    <row r="15" spans="15:29" ht="7.5" customHeight="1" x14ac:dyDescent="0.35"/>
    <row r="16" spans="15:29" ht="7.5" customHeight="1" x14ac:dyDescent="0.35"/>
    <row r="17" ht="7.5" customHeight="1" x14ac:dyDescent="0.35"/>
    <row r="18" ht="7.5" customHeight="1" x14ac:dyDescent="0.35"/>
    <row r="19" ht="7.5" customHeight="1" x14ac:dyDescent="0.35"/>
    <row r="20" ht="7.5" customHeight="1" x14ac:dyDescent="0.35"/>
    <row r="21" ht="7.5" customHeight="1" x14ac:dyDescent="0.35"/>
    <row r="22" ht="7.5" customHeight="1" x14ac:dyDescent="0.35"/>
    <row r="23" ht="7.5" customHeight="1" x14ac:dyDescent="0.35"/>
    <row r="24" ht="7.5" customHeight="1" x14ac:dyDescent="0.35"/>
    <row r="25" ht="7.5" customHeight="1" x14ac:dyDescent="0.35"/>
    <row r="26" ht="7.5" customHeight="1" x14ac:dyDescent="0.35"/>
    <row r="27" ht="7.5" customHeight="1" x14ac:dyDescent="0.35"/>
    <row r="28" ht="7.5" customHeight="1" x14ac:dyDescent="0.35"/>
    <row r="29" ht="7.5" customHeight="1" x14ac:dyDescent="0.35"/>
    <row r="31" ht="7.5" customHeight="1" x14ac:dyDescent="0.35"/>
    <row r="32" ht="7.5" customHeight="1" x14ac:dyDescent="0.35"/>
    <row r="33" ht="7.5" customHeight="1" x14ac:dyDescent="0.35"/>
    <row r="34" ht="7.5" customHeight="1" x14ac:dyDescent="0.35"/>
    <row r="35" ht="7.5" customHeight="1" x14ac:dyDescent="0.35"/>
    <row r="36" ht="7.5" customHeight="1" x14ac:dyDescent="0.35"/>
    <row r="37" ht="7.5" customHeight="1" x14ac:dyDescent="0.35"/>
    <row r="38" ht="7.5" customHeight="1" x14ac:dyDescent="0.35"/>
    <row r="39" ht="7.5" customHeight="1" x14ac:dyDescent="0.35"/>
    <row r="40" ht="7.5" customHeight="1" x14ac:dyDescent="0.35"/>
    <row r="41" ht="7.5" customHeight="1" x14ac:dyDescent="0.35"/>
    <row r="42" ht="7.5" customHeight="1" x14ac:dyDescent="0.35"/>
    <row r="43" ht="7.5" customHeight="1" x14ac:dyDescent="0.35"/>
    <row r="44" ht="7.5" customHeight="1" x14ac:dyDescent="0.35"/>
    <row r="45" ht="7.5" customHeight="1" x14ac:dyDescent="0.35"/>
    <row r="46" ht="7.5" customHeight="1" x14ac:dyDescent="0.35"/>
    <row r="47" ht="7.5" customHeight="1" x14ac:dyDescent="0.35"/>
    <row r="48" ht="7.5" customHeight="1" x14ac:dyDescent="0.35"/>
    <row r="49" ht="7.5" customHeight="1" x14ac:dyDescent="0.35"/>
    <row r="50" ht="7.5" customHeight="1" x14ac:dyDescent="0.35"/>
    <row r="52" ht="7.5" customHeight="1" x14ac:dyDescent="0.35"/>
    <row r="53" ht="7.5" customHeight="1" x14ac:dyDescent="0.35"/>
    <row r="54" ht="7.5" customHeight="1" x14ac:dyDescent="0.35"/>
  </sheetData>
  <pageMargins left="0.7" right="0.7" top="0.75" bottom="0.75" header="0.3" footer="0.3"/>
  <customProperties>
    <customPr name="QAA_DRILLPATH_NODE_ID" r:id="rId1"/>
  </customPropertie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G2:V52"/>
  <sheetViews>
    <sheetView workbookViewId="0">
      <selection activeCell="AS14" sqref="AS14"/>
    </sheetView>
  </sheetViews>
  <sheetFormatPr baseColWidth="10" defaultColWidth="2.08203125" defaultRowHeight="15.5" x14ac:dyDescent="0.35"/>
  <sheetData>
    <row r="2" spans="7:10" ht="12.75" customHeight="1" x14ac:dyDescent="0.35">
      <c r="G2" s="151" t="s">
        <v>2074</v>
      </c>
      <c r="J2" s="128"/>
    </row>
    <row r="3" spans="7:10" ht="12.75" customHeight="1" x14ac:dyDescent="0.35">
      <c r="G3" s="144"/>
    </row>
    <row r="4" spans="7:10" ht="12.75" customHeight="1" x14ac:dyDescent="0.35"/>
    <row r="5" spans="7:10" ht="12.75" customHeight="1" x14ac:dyDescent="0.35"/>
    <row r="6" spans="7:10" ht="12.75" customHeight="1" x14ac:dyDescent="0.35"/>
    <row r="7" spans="7:10" ht="12.75" customHeight="1" x14ac:dyDescent="0.35"/>
    <row r="8" spans="7:10" ht="12.75" customHeight="1" x14ac:dyDescent="0.35"/>
    <row r="9" spans="7:10" ht="12.75" customHeight="1" x14ac:dyDescent="0.35"/>
    <row r="10" spans="7:10" ht="12.75" customHeight="1" x14ac:dyDescent="0.35"/>
    <row r="11" spans="7:10" ht="12.75" customHeight="1" x14ac:dyDescent="0.35"/>
    <row r="12" spans="7:10" ht="12.75" customHeight="1" x14ac:dyDescent="0.35"/>
    <row r="13" spans="7:10" ht="12.75" customHeight="1" x14ac:dyDescent="0.35"/>
    <row r="14" spans="7:10" ht="12.75" customHeight="1" x14ac:dyDescent="0.35"/>
    <row r="15" spans="7:10" ht="12.75" customHeight="1" x14ac:dyDescent="0.35"/>
    <row r="16" spans="7:10" ht="12.75" customHeight="1" x14ac:dyDescent="0.35"/>
    <row r="17" ht="12.75" customHeight="1" x14ac:dyDescent="0.35"/>
    <row r="18" ht="12.75" customHeight="1" x14ac:dyDescent="0.35"/>
    <row r="19" ht="12.75" customHeight="1" x14ac:dyDescent="0.35"/>
    <row r="20" ht="12.75" customHeight="1" x14ac:dyDescent="0.35"/>
    <row r="21" ht="12.75" customHeight="1" x14ac:dyDescent="0.35"/>
    <row r="22" ht="12.75" customHeight="1" x14ac:dyDescent="0.35"/>
    <row r="23" ht="12.75" customHeight="1" x14ac:dyDescent="0.35"/>
    <row r="24" ht="12.75" customHeight="1" x14ac:dyDescent="0.35"/>
    <row r="25" ht="12.75" customHeight="1" x14ac:dyDescent="0.35"/>
    <row r="26" ht="12.75" customHeight="1" x14ac:dyDescent="0.35"/>
    <row r="27" ht="12.75" customHeight="1" x14ac:dyDescent="0.35"/>
    <row r="28" ht="12.75" customHeight="1" x14ac:dyDescent="0.35"/>
    <row r="29" ht="12.75" customHeight="1" x14ac:dyDescent="0.35"/>
    <row r="30" ht="12.75" customHeight="1" x14ac:dyDescent="0.35"/>
    <row r="31" ht="12.75" customHeight="1" x14ac:dyDescent="0.35"/>
    <row r="32" ht="12.75" customHeight="1" x14ac:dyDescent="0.35"/>
    <row r="33" ht="12.75" customHeight="1" x14ac:dyDescent="0.35"/>
    <row r="34" ht="12.75" customHeight="1" x14ac:dyDescent="0.35"/>
    <row r="35" ht="12.75" customHeight="1" x14ac:dyDescent="0.35"/>
    <row r="36" ht="12.75" customHeight="1" x14ac:dyDescent="0.35"/>
    <row r="37" ht="12.75" customHeight="1" x14ac:dyDescent="0.35"/>
    <row r="38" ht="12.75" customHeight="1" x14ac:dyDescent="0.35"/>
    <row r="39" ht="12.75" customHeight="1" x14ac:dyDescent="0.35"/>
    <row r="40" ht="12.75" customHeight="1" x14ac:dyDescent="0.35"/>
    <row r="41" ht="12.75" customHeight="1" x14ac:dyDescent="0.35"/>
    <row r="42" ht="12.75" customHeight="1" x14ac:dyDescent="0.35"/>
    <row r="43" ht="12.75" customHeight="1" x14ac:dyDescent="0.35"/>
    <row r="44" ht="12.75" customHeight="1" x14ac:dyDescent="0.35"/>
    <row r="45" ht="12.75" customHeight="1" x14ac:dyDescent="0.35"/>
    <row r="46" ht="12.75" customHeight="1" x14ac:dyDescent="0.35"/>
    <row r="47" ht="12.75" customHeight="1" x14ac:dyDescent="0.35"/>
    <row r="48" ht="12.75" customHeight="1" x14ac:dyDescent="0.35"/>
    <row r="49" spans="22:22" ht="12.75" customHeight="1" x14ac:dyDescent="0.35"/>
    <row r="50" spans="22:22" ht="12.75" customHeight="1" x14ac:dyDescent="0.35"/>
    <row r="51" spans="22:22" ht="12.75" customHeight="1" x14ac:dyDescent="0.35"/>
    <row r="52" spans="22:22" ht="12.75" customHeight="1" x14ac:dyDescent="0.35">
      <c r="V52" s="128" t="s">
        <v>2075</v>
      </c>
    </row>
  </sheetData>
  <pageMargins left="0.7" right="0.7" top="0.75" bottom="0.75" header="0.3" footer="0.3"/>
  <customProperties>
    <customPr name="QAA_DRILLPATH_NODE_ID" r:id="rId1"/>
  </customPropertie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BS2:BS46"/>
  <sheetViews>
    <sheetView workbookViewId="0">
      <selection activeCell="BA11" sqref="BA11:BA12"/>
    </sheetView>
  </sheetViews>
  <sheetFormatPr baseColWidth="10" defaultColWidth="2" defaultRowHeight="15.5" x14ac:dyDescent="0.35"/>
  <sheetData>
    <row r="2" spans="71:71" ht="11.25" customHeight="1" x14ac:dyDescent="0.35">
      <c r="BS2">
        <v>7</v>
      </c>
    </row>
    <row r="3" spans="71:71" ht="11.25" customHeight="1" x14ac:dyDescent="0.35"/>
    <row r="4" spans="71:71" ht="11.25" customHeight="1" x14ac:dyDescent="0.35"/>
    <row r="5" spans="71:71" ht="11.25" customHeight="1" x14ac:dyDescent="0.35"/>
    <row r="6" spans="71:71" ht="11.25" customHeight="1" x14ac:dyDescent="0.35"/>
    <row r="7" spans="71:71" ht="11.25" customHeight="1" x14ac:dyDescent="0.35"/>
    <row r="8" spans="71:71" ht="11.25" customHeight="1" x14ac:dyDescent="0.35"/>
    <row r="9" spans="71:71" ht="11.25" customHeight="1" x14ac:dyDescent="0.35"/>
    <row r="10" spans="71:71" ht="11.25" customHeight="1" x14ac:dyDescent="0.35"/>
    <row r="11" spans="71:71" ht="11.25" customHeight="1" x14ac:dyDescent="0.35"/>
    <row r="12" spans="71:71" ht="11.25" customHeight="1" x14ac:dyDescent="0.35"/>
    <row r="13" spans="71:71" ht="11.25" customHeight="1" x14ac:dyDescent="0.35"/>
    <row r="14" spans="71:71" ht="11.25" customHeight="1" x14ac:dyDescent="0.35"/>
    <row r="15" spans="71:71" ht="11.25" customHeight="1" x14ac:dyDescent="0.35"/>
    <row r="16" spans="71:71" ht="11.25" customHeight="1" x14ac:dyDescent="0.35"/>
    <row r="17" ht="11.25" customHeight="1" x14ac:dyDescent="0.35"/>
    <row r="18" ht="11.25" customHeight="1" x14ac:dyDescent="0.35"/>
    <row r="19" ht="11.25" customHeight="1" x14ac:dyDescent="0.35"/>
    <row r="20" ht="11.25" customHeight="1" x14ac:dyDescent="0.35"/>
    <row r="21" ht="11.25" customHeight="1" x14ac:dyDescent="0.35"/>
    <row r="22" ht="11.25" customHeight="1" x14ac:dyDescent="0.35"/>
    <row r="23" ht="11.25" customHeight="1" x14ac:dyDescent="0.35"/>
    <row r="24" ht="11.25" customHeight="1" x14ac:dyDescent="0.35"/>
    <row r="25" ht="11.25" customHeight="1" x14ac:dyDescent="0.35"/>
    <row r="26" ht="11.25" customHeight="1" x14ac:dyDescent="0.35"/>
    <row r="27" ht="11.25" customHeight="1" x14ac:dyDescent="0.35"/>
    <row r="28" ht="11.25" customHeight="1" x14ac:dyDescent="0.35"/>
    <row r="29" ht="11.25" customHeight="1" x14ac:dyDescent="0.35"/>
    <row r="30" ht="11.25" customHeight="1" x14ac:dyDescent="0.35"/>
    <row r="31" ht="11.25" customHeight="1" x14ac:dyDescent="0.35"/>
    <row r="32" ht="11.25" customHeight="1" x14ac:dyDescent="0.35"/>
    <row r="33" ht="11.25" customHeight="1" x14ac:dyDescent="0.35"/>
    <row r="34" ht="11.25" customHeight="1" x14ac:dyDescent="0.35"/>
    <row r="35" ht="11.25" customHeight="1" x14ac:dyDescent="0.35"/>
    <row r="36" ht="11.25" customHeight="1" x14ac:dyDescent="0.35"/>
    <row r="37" ht="11.25" customHeight="1" x14ac:dyDescent="0.35"/>
    <row r="38" ht="11.25" customHeight="1" x14ac:dyDescent="0.35"/>
    <row r="39" ht="11.25" customHeight="1" x14ac:dyDescent="0.35"/>
    <row r="40" ht="11.25" customHeight="1" x14ac:dyDescent="0.35"/>
    <row r="41" ht="11.25" customHeight="1" x14ac:dyDescent="0.35"/>
    <row r="42" ht="11.25" customHeight="1" x14ac:dyDescent="0.35"/>
    <row r="43" ht="11.25" customHeight="1" x14ac:dyDescent="0.35"/>
    <row r="44" ht="11.25" customHeight="1" x14ac:dyDescent="0.35"/>
    <row r="45" ht="11.25" customHeight="1" x14ac:dyDescent="0.35"/>
    <row r="46" ht="11.25" customHeight="1" x14ac:dyDescent="0.35"/>
  </sheetData>
  <pageMargins left="0.7" right="0.7" top="0.75" bottom="0.75" header="0.3" footer="0.3"/>
  <customProperties>
    <customPr name="QAA_DRILLPATH_NODE_ID" r:id="rId1"/>
  </customPropertie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A1:Y76"/>
  <sheetViews>
    <sheetView workbookViewId="0">
      <selection sqref="A1:Y76"/>
    </sheetView>
  </sheetViews>
  <sheetFormatPr baseColWidth="10" defaultColWidth="8" defaultRowHeight="15.5" x14ac:dyDescent="0.35"/>
  <sheetData>
    <row r="1" spans="1:25" x14ac:dyDescent="0.35">
      <c r="A1" s="894"/>
      <c r="B1" s="894"/>
      <c r="C1" s="894"/>
      <c r="D1" s="894"/>
      <c r="E1" s="894"/>
      <c r="F1" s="894"/>
      <c r="G1" s="894"/>
      <c r="H1" s="894"/>
      <c r="I1" s="894"/>
      <c r="J1" s="894"/>
      <c r="K1" s="894"/>
      <c r="L1" s="894"/>
      <c r="M1" s="894"/>
      <c r="N1" s="894"/>
      <c r="O1" s="894"/>
      <c r="P1" s="894"/>
      <c r="Q1" s="894"/>
      <c r="R1" s="894"/>
      <c r="S1" s="894"/>
      <c r="T1" s="894"/>
      <c r="U1" s="894"/>
      <c r="V1" s="894"/>
      <c r="W1" s="894"/>
      <c r="X1" s="894"/>
      <c r="Y1" s="894"/>
    </row>
    <row r="2" spans="1:25" x14ac:dyDescent="0.35">
      <c r="A2" s="894"/>
      <c r="B2" s="894"/>
      <c r="C2" s="894"/>
      <c r="D2" s="894"/>
      <c r="E2" s="894"/>
      <c r="F2" s="894"/>
      <c r="G2" s="894"/>
      <c r="H2" s="894"/>
      <c r="I2" s="894"/>
      <c r="J2" s="894"/>
      <c r="K2" s="894"/>
      <c r="L2" s="894"/>
      <c r="M2" s="894"/>
      <c r="N2" s="894"/>
      <c r="O2" s="894"/>
      <c r="P2" s="894"/>
      <c r="Q2" s="894"/>
      <c r="R2" s="894"/>
      <c r="S2" s="894"/>
      <c r="T2" s="894"/>
      <c r="U2" s="894"/>
      <c r="V2" s="894"/>
      <c r="W2" s="894"/>
      <c r="X2" s="894"/>
      <c r="Y2" s="894"/>
    </row>
    <row r="3" spans="1:25" x14ac:dyDescent="0.35">
      <c r="A3" s="894"/>
      <c r="B3" s="894"/>
      <c r="C3" s="894"/>
      <c r="D3" s="894"/>
      <c r="E3" s="894"/>
      <c r="F3" s="894"/>
      <c r="G3" s="894"/>
      <c r="H3" s="894"/>
      <c r="I3" s="894"/>
      <c r="J3" s="894"/>
      <c r="K3" s="894"/>
      <c r="L3" s="894"/>
      <c r="M3" s="894"/>
      <c r="N3" s="894"/>
      <c r="O3" s="894"/>
      <c r="P3" s="894"/>
      <c r="Q3" s="894"/>
      <c r="R3" s="894"/>
      <c r="S3" s="894"/>
      <c r="T3" s="894"/>
      <c r="U3" s="894"/>
      <c r="V3" s="894"/>
      <c r="W3" s="894"/>
      <c r="X3" s="894"/>
      <c r="Y3" s="894"/>
    </row>
    <row r="4" spans="1:25" x14ac:dyDescent="0.35">
      <c r="A4" s="894"/>
      <c r="B4" s="894"/>
      <c r="C4" s="894"/>
      <c r="D4" s="894"/>
      <c r="E4" s="894"/>
      <c r="F4" s="894"/>
      <c r="G4" s="894"/>
      <c r="H4" s="894"/>
      <c r="I4" s="894"/>
      <c r="J4" s="894"/>
      <c r="K4" s="894"/>
      <c r="L4" s="894"/>
      <c r="M4" s="894"/>
      <c r="N4" s="894"/>
      <c r="O4" s="894"/>
      <c r="P4" s="894"/>
      <c r="Q4" s="894"/>
      <c r="R4" s="894"/>
      <c r="S4" s="894"/>
      <c r="T4" s="894"/>
      <c r="U4" s="894"/>
      <c r="V4" s="894"/>
      <c r="W4" s="894"/>
      <c r="X4" s="894"/>
      <c r="Y4" s="894"/>
    </row>
    <row r="5" spans="1:25" x14ac:dyDescent="0.35">
      <c r="A5" s="894"/>
      <c r="B5" s="894"/>
      <c r="C5" s="894"/>
      <c r="D5" s="894"/>
      <c r="E5" s="894"/>
      <c r="F5" s="894"/>
      <c r="G5" s="894"/>
      <c r="H5" s="894"/>
      <c r="I5" s="894"/>
      <c r="J5" s="894"/>
      <c r="K5" s="894"/>
      <c r="L5" s="894"/>
      <c r="M5" s="894"/>
      <c r="N5" s="894"/>
      <c r="O5" s="894"/>
      <c r="P5" s="894"/>
      <c r="Q5" s="894"/>
      <c r="R5" s="894"/>
      <c r="S5" s="894"/>
      <c r="T5" s="894"/>
      <c r="U5" s="894"/>
      <c r="V5" s="894"/>
      <c r="W5" s="894"/>
      <c r="X5" s="894"/>
      <c r="Y5" s="894"/>
    </row>
    <row r="6" spans="1:25" x14ac:dyDescent="0.35">
      <c r="A6" s="894"/>
      <c r="B6" s="894"/>
      <c r="C6" s="894"/>
      <c r="D6" s="894"/>
      <c r="E6" s="894"/>
      <c r="F6" s="894"/>
      <c r="G6" s="894"/>
      <c r="H6" s="894"/>
      <c r="I6" s="894"/>
      <c r="J6" s="894"/>
      <c r="K6" s="894"/>
      <c r="L6" s="894"/>
      <c r="M6" s="894"/>
      <c r="N6" s="894"/>
      <c r="O6" s="894"/>
      <c r="P6" s="894"/>
      <c r="Q6" s="894"/>
      <c r="R6" s="894"/>
      <c r="S6" s="894"/>
      <c r="T6" s="894"/>
      <c r="U6" s="894"/>
      <c r="V6" s="894"/>
      <c r="W6" s="894"/>
      <c r="X6" s="894"/>
      <c r="Y6" s="894"/>
    </row>
    <row r="7" spans="1:25" x14ac:dyDescent="0.35">
      <c r="A7" s="894"/>
      <c r="B7" s="894"/>
      <c r="C7" s="894"/>
      <c r="D7" s="894"/>
      <c r="E7" s="894"/>
      <c r="F7" s="894"/>
      <c r="G7" s="894"/>
      <c r="H7" s="894"/>
      <c r="I7" s="894"/>
      <c r="J7" s="894"/>
      <c r="K7" s="894"/>
      <c r="L7" s="894"/>
      <c r="M7" s="894"/>
      <c r="N7" s="894"/>
      <c r="O7" s="894"/>
      <c r="P7" s="894"/>
      <c r="Q7" s="894"/>
      <c r="R7" s="894"/>
      <c r="S7" s="894"/>
      <c r="T7" s="894"/>
      <c r="U7" s="894"/>
      <c r="V7" s="894"/>
      <c r="W7" s="894"/>
      <c r="X7" s="894"/>
      <c r="Y7" s="894"/>
    </row>
    <row r="8" spans="1:25" x14ac:dyDescent="0.35">
      <c r="A8" s="894"/>
      <c r="B8" s="894"/>
      <c r="C8" s="894"/>
      <c r="D8" s="894"/>
      <c r="E8" s="894"/>
      <c r="F8" s="894"/>
      <c r="G8" s="894"/>
      <c r="H8" s="894"/>
      <c r="I8" s="894"/>
      <c r="J8" s="894"/>
      <c r="K8" s="894"/>
      <c r="L8" s="894"/>
      <c r="M8" s="894"/>
      <c r="N8" s="894"/>
      <c r="O8" s="894"/>
      <c r="P8" s="894"/>
      <c r="Q8" s="894"/>
      <c r="R8" s="894"/>
      <c r="S8" s="894"/>
      <c r="T8" s="894"/>
      <c r="U8" s="894"/>
      <c r="V8" s="894"/>
      <c r="W8" s="894"/>
      <c r="X8" s="894"/>
      <c r="Y8" s="894"/>
    </row>
    <row r="9" spans="1:25" x14ac:dyDescent="0.35">
      <c r="A9" s="894"/>
      <c r="B9" s="894"/>
      <c r="C9" s="894"/>
      <c r="D9" s="894"/>
      <c r="E9" s="894"/>
      <c r="F9" s="894"/>
      <c r="G9" s="894"/>
      <c r="H9" s="894"/>
      <c r="I9" s="894"/>
      <c r="J9" s="894"/>
      <c r="K9" s="894"/>
      <c r="L9" s="894"/>
      <c r="M9" s="894"/>
      <c r="N9" s="894"/>
      <c r="O9" s="894"/>
      <c r="P9" s="894"/>
      <c r="Q9" s="894"/>
      <c r="R9" s="894"/>
      <c r="S9" s="894"/>
      <c r="T9" s="894"/>
      <c r="U9" s="894"/>
      <c r="V9" s="894"/>
      <c r="W9" s="894"/>
      <c r="X9" s="894"/>
      <c r="Y9" s="894"/>
    </row>
    <row r="10" spans="1:25" x14ac:dyDescent="0.35">
      <c r="A10" s="894"/>
      <c r="B10" s="894"/>
      <c r="C10" s="894"/>
      <c r="D10" s="894"/>
      <c r="E10" s="894"/>
      <c r="F10" s="894"/>
      <c r="G10" s="894"/>
      <c r="H10" s="894"/>
      <c r="I10" s="894"/>
      <c r="J10" s="894"/>
      <c r="K10" s="894"/>
      <c r="L10" s="894"/>
      <c r="M10" s="894"/>
      <c r="N10" s="894"/>
      <c r="O10" s="894"/>
      <c r="P10" s="894"/>
      <c r="Q10" s="894"/>
      <c r="R10" s="894"/>
      <c r="S10" s="894"/>
      <c r="T10" s="894"/>
      <c r="U10" s="894"/>
      <c r="V10" s="894"/>
      <c r="W10" s="894"/>
      <c r="X10" s="894"/>
      <c r="Y10" s="894"/>
    </row>
    <row r="11" spans="1:25" x14ac:dyDescent="0.35">
      <c r="A11" s="894"/>
      <c r="B11" s="894"/>
      <c r="C11" s="894"/>
      <c r="D11" s="894"/>
      <c r="E11" s="894"/>
      <c r="F11" s="894"/>
      <c r="G11" s="894"/>
      <c r="H11" s="894"/>
      <c r="I11" s="894"/>
      <c r="J11" s="894"/>
      <c r="K11" s="894"/>
      <c r="L11" s="894"/>
      <c r="M11" s="894"/>
      <c r="N11" s="894"/>
      <c r="O11" s="894"/>
      <c r="P11" s="894"/>
      <c r="Q11" s="894"/>
      <c r="R11" s="894"/>
      <c r="S11" s="894"/>
      <c r="T11" s="894"/>
      <c r="U11" s="894"/>
      <c r="V11" s="894"/>
      <c r="W11" s="894"/>
      <c r="X11" s="894"/>
      <c r="Y11" s="894"/>
    </row>
    <row r="12" spans="1:25" x14ac:dyDescent="0.35">
      <c r="A12" s="894"/>
      <c r="B12" s="894"/>
      <c r="C12" s="894"/>
      <c r="D12" s="894"/>
      <c r="E12" s="894"/>
      <c r="F12" s="894"/>
      <c r="G12" s="894"/>
      <c r="H12" s="894"/>
      <c r="I12" s="894"/>
      <c r="J12" s="894"/>
      <c r="K12" s="894"/>
      <c r="L12" s="894"/>
      <c r="M12" s="894"/>
      <c r="N12" s="894"/>
      <c r="O12" s="894"/>
      <c r="P12" s="894"/>
      <c r="Q12" s="894"/>
      <c r="R12" s="894"/>
      <c r="S12" s="894"/>
      <c r="T12" s="894"/>
      <c r="U12" s="894"/>
      <c r="V12" s="894"/>
      <c r="W12" s="894"/>
      <c r="X12" s="894"/>
      <c r="Y12" s="894"/>
    </row>
    <row r="13" spans="1:25" x14ac:dyDescent="0.35">
      <c r="A13" s="894"/>
      <c r="B13" s="894"/>
      <c r="C13" s="894"/>
      <c r="D13" s="894"/>
      <c r="E13" s="894"/>
      <c r="F13" s="894"/>
      <c r="G13" s="894"/>
      <c r="H13" s="894"/>
      <c r="I13" s="894"/>
      <c r="J13" s="894"/>
      <c r="K13" s="894"/>
      <c r="L13" s="894"/>
      <c r="M13" s="894"/>
      <c r="N13" s="894"/>
      <c r="O13" s="894"/>
      <c r="P13" s="894"/>
      <c r="Q13" s="894"/>
      <c r="R13" s="894"/>
      <c r="S13" s="894"/>
      <c r="T13" s="894"/>
      <c r="U13" s="894"/>
      <c r="V13" s="894"/>
      <c r="W13" s="894"/>
      <c r="X13" s="894"/>
      <c r="Y13" s="894"/>
    </row>
    <row r="14" spans="1:25" x14ac:dyDescent="0.35">
      <c r="A14" s="894"/>
      <c r="B14" s="894"/>
      <c r="C14" s="894"/>
      <c r="D14" s="894"/>
      <c r="E14" s="894"/>
      <c r="F14" s="894"/>
      <c r="G14" s="894"/>
      <c r="H14" s="894"/>
      <c r="I14" s="894"/>
      <c r="J14" s="894"/>
      <c r="K14" s="894"/>
      <c r="L14" s="894"/>
      <c r="M14" s="894"/>
      <c r="N14" s="894"/>
      <c r="O14" s="894"/>
      <c r="P14" s="894"/>
      <c r="Q14" s="894"/>
      <c r="R14" s="894"/>
      <c r="S14" s="894"/>
      <c r="T14" s="894"/>
      <c r="U14" s="894"/>
      <c r="V14" s="894"/>
      <c r="W14" s="894"/>
      <c r="X14" s="894"/>
      <c r="Y14" s="894"/>
    </row>
    <row r="15" spans="1:25" x14ac:dyDescent="0.35">
      <c r="A15" s="894"/>
      <c r="B15" s="894"/>
      <c r="C15" s="894"/>
      <c r="D15" s="894"/>
      <c r="E15" s="894"/>
      <c r="F15" s="894"/>
      <c r="G15" s="894"/>
      <c r="H15" s="894"/>
      <c r="I15" s="894"/>
      <c r="J15" s="894"/>
      <c r="K15" s="894"/>
      <c r="L15" s="894"/>
      <c r="M15" s="894"/>
      <c r="N15" s="894"/>
      <c r="O15" s="894"/>
      <c r="P15" s="894"/>
      <c r="Q15" s="894"/>
      <c r="R15" s="894"/>
      <c r="S15" s="894"/>
      <c r="T15" s="894"/>
      <c r="U15" s="894"/>
      <c r="V15" s="894"/>
      <c r="W15" s="894"/>
      <c r="X15" s="894"/>
      <c r="Y15" s="894"/>
    </row>
    <row r="16" spans="1:25" x14ac:dyDescent="0.35">
      <c r="A16" s="894"/>
      <c r="B16" s="894"/>
      <c r="C16" s="894"/>
      <c r="D16" s="894"/>
      <c r="E16" s="894"/>
      <c r="F16" s="894"/>
      <c r="G16" s="894"/>
      <c r="H16" s="894"/>
      <c r="I16" s="894"/>
      <c r="J16" s="894"/>
      <c r="K16" s="894"/>
      <c r="L16" s="894"/>
      <c r="M16" s="894"/>
      <c r="N16" s="894"/>
      <c r="O16" s="894"/>
      <c r="P16" s="894"/>
      <c r="Q16" s="894"/>
      <c r="R16" s="894"/>
      <c r="S16" s="894"/>
      <c r="T16" s="894"/>
      <c r="U16" s="894"/>
      <c r="V16" s="894"/>
      <c r="W16" s="894"/>
      <c r="X16" s="894"/>
      <c r="Y16" s="894"/>
    </row>
    <row r="17" spans="1:25" x14ac:dyDescent="0.35">
      <c r="A17" s="894"/>
      <c r="B17" s="894"/>
      <c r="C17" s="894"/>
      <c r="D17" s="894"/>
      <c r="E17" s="894"/>
      <c r="F17" s="894"/>
      <c r="G17" s="894"/>
      <c r="H17" s="894"/>
      <c r="I17" s="894"/>
      <c r="J17" s="894"/>
      <c r="K17" s="894"/>
      <c r="L17" s="894"/>
      <c r="M17" s="894"/>
      <c r="N17" s="894"/>
      <c r="O17" s="894"/>
      <c r="P17" s="894"/>
      <c r="Q17" s="894"/>
      <c r="R17" s="894"/>
      <c r="S17" s="894"/>
      <c r="T17" s="894"/>
      <c r="U17" s="894"/>
      <c r="V17" s="894"/>
      <c r="W17" s="894"/>
      <c r="X17" s="894"/>
      <c r="Y17" s="894"/>
    </row>
    <row r="18" spans="1:25" x14ac:dyDescent="0.35">
      <c r="A18" s="894"/>
      <c r="B18" s="894"/>
      <c r="C18" s="894"/>
      <c r="D18" s="894"/>
      <c r="E18" s="894"/>
      <c r="F18" s="894"/>
      <c r="G18" s="894"/>
      <c r="H18" s="894"/>
      <c r="I18" s="894"/>
      <c r="J18" s="894"/>
      <c r="K18" s="894"/>
      <c r="L18" s="894"/>
      <c r="M18" s="894"/>
      <c r="N18" s="894"/>
      <c r="O18" s="894"/>
      <c r="P18" s="894"/>
      <c r="Q18" s="894"/>
      <c r="R18" s="894"/>
      <c r="S18" s="894"/>
      <c r="T18" s="894"/>
      <c r="U18" s="894"/>
      <c r="V18" s="894"/>
      <c r="W18" s="894"/>
      <c r="X18" s="894"/>
      <c r="Y18" s="894"/>
    </row>
    <row r="19" spans="1:25" x14ac:dyDescent="0.35">
      <c r="A19" s="894"/>
      <c r="B19" s="894"/>
      <c r="C19" s="894"/>
      <c r="D19" s="894"/>
      <c r="E19" s="894"/>
      <c r="F19" s="894"/>
      <c r="G19" s="894"/>
      <c r="H19" s="894"/>
      <c r="I19" s="894"/>
      <c r="J19" s="894"/>
      <c r="K19" s="894"/>
      <c r="L19" s="894"/>
      <c r="M19" s="894"/>
      <c r="N19" s="894"/>
      <c r="O19" s="894"/>
      <c r="P19" s="894"/>
      <c r="Q19" s="894"/>
      <c r="R19" s="894"/>
      <c r="S19" s="894"/>
      <c r="T19" s="894"/>
      <c r="U19" s="894"/>
      <c r="V19" s="894"/>
      <c r="W19" s="894"/>
      <c r="X19" s="894"/>
      <c r="Y19" s="894"/>
    </row>
    <row r="20" spans="1:25" x14ac:dyDescent="0.35">
      <c r="A20" s="894"/>
      <c r="B20" s="894"/>
      <c r="C20" s="894"/>
      <c r="D20" s="894"/>
      <c r="E20" s="894"/>
      <c r="F20" s="894"/>
      <c r="G20" s="894"/>
      <c r="H20" s="894"/>
      <c r="I20" s="894"/>
      <c r="J20" s="894"/>
      <c r="K20" s="894"/>
      <c r="L20" s="894"/>
      <c r="M20" s="894"/>
      <c r="N20" s="894"/>
      <c r="O20" s="894"/>
      <c r="P20" s="894"/>
      <c r="Q20" s="894"/>
      <c r="R20" s="894"/>
      <c r="S20" s="894"/>
      <c r="T20" s="894"/>
      <c r="U20" s="894"/>
      <c r="V20" s="894"/>
      <c r="W20" s="894"/>
      <c r="X20" s="894"/>
      <c r="Y20" s="894"/>
    </row>
    <row r="21" spans="1:25" x14ac:dyDescent="0.35">
      <c r="A21" s="894"/>
      <c r="B21" s="894"/>
      <c r="C21" s="894"/>
      <c r="D21" s="894"/>
      <c r="E21" s="894"/>
      <c r="F21" s="894"/>
      <c r="G21" s="894"/>
      <c r="H21" s="894"/>
      <c r="I21" s="894"/>
      <c r="J21" s="894"/>
      <c r="K21" s="894"/>
      <c r="L21" s="894"/>
      <c r="M21" s="894"/>
      <c r="N21" s="894"/>
      <c r="O21" s="894"/>
      <c r="P21" s="894"/>
      <c r="Q21" s="894"/>
      <c r="R21" s="894"/>
      <c r="S21" s="894"/>
      <c r="T21" s="894"/>
      <c r="U21" s="894"/>
      <c r="V21" s="894"/>
      <c r="W21" s="894"/>
      <c r="X21" s="894"/>
      <c r="Y21" s="894"/>
    </row>
    <row r="22" spans="1:25" x14ac:dyDescent="0.35">
      <c r="A22" s="894"/>
      <c r="B22" s="894"/>
      <c r="C22" s="894"/>
      <c r="D22" s="894"/>
      <c r="E22" s="894"/>
      <c r="F22" s="894"/>
      <c r="G22" s="894"/>
      <c r="H22" s="894"/>
      <c r="I22" s="894"/>
      <c r="J22" s="894"/>
      <c r="K22" s="894"/>
      <c r="L22" s="894"/>
      <c r="M22" s="894"/>
      <c r="N22" s="894"/>
      <c r="O22" s="894"/>
      <c r="P22" s="894"/>
      <c r="Q22" s="894"/>
      <c r="R22" s="894"/>
      <c r="S22" s="894"/>
      <c r="T22" s="894"/>
      <c r="U22" s="894"/>
      <c r="V22" s="894"/>
      <c r="W22" s="894"/>
      <c r="X22" s="894"/>
      <c r="Y22" s="894"/>
    </row>
    <row r="23" spans="1:25" x14ac:dyDescent="0.35">
      <c r="A23" s="894"/>
      <c r="B23" s="894"/>
      <c r="C23" s="894"/>
      <c r="D23" s="894"/>
      <c r="E23" s="894"/>
      <c r="F23" s="894"/>
      <c r="G23" s="894"/>
      <c r="H23" s="894"/>
      <c r="I23" s="894"/>
      <c r="J23" s="894"/>
      <c r="K23" s="894"/>
      <c r="L23" s="894"/>
      <c r="M23" s="894"/>
      <c r="N23" s="894"/>
      <c r="O23" s="894"/>
      <c r="P23" s="894"/>
      <c r="Q23" s="894"/>
      <c r="R23" s="894"/>
      <c r="S23" s="894"/>
      <c r="T23" s="894"/>
      <c r="U23" s="894"/>
      <c r="V23" s="894"/>
      <c r="W23" s="894"/>
      <c r="X23" s="894"/>
      <c r="Y23" s="894"/>
    </row>
    <row r="24" spans="1:25" x14ac:dyDescent="0.35">
      <c r="A24" s="894"/>
      <c r="B24" s="894"/>
      <c r="C24" s="894"/>
      <c r="D24" s="894"/>
      <c r="E24" s="894"/>
      <c r="F24" s="894"/>
      <c r="G24" s="894"/>
      <c r="H24" s="894"/>
      <c r="I24" s="894"/>
      <c r="J24" s="894"/>
      <c r="K24" s="894"/>
      <c r="L24" s="894"/>
      <c r="M24" s="894"/>
      <c r="N24" s="894"/>
      <c r="O24" s="894"/>
      <c r="P24" s="894"/>
      <c r="Q24" s="894"/>
      <c r="R24" s="894"/>
      <c r="S24" s="894"/>
      <c r="T24" s="894"/>
      <c r="U24" s="894"/>
      <c r="V24" s="894"/>
      <c r="W24" s="894"/>
      <c r="X24" s="894"/>
      <c r="Y24" s="894"/>
    </row>
    <row r="25" spans="1:25" x14ac:dyDescent="0.35">
      <c r="A25" s="894"/>
      <c r="B25" s="894"/>
      <c r="C25" s="894"/>
      <c r="D25" s="894"/>
      <c r="E25" s="894"/>
      <c r="F25" s="894"/>
      <c r="G25" s="894"/>
      <c r="H25" s="894"/>
      <c r="I25" s="894"/>
      <c r="J25" s="894"/>
      <c r="K25" s="894"/>
      <c r="L25" s="894"/>
      <c r="M25" s="894"/>
      <c r="N25" s="894"/>
      <c r="O25" s="894"/>
      <c r="P25" s="894"/>
      <c r="Q25" s="894"/>
      <c r="R25" s="894"/>
      <c r="S25" s="894"/>
      <c r="T25" s="894"/>
      <c r="U25" s="894"/>
      <c r="V25" s="894"/>
      <c r="W25" s="894"/>
      <c r="X25" s="894"/>
      <c r="Y25" s="894"/>
    </row>
    <row r="26" spans="1:25" x14ac:dyDescent="0.35">
      <c r="A26" s="894"/>
      <c r="B26" s="894"/>
      <c r="C26" s="894"/>
      <c r="D26" s="894"/>
      <c r="E26" s="894"/>
      <c r="F26" s="894"/>
      <c r="G26" s="894"/>
      <c r="H26" s="894"/>
      <c r="I26" s="894"/>
      <c r="J26" s="894"/>
      <c r="K26" s="894"/>
      <c r="L26" s="894"/>
      <c r="M26" s="894"/>
      <c r="N26" s="894"/>
      <c r="O26" s="894"/>
      <c r="P26" s="894"/>
      <c r="Q26" s="894"/>
      <c r="R26" s="894"/>
      <c r="S26" s="894"/>
      <c r="T26" s="894"/>
      <c r="U26" s="894"/>
      <c r="V26" s="894"/>
      <c r="W26" s="894"/>
      <c r="X26" s="894"/>
      <c r="Y26" s="894"/>
    </row>
    <row r="27" spans="1:25" x14ac:dyDescent="0.35">
      <c r="A27" s="894"/>
      <c r="B27" s="894"/>
      <c r="C27" s="894"/>
      <c r="D27" s="894"/>
      <c r="E27" s="894"/>
      <c r="F27" s="894"/>
      <c r="G27" s="894"/>
      <c r="H27" s="894"/>
      <c r="I27" s="894"/>
      <c r="J27" s="894"/>
      <c r="K27" s="894"/>
      <c r="L27" s="894"/>
      <c r="M27" s="894"/>
      <c r="N27" s="894"/>
      <c r="O27" s="894"/>
      <c r="P27" s="894"/>
      <c r="Q27" s="894"/>
      <c r="R27" s="894"/>
      <c r="S27" s="894"/>
      <c r="T27" s="894"/>
      <c r="U27" s="894"/>
      <c r="V27" s="894"/>
      <c r="W27" s="894"/>
      <c r="X27" s="894"/>
      <c r="Y27" s="894"/>
    </row>
    <row r="28" spans="1:25" x14ac:dyDescent="0.35">
      <c r="A28" s="894"/>
      <c r="B28" s="894"/>
      <c r="C28" s="894"/>
      <c r="D28" s="894"/>
      <c r="E28" s="894"/>
      <c r="F28" s="894"/>
      <c r="G28" s="894"/>
      <c r="H28" s="894"/>
      <c r="I28" s="894"/>
      <c r="J28" s="894"/>
      <c r="K28" s="894"/>
      <c r="L28" s="894"/>
      <c r="M28" s="894"/>
      <c r="N28" s="894"/>
      <c r="O28" s="894"/>
      <c r="P28" s="894"/>
      <c r="Q28" s="894"/>
      <c r="R28" s="894"/>
      <c r="S28" s="894"/>
      <c r="T28" s="894"/>
      <c r="U28" s="894"/>
      <c r="V28" s="894"/>
      <c r="W28" s="894"/>
      <c r="X28" s="894"/>
      <c r="Y28" s="894"/>
    </row>
    <row r="29" spans="1:25" x14ac:dyDescent="0.35">
      <c r="A29" s="894"/>
      <c r="B29" s="894"/>
      <c r="C29" s="894"/>
      <c r="D29" s="894"/>
      <c r="E29" s="894"/>
      <c r="F29" s="894"/>
      <c r="G29" s="894"/>
      <c r="H29" s="894"/>
      <c r="I29" s="894"/>
      <c r="J29" s="894"/>
      <c r="K29" s="894"/>
      <c r="L29" s="894"/>
      <c r="M29" s="894"/>
      <c r="N29" s="894"/>
      <c r="O29" s="894"/>
      <c r="P29" s="894"/>
      <c r="Q29" s="894"/>
      <c r="R29" s="894"/>
      <c r="S29" s="894"/>
      <c r="T29" s="894"/>
      <c r="U29" s="894"/>
      <c r="V29" s="894"/>
      <c r="W29" s="894"/>
      <c r="X29" s="894"/>
      <c r="Y29" s="894"/>
    </row>
    <row r="30" spans="1:25" x14ac:dyDescent="0.35">
      <c r="A30" s="894"/>
      <c r="B30" s="894"/>
      <c r="C30" s="894"/>
      <c r="D30" s="894"/>
      <c r="E30" s="894"/>
      <c r="F30" s="894"/>
      <c r="G30" s="894"/>
      <c r="H30" s="894"/>
      <c r="I30" s="894"/>
      <c r="J30" s="894"/>
      <c r="K30" s="894"/>
      <c r="L30" s="894"/>
      <c r="M30" s="894"/>
      <c r="N30" s="894"/>
      <c r="O30" s="894"/>
      <c r="P30" s="894"/>
      <c r="Q30" s="894"/>
      <c r="R30" s="894"/>
      <c r="S30" s="894"/>
      <c r="T30" s="894"/>
      <c r="U30" s="894"/>
      <c r="V30" s="894"/>
      <c r="W30" s="894"/>
      <c r="X30" s="894"/>
      <c r="Y30" s="894"/>
    </row>
    <row r="31" spans="1:25" x14ac:dyDescent="0.35">
      <c r="A31" s="894"/>
      <c r="B31" s="894"/>
      <c r="C31" s="894"/>
      <c r="D31" s="894"/>
      <c r="E31" s="894"/>
      <c r="F31" s="894"/>
      <c r="G31" s="894"/>
      <c r="H31" s="894"/>
      <c r="I31" s="894"/>
      <c r="J31" s="894"/>
      <c r="K31" s="894"/>
      <c r="L31" s="894"/>
      <c r="M31" s="894"/>
      <c r="N31" s="894"/>
      <c r="O31" s="894"/>
      <c r="P31" s="894"/>
      <c r="Q31" s="894"/>
      <c r="R31" s="894"/>
      <c r="S31" s="894"/>
      <c r="T31" s="894"/>
      <c r="U31" s="894"/>
      <c r="V31" s="894"/>
      <c r="W31" s="894"/>
      <c r="X31" s="894"/>
      <c r="Y31" s="894"/>
    </row>
    <row r="32" spans="1:25" x14ac:dyDescent="0.35">
      <c r="A32" s="894"/>
      <c r="B32" s="894"/>
      <c r="C32" s="894"/>
      <c r="D32" s="894"/>
      <c r="E32" s="894"/>
      <c r="F32" s="894"/>
      <c r="G32" s="894"/>
      <c r="H32" s="894"/>
      <c r="I32" s="894"/>
      <c r="J32" s="894"/>
      <c r="K32" s="894"/>
      <c r="L32" s="894"/>
      <c r="M32" s="894"/>
      <c r="N32" s="894"/>
      <c r="O32" s="894"/>
      <c r="P32" s="894"/>
      <c r="Q32" s="894"/>
      <c r="R32" s="894"/>
      <c r="S32" s="894"/>
      <c r="T32" s="894"/>
      <c r="U32" s="894"/>
      <c r="V32" s="894"/>
      <c r="W32" s="894"/>
      <c r="X32" s="894"/>
      <c r="Y32" s="894"/>
    </row>
    <row r="33" spans="1:25" x14ac:dyDescent="0.35">
      <c r="A33" s="894"/>
      <c r="B33" s="894"/>
      <c r="C33" s="894"/>
      <c r="D33" s="894"/>
      <c r="E33" s="894"/>
      <c r="F33" s="894"/>
      <c r="G33" s="894"/>
      <c r="H33" s="894"/>
      <c r="I33" s="894"/>
      <c r="J33" s="894"/>
      <c r="K33" s="894"/>
      <c r="L33" s="894"/>
      <c r="M33" s="894"/>
      <c r="N33" s="894"/>
      <c r="O33" s="894"/>
      <c r="P33" s="894"/>
      <c r="Q33" s="894"/>
      <c r="R33" s="894"/>
      <c r="S33" s="894"/>
      <c r="T33" s="894"/>
      <c r="U33" s="894"/>
      <c r="V33" s="894"/>
      <c r="W33" s="894"/>
      <c r="X33" s="894"/>
      <c r="Y33" s="894"/>
    </row>
    <row r="34" spans="1:25" x14ac:dyDescent="0.35">
      <c r="A34" s="894"/>
      <c r="B34" s="894"/>
      <c r="C34" s="894"/>
      <c r="D34" s="894"/>
      <c r="E34" s="894"/>
      <c r="F34" s="894"/>
      <c r="G34" s="894"/>
      <c r="H34" s="894"/>
      <c r="I34" s="894"/>
      <c r="J34" s="894"/>
      <c r="K34" s="894"/>
      <c r="L34" s="894"/>
      <c r="M34" s="894"/>
      <c r="N34" s="894"/>
      <c r="O34" s="894"/>
      <c r="P34" s="894"/>
      <c r="Q34" s="894"/>
      <c r="R34" s="894"/>
      <c r="S34" s="894"/>
      <c r="T34" s="894"/>
      <c r="U34" s="894"/>
      <c r="V34" s="894"/>
      <c r="W34" s="894"/>
      <c r="X34" s="894"/>
      <c r="Y34" s="894"/>
    </row>
    <row r="35" spans="1:25" x14ac:dyDescent="0.35">
      <c r="A35" s="894"/>
      <c r="B35" s="894"/>
      <c r="C35" s="894"/>
      <c r="D35" s="894"/>
      <c r="E35" s="894"/>
      <c r="F35" s="894"/>
      <c r="G35" s="894"/>
      <c r="H35" s="894"/>
      <c r="I35" s="894"/>
      <c r="J35" s="894"/>
      <c r="K35" s="894"/>
      <c r="L35" s="894"/>
      <c r="M35" s="894"/>
      <c r="N35" s="894"/>
      <c r="O35" s="894"/>
      <c r="P35" s="894"/>
      <c r="Q35" s="894"/>
      <c r="R35" s="894"/>
      <c r="S35" s="894"/>
      <c r="T35" s="894"/>
      <c r="U35" s="894"/>
      <c r="V35" s="894"/>
      <c r="W35" s="894"/>
      <c r="X35" s="894"/>
      <c r="Y35" s="894"/>
    </row>
    <row r="36" spans="1:25" x14ac:dyDescent="0.35">
      <c r="A36" s="894"/>
      <c r="B36" s="894"/>
      <c r="C36" s="894"/>
      <c r="D36" s="894"/>
      <c r="E36" s="894"/>
      <c r="F36" s="894"/>
      <c r="G36" s="894"/>
      <c r="H36" s="894"/>
      <c r="I36" s="894"/>
      <c r="J36" s="894"/>
      <c r="K36" s="894"/>
      <c r="L36" s="894"/>
      <c r="M36" s="894"/>
      <c r="N36" s="894"/>
      <c r="O36" s="894"/>
      <c r="P36" s="894"/>
      <c r="Q36" s="894"/>
      <c r="R36" s="894"/>
      <c r="S36" s="894"/>
      <c r="T36" s="894"/>
      <c r="U36" s="894"/>
      <c r="V36" s="894"/>
      <c r="W36" s="894"/>
      <c r="X36" s="894"/>
      <c r="Y36" s="894"/>
    </row>
    <row r="37" spans="1:25" x14ac:dyDescent="0.35">
      <c r="A37" s="894"/>
      <c r="B37" s="894"/>
      <c r="C37" s="894"/>
      <c r="D37" s="894"/>
      <c r="E37" s="894"/>
      <c r="F37" s="894"/>
      <c r="G37" s="894"/>
      <c r="H37" s="894"/>
      <c r="I37" s="894"/>
      <c r="J37" s="894"/>
      <c r="K37" s="894"/>
      <c r="L37" s="894"/>
      <c r="M37" s="894"/>
      <c r="N37" s="894"/>
      <c r="O37" s="894"/>
      <c r="P37" s="894"/>
      <c r="Q37" s="894"/>
      <c r="R37" s="894"/>
      <c r="S37" s="894"/>
      <c r="T37" s="894"/>
      <c r="U37" s="894"/>
      <c r="V37" s="894"/>
      <c r="W37" s="894"/>
      <c r="X37" s="894"/>
      <c r="Y37" s="894"/>
    </row>
    <row r="38" spans="1:25" x14ac:dyDescent="0.35">
      <c r="A38" s="894"/>
      <c r="B38" s="894"/>
      <c r="C38" s="894"/>
      <c r="D38" s="894"/>
      <c r="E38" s="894"/>
      <c r="F38" s="894"/>
      <c r="G38" s="894"/>
      <c r="H38" s="894"/>
      <c r="I38" s="894"/>
      <c r="J38" s="894"/>
      <c r="K38" s="894"/>
      <c r="L38" s="894"/>
      <c r="M38" s="894"/>
      <c r="N38" s="894"/>
      <c r="O38" s="894"/>
      <c r="P38" s="894"/>
      <c r="Q38" s="894"/>
      <c r="R38" s="894"/>
      <c r="S38" s="894"/>
      <c r="T38" s="894"/>
      <c r="U38" s="894"/>
      <c r="V38" s="894"/>
      <c r="W38" s="894"/>
      <c r="X38" s="894"/>
      <c r="Y38" s="894"/>
    </row>
    <row r="39" spans="1:25" x14ac:dyDescent="0.35">
      <c r="A39" s="894"/>
      <c r="B39" s="894"/>
      <c r="C39" s="894"/>
      <c r="D39" s="894"/>
      <c r="E39" s="894"/>
      <c r="F39" s="894"/>
      <c r="G39" s="894"/>
      <c r="H39" s="894"/>
      <c r="I39" s="894"/>
      <c r="J39" s="894"/>
      <c r="K39" s="894"/>
      <c r="L39" s="894"/>
      <c r="M39" s="894"/>
      <c r="N39" s="894"/>
      <c r="O39" s="894"/>
      <c r="P39" s="894"/>
      <c r="Q39" s="894"/>
      <c r="R39" s="894"/>
      <c r="S39" s="894"/>
      <c r="T39" s="894"/>
      <c r="U39" s="894"/>
      <c r="V39" s="894"/>
      <c r="W39" s="894"/>
      <c r="X39" s="894"/>
      <c r="Y39" s="894"/>
    </row>
    <row r="40" spans="1:25" x14ac:dyDescent="0.35">
      <c r="A40" s="894"/>
      <c r="B40" s="894"/>
      <c r="C40" s="894"/>
      <c r="D40" s="894"/>
      <c r="E40" s="894"/>
      <c r="F40" s="894"/>
      <c r="G40" s="894"/>
      <c r="H40" s="894"/>
      <c r="I40" s="894"/>
      <c r="J40" s="894"/>
      <c r="K40" s="894"/>
      <c r="L40" s="894"/>
      <c r="M40" s="894"/>
      <c r="N40" s="894"/>
      <c r="O40" s="894"/>
      <c r="P40" s="894"/>
      <c r="Q40" s="894"/>
      <c r="R40" s="894"/>
      <c r="S40" s="894"/>
      <c r="T40" s="894"/>
      <c r="U40" s="894"/>
      <c r="V40" s="894"/>
      <c r="W40" s="894"/>
      <c r="X40" s="894"/>
      <c r="Y40" s="894"/>
    </row>
    <row r="41" spans="1:25" x14ac:dyDescent="0.35">
      <c r="A41" s="894"/>
      <c r="B41" s="894"/>
      <c r="C41" s="894"/>
      <c r="D41" s="894"/>
      <c r="E41" s="894"/>
      <c r="F41" s="894"/>
      <c r="G41" s="894"/>
      <c r="H41" s="894"/>
      <c r="I41" s="894"/>
      <c r="J41" s="894"/>
      <c r="K41" s="894"/>
      <c r="L41" s="894"/>
      <c r="M41" s="894"/>
      <c r="N41" s="894"/>
      <c r="O41" s="894"/>
      <c r="P41" s="894"/>
      <c r="Q41" s="894"/>
      <c r="R41" s="894"/>
      <c r="S41" s="894"/>
      <c r="T41" s="894"/>
      <c r="U41" s="894"/>
      <c r="V41" s="894"/>
      <c r="W41" s="894"/>
      <c r="X41" s="894"/>
      <c r="Y41" s="894"/>
    </row>
    <row r="42" spans="1:25" x14ac:dyDescent="0.35">
      <c r="A42" s="894"/>
      <c r="B42" s="894"/>
      <c r="C42" s="894"/>
      <c r="D42" s="894"/>
      <c r="E42" s="894"/>
      <c r="F42" s="894"/>
      <c r="G42" s="894"/>
      <c r="H42" s="894"/>
      <c r="I42" s="894"/>
      <c r="J42" s="894"/>
      <c r="K42" s="894"/>
      <c r="L42" s="894"/>
      <c r="M42" s="894"/>
      <c r="N42" s="894"/>
      <c r="O42" s="894"/>
      <c r="P42" s="894"/>
      <c r="Q42" s="894"/>
      <c r="R42" s="894"/>
      <c r="S42" s="894"/>
      <c r="T42" s="894"/>
      <c r="U42" s="894"/>
      <c r="V42" s="894"/>
      <c r="W42" s="894"/>
      <c r="X42" s="894"/>
      <c r="Y42" s="894"/>
    </row>
    <row r="43" spans="1:25" x14ac:dyDescent="0.35">
      <c r="A43" s="894"/>
      <c r="B43" s="894"/>
      <c r="C43" s="894"/>
      <c r="D43" s="894"/>
      <c r="E43" s="894"/>
      <c r="F43" s="894"/>
      <c r="G43" s="894"/>
      <c r="H43" s="894"/>
      <c r="I43" s="894"/>
      <c r="J43" s="894"/>
      <c r="K43" s="894"/>
      <c r="L43" s="894"/>
      <c r="M43" s="894"/>
      <c r="N43" s="894"/>
      <c r="O43" s="894"/>
      <c r="P43" s="894"/>
      <c r="Q43" s="894"/>
      <c r="R43" s="894"/>
      <c r="S43" s="894"/>
      <c r="T43" s="894"/>
      <c r="U43" s="894"/>
      <c r="V43" s="894"/>
      <c r="W43" s="894"/>
      <c r="X43" s="894"/>
      <c r="Y43" s="894"/>
    </row>
    <row r="44" spans="1:25" x14ac:dyDescent="0.35">
      <c r="A44" s="894"/>
      <c r="B44" s="894"/>
      <c r="C44" s="894"/>
      <c r="D44" s="894"/>
      <c r="E44" s="894"/>
      <c r="F44" s="894"/>
      <c r="G44" s="894"/>
      <c r="H44" s="894"/>
      <c r="I44" s="894"/>
      <c r="J44" s="894"/>
      <c r="K44" s="894"/>
      <c r="L44" s="894"/>
      <c r="M44" s="894"/>
      <c r="N44" s="894"/>
      <c r="O44" s="894"/>
      <c r="P44" s="894"/>
      <c r="Q44" s="894"/>
      <c r="R44" s="894"/>
      <c r="S44" s="894"/>
      <c r="T44" s="894"/>
      <c r="U44" s="894"/>
      <c r="V44" s="894"/>
      <c r="W44" s="894"/>
      <c r="X44" s="894"/>
      <c r="Y44" s="894"/>
    </row>
    <row r="45" spans="1:25" x14ac:dyDescent="0.35">
      <c r="A45" s="894"/>
      <c r="B45" s="894"/>
      <c r="C45" s="894"/>
      <c r="D45" s="894"/>
      <c r="E45" s="894"/>
      <c r="F45" s="894"/>
      <c r="G45" s="894"/>
      <c r="H45" s="894"/>
      <c r="I45" s="894"/>
      <c r="J45" s="894"/>
      <c r="K45" s="894"/>
      <c r="L45" s="894"/>
      <c r="M45" s="894"/>
      <c r="N45" s="894"/>
      <c r="O45" s="894"/>
      <c r="P45" s="894"/>
      <c r="Q45" s="894"/>
      <c r="R45" s="894"/>
      <c r="S45" s="894"/>
      <c r="T45" s="894"/>
      <c r="U45" s="894"/>
      <c r="V45" s="894"/>
      <c r="W45" s="894"/>
      <c r="X45" s="894"/>
      <c r="Y45" s="894"/>
    </row>
    <row r="46" spans="1:25" x14ac:dyDescent="0.35">
      <c r="A46" s="894"/>
      <c r="B46" s="894"/>
      <c r="C46" s="894"/>
      <c r="D46" s="894"/>
      <c r="E46" s="894"/>
      <c r="F46" s="894"/>
      <c r="G46" s="894"/>
      <c r="H46" s="894"/>
      <c r="I46" s="894"/>
      <c r="J46" s="894"/>
      <c r="K46" s="894"/>
      <c r="L46" s="894"/>
      <c r="M46" s="894"/>
      <c r="N46" s="894"/>
      <c r="O46" s="894"/>
      <c r="P46" s="894"/>
      <c r="Q46" s="894"/>
      <c r="R46" s="894"/>
      <c r="S46" s="894"/>
      <c r="T46" s="894"/>
      <c r="U46" s="894"/>
      <c r="V46" s="894"/>
      <c r="W46" s="894"/>
      <c r="X46" s="894"/>
      <c r="Y46" s="894"/>
    </row>
    <row r="47" spans="1:25" x14ac:dyDescent="0.35">
      <c r="A47" s="894"/>
      <c r="B47" s="894"/>
      <c r="C47" s="894"/>
      <c r="D47" s="894"/>
      <c r="E47" s="894"/>
      <c r="F47" s="894"/>
      <c r="G47" s="894"/>
      <c r="H47" s="894"/>
      <c r="I47" s="894"/>
      <c r="J47" s="894"/>
      <c r="K47" s="894"/>
      <c r="L47" s="894"/>
      <c r="M47" s="894"/>
      <c r="N47" s="894"/>
      <c r="O47" s="894"/>
      <c r="P47" s="894"/>
      <c r="Q47" s="894"/>
      <c r="R47" s="894"/>
      <c r="S47" s="894"/>
      <c r="T47" s="894"/>
      <c r="U47" s="894"/>
      <c r="V47" s="894"/>
      <c r="W47" s="894"/>
      <c r="X47" s="894"/>
      <c r="Y47" s="894"/>
    </row>
    <row r="48" spans="1:25" x14ac:dyDescent="0.35">
      <c r="A48" s="894"/>
      <c r="B48" s="894"/>
      <c r="C48" s="894"/>
      <c r="D48" s="894"/>
      <c r="E48" s="894"/>
      <c r="F48" s="894"/>
      <c r="G48" s="894"/>
      <c r="H48" s="894"/>
      <c r="I48" s="894"/>
      <c r="J48" s="894"/>
      <c r="K48" s="894"/>
      <c r="L48" s="894"/>
      <c r="M48" s="894"/>
      <c r="N48" s="894"/>
      <c r="O48" s="894"/>
      <c r="P48" s="894"/>
      <c r="Q48" s="894"/>
      <c r="R48" s="894"/>
      <c r="S48" s="894"/>
      <c r="T48" s="894"/>
      <c r="U48" s="894"/>
      <c r="V48" s="894"/>
      <c r="W48" s="894"/>
      <c r="X48" s="894"/>
      <c r="Y48" s="894"/>
    </row>
    <row r="49" spans="1:25" x14ac:dyDescent="0.35">
      <c r="A49" s="894"/>
      <c r="B49" s="894"/>
      <c r="C49" s="894"/>
      <c r="D49" s="894"/>
      <c r="E49" s="894"/>
      <c r="F49" s="894"/>
      <c r="G49" s="894"/>
      <c r="H49" s="894"/>
      <c r="I49" s="894"/>
      <c r="J49" s="894"/>
      <c r="K49" s="894"/>
      <c r="L49" s="894"/>
      <c r="M49" s="894"/>
      <c r="N49" s="894"/>
      <c r="O49" s="894"/>
      <c r="P49" s="894"/>
      <c r="Q49" s="894"/>
      <c r="R49" s="894"/>
      <c r="S49" s="894"/>
      <c r="T49" s="894"/>
      <c r="U49" s="894"/>
      <c r="V49" s="894"/>
      <c r="W49" s="894"/>
      <c r="X49" s="894"/>
      <c r="Y49" s="894"/>
    </row>
    <row r="50" spans="1:25" x14ac:dyDescent="0.35">
      <c r="A50" s="894"/>
      <c r="B50" s="894"/>
      <c r="C50" s="894"/>
      <c r="D50" s="894"/>
      <c r="E50" s="894"/>
      <c r="F50" s="894"/>
      <c r="G50" s="894"/>
      <c r="H50" s="894"/>
      <c r="I50" s="894"/>
      <c r="J50" s="894"/>
      <c r="K50" s="894"/>
      <c r="L50" s="894"/>
      <c r="M50" s="894"/>
      <c r="N50" s="894"/>
      <c r="O50" s="894"/>
      <c r="P50" s="894"/>
      <c r="Q50" s="894"/>
      <c r="R50" s="894"/>
      <c r="S50" s="894"/>
      <c r="T50" s="894"/>
      <c r="U50" s="894"/>
      <c r="V50" s="894"/>
      <c r="W50" s="894"/>
      <c r="X50" s="894"/>
      <c r="Y50" s="894"/>
    </row>
    <row r="51" spans="1:25" x14ac:dyDescent="0.35">
      <c r="A51" s="894"/>
      <c r="B51" s="894"/>
      <c r="C51" s="894"/>
      <c r="D51" s="894"/>
      <c r="E51" s="894"/>
      <c r="F51" s="894"/>
      <c r="G51" s="894"/>
      <c r="H51" s="894"/>
      <c r="I51" s="894"/>
      <c r="J51" s="894"/>
      <c r="K51" s="894"/>
      <c r="L51" s="894"/>
      <c r="M51" s="894"/>
      <c r="N51" s="894"/>
      <c r="O51" s="894"/>
      <c r="P51" s="894"/>
      <c r="Q51" s="894"/>
      <c r="R51" s="894"/>
      <c r="S51" s="894"/>
      <c r="T51" s="894"/>
      <c r="U51" s="894"/>
      <c r="V51" s="894"/>
      <c r="W51" s="894"/>
      <c r="X51" s="894"/>
      <c r="Y51" s="894"/>
    </row>
    <row r="52" spans="1:25" x14ac:dyDescent="0.35">
      <c r="A52" s="894"/>
      <c r="B52" s="894"/>
      <c r="C52" s="894"/>
      <c r="D52" s="894"/>
      <c r="E52" s="894"/>
      <c r="F52" s="894"/>
      <c r="G52" s="894"/>
      <c r="H52" s="894"/>
      <c r="I52" s="894"/>
      <c r="J52" s="894"/>
      <c r="K52" s="894"/>
      <c r="L52" s="894"/>
      <c r="M52" s="894"/>
      <c r="N52" s="894"/>
      <c r="O52" s="894"/>
      <c r="P52" s="894"/>
      <c r="Q52" s="894"/>
      <c r="R52" s="894"/>
      <c r="S52" s="894"/>
      <c r="T52" s="894"/>
      <c r="U52" s="894"/>
      <c r="V52" s="894"/>
      <c r="W52" s="894"/>
      <c r="X52" s="894"/>
      <c r="Y52" s="894"/>
    </row>
    <row r="53" spans="1:25" x14ac:dyDescent="0.35">
      <c r="A53" s="894"/>
      <c r="B53" s="894"/>
      <c r="C53" s="894"/>
      <c r="D53" s="894"/>
      <c r="E53" s="894"/>
      <c r="F53" s="894"/>
      <c r="G53" s="894"/>
      <c r="H53" s="894"/>
      <c r="I53" s="894"/>
      <c r="J53" s="894"/>
      <c r="K53" s="894"/>
      <c r="L53" s="894"/>
      <c r="M53" s="894"/>
      <c r="N53" s="894"/>
      <c r="O53" s="894"/>
      <c r="P53" s="894"/>
      <c r="Q53" s="894"/>
      <c r="R53" s="894"/>
      <c r="S53" s="894"/>
      <c r="T53" s="894"/>
      <c r="U53" s="894"/>
      <c r="V53" s="894"/>
      <c r="W53" s="894"/>
      <c r="X53" s="894"/>
      <c r="Y53" s="894"/>
    </row>
    <row r="54" spans="1:25" x14ac:dyDescent="0.35">
      <c r="A54" s="894"/>
      <c r="B54" s="894"/>
      <c r="C54" s="894"/>
      <c r="D54" s="894"/>
      <c r="E54" s="894"/>
      <c r="F54" s="894"/>
      <c r="G54" s="894"/>
      <c r="H54" s="894"/>
      <c r="I54" s="894"/>
      <c r="J54" s="894"/>
      <c r="K54" s="894"/>
      <c r="L54" s="894"/>
      <c r="M54" s="894"/>
      <c r="N54" s="894"/>
      <c r="O54" s="894"/>
      <c r="P54" s="894"/>
      <c r="Q54" s="894"/>
      <c r="R54" s="894"/>
      <c r="S54" s="894"/>
      <c r="T54" s="894"/>
      <c r="U54" s="894"/>
      <c r="V54" s="894"/>
      <c r="W54" s="894"/>
      <c r="X54" s="894"/>
      <c r="Y54" s="894"/>
    </row>
    <row r="55" spans="1:25" x14ac:dyDescent="0.35">
      <c r="A55" s="894"/>
      <c r="B55" s="894"/>
      <c r="C55" s="894"/>
      <c r="D55" s="894"/>
      <c r="E55" s="894"/>
      <c r="F55" s="894"/>
      <c r="G55" s="894"/>
      <c r="H55" s="894"/>
      <c r="I55" s="894"/>
      <c r="J55" s="894"/>
      <c r="K55" s="894"/>
      <c r="L55" s="894"/>
      <c r="M55" s="894"/>
      <c r="N55" s="894"/>
      <c r="O55" s="894"/>
      <c r="P55" s="894"/>
      <c r="Q55" s="894"/>
      <c r="R55" s="894"/>
      <c r="S55" s="894"/>
      <c r="T55" s="894"/>
      <c r="U55" s="894"/>
      <c r="V55" s="894"/>
      <c r="W55" s="894"/>
      <c r="X55" s="894"/>
      <c r="Y55" s="894"/>
    </row>
    <row r="56" spans="1:25" x14ac:dyDescent="0.35">
      <c r="A56" s="894"/>
      <c r="B56" s="894"/>
      <c r="C56" s="894"/>
      <c r="D56" s="894"/>
      <c r="E56" s="894"/>
      <c r="F56" s="894"/>
      <c r="G56" s="894"/>
      <c r="H56" s="894"/>
      <c r="I56" s="894"/>
      <c r="J56" s="894"/>
      <c r="K56" s="894"/>
      <c r="L56" s="894"/>
      <c r="M56" s="894"/>
      <c r="N56" s="894"/>
      <c r="O56" s="894"/>
      <c r="P56" s="894"/>
      <c r="Q56" s="894"/>
      <c r="R56" s="894"/>
      <c r="S56" s="894"/>
      <c r="T56" s="894"/>
      <c r="U56" s="894"/>
      <c r="V56" s="894"/>
      <c r="W56" s="894"/>
      <c r="X56" s="894"/>
      <c r="Y56" s="894"/>
    </row>
    <row r="57" spans="1:25" x14ac:dyDescent="0.35">
      <c r="A57" s="894"/>
      <c r="B57" s="894"/>
      <c r="C57" s="894"/>
      <c r="D57" s="894"/>
      <c r="E57" s="894"/>
      <c r="F57" s="894"/>
      <c r="G57" s="894"/>
      <c r="H57" s="894"/>
      <c r="I57" s="894"/>
      <c r="J57" s="894"/>
      <c r="K57" s="894"/>
      <c r="L57" s="894"/>
      <c r="M57" s="894"/>
      <c r="N57" s="894"/>
      <c r="O57" s="894"/>
      <c r="P57" s="894"/>
      <c r="Q57" s="894"/>
      <c r="R57" s="894"/>
      <c r="S57" s="894"/>
      <c r="T57" s="894"/>
      <c r="U57" s="894"/>
      <c r="V57" s="894"/>
      <c r="W57" s="894"/>
      <c r="X57" s="894"/>
      <c r="Y57" s="894"/>
    </row>
    <row r="58" spans="1:25" x14ac:dyDescent="0.35">
      <c r="A58" s="894"/>
      <c r="B58" s="894"/>
      <c r="C58" s="894"/>
      <c r="D58" s="894"/>
      <c r="E58" s="894"/>
      <c r="F58" s="894"/>
      <c r="G58" s="894"/>
      <c r="H58" s="894"/>
      <c r="I58" s="894"/>
      <c r="J58" s="894"/>
      <c r="K58" s="894"/>
      <c r="L58" s="894"/>
      <c r="M58" s="894"/>
      <c r="N58" s="894"/>
      <c r="O58" s="894"/>
      <c r="P58" s="894"/>
      <c r="Q58" s="894"/>
      <c r="R58" s="894"/>
      <c r="S58" s="894"/>
      <c r="T58" s="894"/>
      <c r="U58" s="894"/>
      <c r="V58" s="894"/>
      <c r="W58" s="894"/>
      <c r="X58" s="894"/>
      <c r="Y58" s="894"/>
    </row>
    <row r="59" spans="1:25" x14ac:dyDescent="0.35">
      <c r="A59" s="894"/>
      <c r="B59" s="894"/>
      <c r="C59" s="894"/>
      <c r="D59" s="894"/>
      <c r="E59" s="894"/>
      <c r="F59" s="894"/>
      <c r="G59" s="894"/>
      <c r="H59" s="894"/>
      <c r="I59" s="894"/>
      <c r="J59" s="894"/>
      <c r="K59" s="894"/>
      <c r="L59" s="894"/>
      <c r="M59" s="894"/>
      <c r="N59" s="894"/>
      <c r="O59" s="894"/>
      <c r="P59" s="894"/>
      <c r="Q59" s="894"/>
      <c r="R59" s="894"/>
      <c r="S59" s="894"/>
      <c r="T59" s="894"/>
      <c r="U59" s="894"/>
      <c r="V59" s="894"/>
      <c r="W59" s="894"/>
      <c r="X59" s="894"/>
      <c r="Y59" s="894"/>
    </row>
    <row r="60" spans="1:25" x14ac:dyDescent="0.35">
      <c r="A60" s="894"/>
      <c r="B60" s="894"/>
      <c r="C60" s="894"/>
      <c r="D60" s="894"/>
      <c r="E60" s="894"/>
      <c r="F60" s="894"/>
      <c r="G60" s="894"/>
      <c r="H60" s="894"/>
      <c r="I60" s="894"/>
      <c r="J60" s="894"/>
      <c r="K60" s="894"/>
      <c r="L60" s="894"/>
      <c r="M60" s="894"/>
      <c r="N60" s="894"/>
      <c r="O60" s="894"/>
      <c r="P60" s="894"/>
      <c r="Q60" s="894"/>
      <c r="R60" s="894"/>
      <c r="S60" s="894"/>
      <c r="T60" s="894"/>
      <c r="U60" s="894"/>
      <c r="V60" s="894"/>
      <c r="W60" s="894"/>
      <c r="X60" s="894"/>
      <c r="Y60" s="894"/>
    </row>
    <row r="61" spans="1:25" x14ac:dyDescent="0.35">
      <c r="A61" s="894"/>
      <c r="B61" s="894"/>
      <c r="C61" s="894"/>
      <c r="D61" s="894"/>
      <c r="E61" s="894"/>
      <c r="F61" s="894"/>
      <c r="G61" s="894"/>
      <c r="H61" s="894"/>
      <c r="I61" s="894"/>
      <c r="J61" s="894"/>
      <c r="K61" s="894"/>
      <c r="L61" s="894"/>
      <c r="M61" s="894"/>
      <c r="N61" s="894"/>
      <c r="O61" s="894"/>
      <c r="P61" s="894"/>
      <c r="Q61" s="894"/>
      <c r="R61" s="894"/>
      <c r="S61" s="894"/>
      <c r="T61" s="894"/>
      <c r="U61" s="894"/>
      <c r="V61" s="894"/>
      <c r="W61" s="894"/>
      <c r="X61" s="894"/>
      <c r="Y61" s="894"/>
    </row>
    <row r="62" spans="1:25" x14ac:dyDescent="0.35">
      <c r="A62" s="894"/>
      <c r="B62" s="894"/>
      <c r="C62" s="894"/>
      <c r="D62" s="894"/>
      <c r="E62" s="894"/>
      <c r="F62" s="894"/>
      <c r="G62" s="894"/>
      <c r="H62" s="894"/>
      <c r="I62" s="894"/>
      <c r="J62" s="894"/>
      <c r="K62" s="894"/>
      <c r="L62" s="894"/>
      <c r="M62" s="894"/>
      <c r="N62" s="894"/>
      <c r="O62" s="894"/>
      <c r="P62" s="894"/>
      <c r="Q62" s="894"/>
      <c r="R62" s="894"/>
      <c r="S62" s="894"/>
      <c r="T62" s="894"/>
      <c r="U62" s="894"/>
      <c r="V62" s="894"/>
      <c r="W62" s="894"/>
      <c r="X62" s="894"/>
      <c r="Y62" s="894"/>
    </row>
    <row r="63" spans="1:25" x14ac:dyDescent="0.35">
      <c r="A63" s="894"/>
      <c r="B63" s="894"/>
      <c r="C63" s="894"/>
      <c r="D63" s="894"/>
      <c r="E63" s="894"/>
      <c r="F63" s="894"/>
      <c r="G63" s="894"/>
      <c r="H63" s="894"/>
      <c r="I63" s="894"/>
      <c r="J63" s="894"/>
      <c r="K63" s="894"/>
      <c r="L63" s="894"/>
      <c r="M63" s="894"/>
      <c r="N63" s="894"/>
      <c r="O63" s="894"/>
      <c r="P63" s="894"/>
      <c r="Q63" s="894"/>
      <c r="R63" s="894"/>
      <c r="S63" s="894"/>
      <c r="T63" s="894"/>
      <c r="U63" s="894"/>
      <c r="V63" s="894"/>
      <c r="W63" s="894"/>
      <c r="X63" s="894"/>
      <c r="Y63" s="894"/>
    </row>
    <row r="64" spans="1:25" x14ac:dyDescent="0.35">
      <c r="A64" s="894"/>
      <c r="B64" s="894"/>
      <c r="C64" s="894"/>
      <c r="D64" s="894"/>
      <c r="E64" s="894"/>
      <c r="F64" s="894"/>
      <c r="G64" s="894"/>
      <c r="H64" s="894"/>
      <c r="I64" s="894"/>
      <c r="J64" s="894"/>
      <c r="K64" s="894"/>
      <c r="L64" s="894"/>
      <c r="M64" s="894"/>
      <c r="N64" s="894"/>
      <c r="O64" s="894"/>
      <c r="P64" s="894"/>
      <c r="Q64" s="894"/>
      <c r="R64" s="894"/>
      <c r="S64" s="894"/>
      <c r="T64" s="894"/>
      <c r="U64" s="894"/>
      <c r="V64" s="894"/>
      <c r="W64" s="894"/>
      <c r="X64" s="894"/>
      <c r="Y64" s="894"/>
    </row>
    <row r="65" spans="1:25" x14ac:dyDescent="0.35">
      <c r="A65" s="894"/>
      <c r="B65" s="894"/>
      <c r="C65" s="894"/>
      <c r="D65" s="894"/>
      <c r="E65" s="894"/>
      <c r="F65" s="894"/>
      <c r="G65" s="894"/>
      <c r="H65" s="894"/>
      <c r="I65" s="894"/>
      <c r="J65" s="894"/>
      <c r="K65" s="894"/>
      <c r="L65" s="894"/>
      <c r="M65" s="894"/>
      <c r="N65" s="894"/>
      <c r="O65" s="894"/>
      <c r="P65" s="894"/>
      <c r="Q65" s="894"/>
      <c r="R65" s="894"/>
      <c r="S65" s="894"/>
      <c r="T65" s="894"/>
      <c r="U65" s="894"/>
      <c r="V65" s="894"/>
      <c r="W65" s="894"/>
      <c r="X65" s="894"/>
      <c r="Y65" s="894"/>
    </row>
    <row r="66" spans="1:25" x14ac:dyDescent="0.35">
      <c r="A66" s="894"/>
      <c r="B66" s="894"/>
      <c r="C66" s="894"/>
      <c r="D66" s="894"/>
      <c r="E66" s="894"/>
      <c r="F66" s="894"/>
      <c r="G66" s="894"/>
      <c r="H66" s="894"/>
      <c r="I66" s="894"/>
      <c r="J66" s="894"/>
      <c r="K66" s="894"/>
      <c r="L66" s="894"/>
      <c r="M66" s="894"/>
      <c r="N66" s="894"/>
      <c r="O66" s="894"/>
      <c r="P66" s="894"/>
      <c r="Q66" s="894"/>
      <c r="R66" s="894"/>
      <c r="S66" s="894"/>
      <c r="T66" s="894"/>
      <c r="U66" s="894"/>
      <c r="V66" s="894"/>
      <c r="W66" s="894"/>
      <c r="X66" s="894"/>
      <c r="Y66" s="894"/>
    </row>
    <row r="67" spans="1:25" x14ac:dyDescent="0.35">
      <c r="A67" s="894"/>
      <c r="B67" s="894"/>
      <c r="C67" s="894"/>
      <c r="D67" s="894"/>
      <c r="E67" s="894"/>
      <c r="F67" s="894"/>
      <c r="G67" s="894"/>
      <c r="H67" s="894"/>
      <c r="I67" s="894"/>
      <c r="J67" s="894"/>
      <c r="K67" s="894"/>
      <c r="L67" s="894"/>
      <c r="M67" s="894"/>
      <c r="N67" s="894"/>
      <c r="O67" s="894"/>
      <c r="P67" s="894"/>
      <c r="Q67" s="894"/>
      <c r="R67" s="894"/>
      <c r="S67" s="894"/>
      <c r="T67" s="894"/>
      <c r="U67" s="894"/>
      <c r="V67" s="894"/>
      <c r="W67" s="894"/>
      <c r="X67" s="894"/>
      <c r="Y67" s="894"/>
    </row>
    <row r="68" spans="1:25" x14ac:dyDescent="0.35">
      <c r="A68" s="894"/>
      <c r="B68" s="894"/>
      <c r="C68" s="894"/>
      <c r="D68" s="894"/>
      <c r="E68" s="894"/>
      <c r="F68" s="894"/>
      <c r="G68" s="894"/>
      <c r="H68" s="894"/>
      <c r="I68" s="894"/>
      <c r="J68" s="894"/>
      <c r="K68" s="894"/>
      <c r="L68" s="894"/>
      <c r="M68" s="894"/>
      <c r="N68" s="894"/>
      <c r="O68" s="894"/>
      <c r="P68" s="894"/>
      <c r="Q68" s="894"/>
      <c r="R68" s="894"/>
      <c r="S68" s="894"/>
      <c r="T68" s="894"/>
      <c r="U68" s="894"/>
      <c r="V68" s="894"/>
      <c r="W68" s="894"/>
      <c r="X68" s="894"/>
      <c r="Y68" s="894"/>
    </row>
    <row r="69" spans="1:25" x14ac:dyDescent="0.35">
      <c r="A69" s="894"/>
      <c r="B69" s="894"/>
      <c r="C69" s="894"/>
      <c r="D69" s="894"/>
      <c r="E69" s="894"/>
      <c r="F69" s="894"/>
      <c r="G69" s="894"/>
      <c r="H69" s="894"/>
      <c r="I69" s="894"/>
      <c r="J69" s="894"/>
      <c r="K69" s="894"/>
      <c r="L69" s="894"/>
      <c r="M69" s="894"/>
      <c r="N69" s="894"/>
      <c r="O69" s="894"/>
      <c r="P69" s="894"/>
      <c r="Q69" s="894"/>
      <c r="R69" s="894"/>
      <c r="S69" s="894"/>
      <c r="T69" s="894"/>
      <c r="U69" s="894"/>
      <c r="V69" s="894"/>
      <c r="W69" s="894"/>
      <c r="X69" s="894"/>
      <c r="Y69" s="894"/>
    </row>
    <row r="70" spans="1:25" x14ac:dyDescent="0.35">
      <c r="A70" s="894"/>
      <c r="B70" s="894"/>
      <c r="C70" s="894"/>
      <c r="D70" s="894"/>
      <c r="E70" s="894"/>
      <c r="F70" s="894"/>
      <c r="G70" s="894"/>
      <c r="H70" s="894"/>
      <c r="I70" s="894"/>
      <c r="J70" s="894"/>
      <c r="K70" s="894"/>
      <c r="L70" s="894"/>
      <c r="M70" s="894"/>
      <c r="N70" s="894"/>
      <c r="O70" s="894"/>
      <c r="P70" s="894"/>
      <c r="Q70" s="894"/>
      <c r="R70" s="894"/>
      <c r="S70" s="894"/>
      <c r="T70" s="894"/>
      <c r="U70" s="894"/>
      <c r="V70" s="894"/>
      <c r="W70" s="894"/>
      <c r="X70" s="894"/>
      <c r="Y70" s="894"/>
    </row>
    <row r="71" spans="1:25" x14ac:dyDescent="0.35">
      <c r="A71" s="894"/>
      <c r="B71" s="894"/>
      <c r="C71" s="894"/>
      <c r="D71" s="894"/>
      <c r="E71" s="894"/>
      <c r="F71" s="894"/>
      <c r="G71" s="894"/>
      <c r="H71" s="894"/>
      <c r="I71" s="894"/>
      <c r="J71" s="894"/>
      <c r="K71" s="894"/>
      <c r="L71" s="894"/>
      <c r="M71" s="894"/>
      <c r="N71" s="894"/>
      <c r="O71" s="894"/>
      <c r="P71" s="894"/>
      <c r="Q71" s="894"/>
      <c r="R71" s="894"/>
      <c r="S71" s="894"/>
      <c r="T71" s="894"/>
      <c r="U71" s="894"/>
      <c r="V71" s="894"/>
      <c r="W71" s="894"/>
      <c r="X71" s="894"/>
      <c r="Y71" s="894"/>
    </row>
    <row r="72" spans="1:25" x14ac:dyDescent="0.35">
      <c r="A72" s="894"/>
      <c r="B72" s="894"/>
      <c r="C72" s="894"/>
      <c r="D72" s="894"/>
      <c r="E72" s="894"/>
      <c r="F72" s="894"/>
      <c r="G72" s="894"/>
      <c r="H72" s="894"/>
      <c r="I72" s="894"/>
      <c r="J72" s="894"/>
      <c r="K72" s="894"/>
      <c r="L72" s="894"/>
      <c r="M72" s="894"/>
      <c r="N72" s="894"/>
      <c r="O72" s="894"/>
      <c r="P72" s="894"/>
      <c r="Q72" s="894"/>
      <c r="R72" s="894"/>
      <c r="S72" s="894"/>
      <c r="T72" s="894"/>
      <c r="U72" s="894"/>
      <c r="V72" s="894"/>
      <c r="W72" s="894"/>
      <c r="X72" s="894"/>
      <c r="Y72" s="894"/>
    </row>
    <row r="73" spans="1:25" x14ac:dyDescent="0.35">
      <c r="A73" s="894"/>
      <c r="B73" s="894"/>
      <c r="C73" s="894"/>
      <c r="D73" s="894"/>
      <c r="E73" s="894"/>
      <c r="F73" s="894"/>
      <c r="G73" s="894"/>
      <c r="H73" s="894"/>
      <c r="I73" s="894"/>
      <c r="J73" s="894"/>
      <c r="K73" s="894"/>
      <c r="L73" s="894"/>
      <c r="M73" s="894"/>
      <c r="N73" s="894"/>
      <c r="O73" s="894"/>
      <c r="P73" s="894"/>
      <c r="Q73" s="894"/>
      <c r="R73" s="894"/>
      <c r="S73" s="894"/>
      <c r="T73" s="894"/>
      <c r="U73" s="894"/>
      <c r="V73" s="894"/>
      <c r="W73" s="894"/>
      <c r="X73" s="894"/>
      <c r="Y73" s="894"/>
    </row>
    <row r="74" spans="1:25" x14ac:dyDescent="0.35">
      <c r="A74" s="894"/>
      <c r="B74" s="894"/>
      <c r="C74" s="894"/>
      <c r="D74" s="894"/>
      <c r="E74" s="894"/>
      <c r="F74" s="894"/>
      <c r="G74" s="894"/>
      <c r="H74" s="894"/>
      <c r="I74" s="894"/>
      <c r="J74" s="894"/>
      <c r="K74" s="894"/>
      <c r="L74" s="894"/>
      <c r="M74" s="894"/>
      <c r="N74" s="894"/>
      <c r="O74" s="894"/>
      <c r="P74" s="894"/>
      <c r="Q74" s="894"/>
      <c r="R74" s="894"/>
      <c r="S74" s="894"/>
      <c r="T74" s="894"/>
      <c r="U74" s="894"/>
      <c r="V74" s="894"/>
      <c r="W74" s="894"/>
      <c r="X74" s="894"/>
      <c r="Y74" s="894"/>
    </row>
    <row r="75" spans="1:25" x14ac:dyDescent="0.35">
      <c r="A75" s="894"/>
      <c r="B75" s="894"/>
      <c r="C75" s="894"/>
      <c r="D75" s="894"/>
      <c r="E75" s="894"/>
      <c r="F75" s="894"/>
      <c r="G75" s="894"/>
      <c r="H75" s="894"/>
      <c r="I75" s="894"/>
      <c r="J75" s="894"/>
      <c r="K75" s="894"/>
      <c r="L75" s="894"/>
      <c r="M75" s="894"/>
      <c r="N75" s="894"/>
      <c r="O75" s="894"/>
      <c r="P75" s="894"/>
      <c r="Q75" s="894"/>
      <c r="R75" s="894"/>
      <c r="S75" s="894"/>
      <c r="T75" s="894"/>
      <c r="U75" s="894"/>
      <c r="V75" s="894"/>
      <c r="W75" s="894"/>
      <c r="X75" s="894"/>
      <c r="Y75" s="894"/>
    </row>
    <row r="76" spans="1:25" x14ac:dyDescent="0.35">
      <c r="A76" s="894"/>
      <c r="B76" s="894"/>
      <c r="C76" s="894"/>
      <c r="D76" s="894"/>
      <c r="E76" s="894"/>
      <c r="F76" s="894"/>
      <c r="G76" s="894"/>
      <c r="H76" s="894"/>
      <c r="I76" s="894"/>
      <c r="J76" s="894"/>
      <c r="K76" s="894"/>
      <c r="L76" s="894"/>
      <c r="M76" s="894"/>
      <c r="N76" s="894"/>
      <c r="O76" s="894"/>
      <c r="P76" s="894"/>
      <c r="Q76" s="894"/>
      <c r="R76" s="894"/>
      <c r="S76" s="894"/>
      <c r="T76" s="894"/>
      <c r="U76" s="894"/>
      <c r="V76" s="894"/>
      <c r="W76" s="894"/>
      <c r="X76" s="894"/>
      <c r="Y76" s="894"/>
    </row>
  </sheetData>
  <mergeCells count="1">
    <mergeCell ref="A1:Y76"/>
  </mergeCells>
  <pageMargins left="0.7" right="0.7" top="0.75" bottom="0.75" header="0.3" footer="0.3"/>
  <customProperties>
    <customPr name="QAA_DRILLPATH_NODE_ID" r:id="rId1"/>
  </customPropertie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33CC"/>
    <pageSetUpPr fitToPage="1"/>
  </sheetPr>
  <dimension ref="A1:L96"/>
  <sheetViews>
    <sheetView view="pageBreakPreview" topLeftCell="A39" zoomScale="60" zoomScaleNormal="85" workbookViewId="0">
      <selection activeCell="K75" sqref="K75"/>
    </sheetView>
  </sheetViews>
  <sheetFormatPr baseColWidth="10" defaultColWidth="8.58203125" defaultRowHeight="15.5" x14ac:dyDescent="0.35"/>
  <cols>
    <col min="1" max="1" width="4.58203125" customWidth="1"/>
    <col min="2" max="2" width="82.08203125" style="99" customWidth="1"/>
    <col min="3" max="3" width="10.08203125" style="99" customWidth="1"/>
    <col min="4" max="5" width="11" customWidth="1"/>
    <col min="6" max="6" width="12.08203125" customWidth="1"/>
    <col min="7" max="8" width="11" customWidth="1"/>
    <col min="9" max="9" width="27.08203125" customWidth="1"/>
    <col min="10" max="10" width="19.58203125" customWidth="1"/>
    <col min="11" max="11" width="4.08203125" customWidth="1"/>
  </cols>
  <sheetData>
    <row r="1" spans="1:12" x14ac:dyDescent="0.35">
      <c r="A1" s="19"/>
      <c r="B1" s="84" t="s">
        <v>191</v>
      </c>
      <c r="C1" s="85"/>
      <c r="D1" s="1"/>
      <c r="E1" s="47"/>
      <c r="F1" s="47"/>
      <c r="G1" s="42"/>
      <c r="H1" s="1"/>
      <c r="I1" s="1"/>
      <c r="J1" s="1"/>
      <c r="K1" s="1"/>
      <c r="L1" s="2"/>
    </row>
    <row r="2" spans="1:12" x14ac:dyDescent="0.35">
      <c r="A2" s="19"/>
      <c r="B2" s="85" t="s">
        <v>34</v>
      </c>
      <c r="C2" s="85"/>
      <c r="D2" s="1"/>
      <c r="E2" s="47"/>
      <c r="F2" s="47"/>
      <c r="G2" s="42"/>
      <c r="H2" s="1"/>
      <c r="I2" s="1"/>
      <c r="J2" s="1"/>
      <c r="K2" s="1"/>
      <c r="L2" s="2"/>
    </row>
    <row r="3" spans="1:12" x14ac:dyDescent="0.35">
      <c r="A3" s="19"/>
      <c r="B3" s="86" t="s">
        <v>35</v>
      </c>
      <c r="C3" s="86"/>
      <c r="D3" s="18"/>
      <c r="E3" s="81"/>
      <c r="F3" s="81"/>
      <c r="G3" s="82"/>
      <c r="H3" s="18"/>
      <c r="I3" s="18"/>
      <c r="J3" s="18"/>
      <c r="K3" s="18"/>
      <c r="L3" s="80"/>
    </row>
    <row r="4" spans="1:12" x14ac:dyDescent="0.35">
      <c r="A4" s="19"/>
      <c r="B4" s="87" t="s">
        <v>36</v>
      </c>
      <c r="C4" s="85"/>
      <c r="D4" s="1"/>
      <c r="E4" s="47"/>
      <c r="F4" s="47"/>
      <c r="G4" s="42"/>
      <c r="H4" s="1"/>
      <c r="I4" s="1"/>
      <c r="J4" s="1"/>
      <c r="K4" s="1"/>
      <c r="L4" s="2"/>
    </row>
    <row r="5" spans="1:12" x14ac:dyDescent="0.35">
      <c r="A5" s="19"/>
      <c r="B5" s="88"/>
      <c r="C5" s="89"/>
      <c r="D5" s="1"/>
      <c r="E5" s="47"/>
      <c r="F5" s="47"/>
      <c r="G5" s="42"/>
      <c r="H5" s="1"/>
      <c r="I5" s="1"/>
      <c r="J5" s="1"/>
      <c r="K5" s="1"/>
      <c r="L5" s="1"/>
    </row>
    <row r="6" spans="1:12" x14ac:dyDescent="0.35">
      <c r="A6" s="19"/>
      <c r="B6" s="90"/>
      <c r="C6" s="840" t="s">
        <v>37</v>
      </c>
      <c r="D6" s="840"/>
      <c r="E6" s="840"/>
      <c r="F6" s="840"/>
      <c r="G6" s="840"/>
      <c r="H6" s="840"/>
      <c r="I6" s="840"/>
      <c r="J6" s="840"/>
      <c r="K6" s="840"/>
      <c r="L6" s="1"/>
    </row>
    <row r="7" spans="1:12" x14ac:dyDescent="0.35">
      <c r="A7" s="19"/>
      <c r="B7" s="90"/>
      <c r="C7" s="837" t="s">
        <v>38</v>
      </c>
      <c r="D7" s="837"/>
      <c r="E7" s="837"/>
      <c r="F7" s="837"/>
      <c r="G7" s="838" t="s">
        <v>192</v>
      </c>
      <c r="H7" s="838"/>
      <c r="I7" s="838"/>
      <c r="J7" s="838"/>
      <c r="K7" s="838"/>
      <c r="L7" s="1"/>
    </row>
    <row r="8" spans="1:12" x14ac:dyDescent="0.35">
      <c r="A8" s="19"/>
      <c r="B8" s="90"/>
      <c r="C8" s="837" t="s">
        <v>40</v>
      </c>
      <c r="D8" s="837"/>
      <c r="E8" s="837"/>
      <c r="F8" s="837"/>
      <c r="G8" s="838" t="s">
        <v>41</v>
      </c>
      <c r="H8" s="838"/>
      <c r="I8" s="838"/>
      <c r="J8" s="838"/>
      <c r="K8" s="838"/>
      <c r="L8" s="1"/>
    </row>
    <row r="9" spans="1:12" x14ac:dyDescent="0.35">
      <c r="A9" s="19"/>
      <c r="B9" s="90"/>
      <c r="C9" s="91"/>
      <c r="D9" s="1"/>
      <c r="E9" s="35"/>
      <c r="F9" s="1"/>
      <c r="G9" s="42"/>
      <c r="H9" s="1"/>
      <c r="I9" s="1"/>
      <c r="J9" s="1"/>
      <c r="K9" s="1"/>
      <c r="L9" s="1"/>
    </row>
    <row r="10" spans="1:12" x14ac:dyDescent="0.35">
      <c r="A10" s="19"/>
      <c r="B10" s="90"/>
      <c r="C10" s="85"/>
      <c r="D10" s="44"/>
      <c r="E10" s="35"/>
      <c r="F10" s="35"/>
      <c r="G10" s="42"/>
      <c r="H10" s="1"/>
      <c r="I10" s="1"/>
      <c r="J10" s="1"/>
      <c r="K10" s="1"/>
      <c r="L10" s="1"/>
    </row>
    <row r="11" spans="1:12" x14ac:dyDescent="0.35">
      <c r="A11" s="19"/>
      <c r="B11" s="89" t="s">
        <v>42</v>
      </c>
      <c r="C11" s="92" t="s">
        <v>43</v>
      </c>
      <c r="D11" s="36"/>
      <c r="E11" s="35"/>
      <c r="F11" s="35"/>
      <c r="G11" s="833" t="s">
        <v>193</v>
      </c>
      <c r="H11" s="844"/>
      <c r="I11" s="844"/>
      <c r="J11" s="845"/>
      <c r="K11" s="1"/>
      <c r="L11" s="1"/>
    </row>
    <row r="12" spans="1:12" x14ac:dyDescent="0.35">
      <c r="A12" s="19"/>
      <c r="B12" s="89" t="s">
        <v>45</v>
      </c>
      <c r="C12" s="92" t="s">
        <v>46</v>
      </c>
      <c r="D12" s="36"/>
      <c r="E12" s="35"/>
      <c r="F12" s="35"/>
      <c r="G12" s="42" t="s">
        <v>47</v>
      </c>
      <c r="H12" s="1"/>
      <c r="I12" s="43"/>
      <c r="J12" s="4" t="e">
        <v>#REF!</v>
      </c>
      <c r="K12" s="1"/>
      <c r="L12" s="1"/>
    </row>
    <row r="13" spans="1:12" x14ac:dyDescent="0.35">
      <c r="A13" s="19"/>
      <c r="B13" s="93"/>
      <c r="C13" s="92"/>
      <c r="D13" s="36"/>
      <c r="E13" s="38"/>
      <c r="F13" s="35"/>
      <c r="G13" s="37" t="s">
        <v>48</v>
      </c>
      <c r="H13" s="38"/>
      <c r="I13" s="1"/>
      <c r="J13" s="4" t="e">
        <v>#REF!</v>
      </c>
      <c r="K13" s="1"/>
      <c r="L13" s="1"/>
    </row>
    <row r="14" spans="1:12" x14ac:dyDescent="0.35">
      <c r="A14" s="19"/>
      <c r="B14" s="93"/>
      <c r="C14" s="92"/>
      <c r="D14" s="36"/>
      <c r="E14" s="35"/>
      <c r="F14" s="35"/>
      <c r="G14" s="37" t="s">
        <v>49</v>
      </c>
      <c r="H14" s="42"/>
      <c r="I14" s="1"/>
      <c r="J14" s="4" t="e">
        <v>#REF!</v>
      </c>
      <c r="K14" s="7"/>
      <c r="L14" s="1"/>
    </row>
    <row r="15" spans="1:12" x14ac:dyDescent="0.35">
      <c r="A15" s="19"/>
      <c r="B15" s="93"/>
      <c r="C15" s="92"/>
      <c r="D15" s="36"/>
      <c r="E15" s="35"/>
      <c r="F15" s="35"/>
      <c r="G15" s="37"/>
      <c r="H15" s="40"/>
      <c r="I15" s="33"/>
      <c r="J15" s="39"/>
      <c r="K15" s="7"/>
      <c r="L15" s="1"/>
    </row>
    <row r="16" spans="1:12" x14ac:dyDescent="0.35">
      <c r="A16" s="19"/>
      <c r="B16" s="94" t="s">
        <v>194</v>
      </c>
      <c r="C16" s="92"/>
      <c r="D16" s="36"/>
      <c r="E16" s="35"/>
      <c r="F16" s="35"/>
      <c r="G16" s="37" t="s">
        <v>58</v>
      </c>
      <c r="H16" s="38"/>
      <c r="I16" s="1"/>
      <c r="J16" s="421" t="e">
        <v>#REF!</v>
      </c>
      <c r="K16" s="1"/>
      <c r="L16" s="1"/>
    </row>
    <row r="17" spans="1:12" x14ac:dyDescent="0.35">
      <c r="A17" s="19"/>
      <c r="B17" s="95" t="s">
        <v>195</v>
      </c>
      <c r="C17" s="96" t="s">
        <v>196</v>
      </c>
      <c r="D17" s="36"/>
      <c r="E17" s="35"/>
      <c r="F17" s="35"/>
      <c r="G17" s="37" t="s">
        <v>60</v>
      </c>
      <c r="H17" s="38"/>
      <c r="I17" s="1"/>
      <c r="J17" s="421">
        <v>0</v>
      </c>
      <c r="K17" s="1"/>
      <c r="L17" s="1"/>
    </row>
    <row r="18" spans="1:12" x14ac:dyDescent="0.35">
      <c r="A18" s="19"/>
      <c r="B18" s="95" t="s">
        <v>197</v>
      </c>
      <c r="C18" s="96" t="s">
        <v>196</v>
      </c>
      <c r="D18" s="36"/>
      <c r="E18" s="35"/>
      <c r="F18" s="35"/>
      <c r="G18" s="37" t="s">
        <v>62</v>
      </c>
      <c r="H18" s="1"/>
      <c r="I18" s="1"/>
      <c r="J18" s="421" t="e">
        <v>#REF!</v>
      </c>
      <c r="K18" s="1"/>
      <c r="L18" s="1"/>
    </row>
    <row r="19" spans="1:12" x14ac:dyDescent="0.35">
      <c r="A19" s="19"/>
      <c r="B19" s="95"/>
      <c r="C19" s="96"/>
      <c r="D19" s="36"/>
      <c r="E19" s="35"/>
      <c r="F19" s="35"/>
      <c r="G19" s="34"/>
      <c r="H19" s="34"/>
      <c r="I19" s="33"/>
      <c r="J19" s="32"/>
      <c r="K19" s="1"/>
      <c r="L19" s="1"/>
    </row>
    <row r="20" spans="1:12" x14ac:dyDescent="0.35">
      <c r="A20" s="31"/>
      <c r="B20" s="856" t="s">
        <v>198</v>
      </c>
      <c r="C20" s="856"/>
      <c r="D20" s="856"/>
      <c r="E20" s="856"/>
      <c r="F20" s="856"/>
      <c r="G20" s="856"/>
      <c r="H20" s="856"/>
      <c r="I20" s="856"/>
      <c r="J20" s="856"/>
      <c r="K20" s="1"/>
      <c r="L20" s="57"/>
    </row>
    <row r="21" spans="1:12" ht="15.75" customHeight="1" x14ac:dyDescent="0.35">
      <c r="A21" s="31"/>
      <c r="B21" s="458" t="s">
        <v>74</v>
      </c>
      <c r="C21" s="458" t="s">
        <v>75</v>
      </c>
      <c r="D21" s="853" t="s">
        <v>199</v>
      </c>
      <c r="E21" s="842"/>
      <c r="F21" s="842"/>
      <c r="G21" s="842"/>
      <c r="H21" s="842"/>
      <c r="I21" s="842"/>
      <c r="J21" s="843"/>
      <c r="K21" s="1"/>
      <c r="L21" s="57"/>
    </row>
    <row r="22" spans="1:12" x14ac:dyDescent="0.35">
      <c r="A22" s="25">
        <v>1</v>
      </c>
      <c r="B22" s="854" t="s">
        <v>200</v>
      </c>
      <c r="C22" s="854"/>
      <c r="D22" s="854"/>
      <c r="E22" s="854"/>
      <c r="F22" s="854"/>
      <c r="G22" s="854"/>
      <c r="H22" s="854"/>
      <c r="I22" s="854"/>
      <c r="J22" s="854"/>
      <c r="K22" s="1"/>
      <c r="L22" s="9"/>
    </row>
    <row r="23" spans="1:12" x14ac:dyDescent="0.35">
      <c r="A23" s="19">
        <f>A22+0.1</f>
        <v>1.1000000000000001</v>
      </c>
      <c r="B23" s="459">
        <v>0</v>
      </c>
      <c r="C23" s="459">
        <v>0</v>
      </c>
      <c r="D23" s="855"/>
      <c r="E23" s="842"/>
      <c r="F23" s="842"/>
      <c r="G23" s="842"/>
      <c r="H23" s="842"/>
      <c r="I23" s="842"/>
      <c r="J23" s="843"/>
      <c r="K23" s="1"/>
      <c r="L23" s="8"/>
    </row>
    <row r="24" spans="1:12" x14ac:dyDescent="0.35">
      <c r="A24" s="25">
        <v>2</v>
      </c>
      <c r="B24" s="854" t="s">
        <v>201</v>
      </c>
      <c r="C24" s="854"/>
      <c r="D24" s="854"/>
      <c r="E24" s="854"/>
      <c r="F24" s="854"/>
      <c r="G24" s="854"/>
      <c r="H24" s="854"/>
      <c r="I24" s="854"/>
      <c r="J24" s="854"/>
      <c r="K24" s="30"/>
      <c r="L24" s="9"/>
    </row>
    <row r="25" spans="1:12" ht="43.5" customHeight="1" x14ac:dyDescent="0.35">
      <c r="A25" s="19">
        <f>A24+0.1</f>
        <v>2.1</v>
      </c>
      <c r="B25" s="459" t="s">
        <v>89</v>
      </c>
      <c r="C25" s="459" t="s">
        <v>90</v>
      </c>
      <c r="D25" s="841" t="s">
        <v>202</v>
      </c>
      <c r="E25" s="842"/>
      <c r="F25" s="842"/>
      <c r="G25" s="842"/>
      <c r="H25" s="842"/>
      <c r="I25" s="842"/>
      <c r="J25" s="843"/>
      <c r="K25" s="8"/>
      <c r="L25" s="8"/>
    </row>
    <row r="26" spans="1:12" ht="31.5" customHeight="1" x14ac:dyDescent="0.35">
      <c r="A26" s="19">
        <f>A25+0.1</f>
        <v>2.2000000000000002</v>
      </c>
      <c r="B26" s="460" t="s">
        <v>91</v>
      </c>
      <c r="C26" s="460" t="s">
        <v>90</v>
      </c>
      <c r="D26" s="841" t="s">
        <v>203</v>
      </c>
      <c r="E26" s="842"/>
      <c r="F26" s="842"/>
      <c r="G26" s="842"/>
      <c r="H26" s="842"/>
      <c r="I26" s="842"/>
      <c r="J26" s="843"/>
      <c r="K26" s="8"/>
      <c r="L26" s="8"/>
    </row>
    <row r="27" spans="1:12" ht="45" customHeight="1" x14ac:dyDescent="0.35">
      <c r="A27" s="19">
        <f>A26+0.1</f>
        <v>2.3000000000000003</v>
      </c>
      <c r="B27" s="460" t="s">
        <v>204</v>
      </c>
      <c r="C27" s="460" t="s">
        <v>93</v>
      </c>
      <c r="D27" s="841" t="s">
        <v>205</v>
      </c>
      <c r="E27" s="842"/>
      <c r="F27" s="842"/>
      <c r="G27" s="842"/>
      <c r="H27" s="842"/>
      <c r="I27" s="842"/>
      <c r="J27" s="843"/>
      <c r="K27" s="8"/>
      <c r="L27" s="8"/>
    </row>
    <row r="28" spans="1:12" ht="43.5" customHeight="1" x14ac:dyDescent="0.35">
      <c r="A28" s="19">
        <f>A27+0.1</f>
        <v>2.4000000000000004</v>
      </c>
      <c r="B28" s="460" t="s">
        <v>206</v>
      </c>
      <c r="C28" s="460" t="s">
        <v>90</v>
      </c>
      <c r="D28" s="841" t="s">
        <v>207</v>
      </c>
      <c r="E28" s="842"/>
      <c r="F28" s="842"/>
      <c r="G28" s="842"/>
      <c r="H28" s="842"/>
      <c r="I28" s="842"/>
      <c r="J28" s="843"/>
      <c r="K28" s="8"/>
      <c r="L28" s="8"/>
    </row>
    <row r="29" spans="1:12" ht="41.25" customHeight="1" x14ac:dyDescent="0.35">
      <c r="A29" s="19">
        <f>A28+0.1</f>
        <v>2.5000000000000004</v>
      </c>
      <c r="B29" s="460" t="s">
        <v>208</v>
      </c>
      <c r="C29" s="460" t="s">
        <v>93</v>
      </c>
      <c r="D29" s="841" t="s">
        <v>205</v>
      </c>
      <c r="E29" s="842"/>
      <c r="F29" s="842"/>
      <c r="G29" s="842"/>
      <c r="H29" s="842"/>
      <c r="I29" s="842"/>
      <c r="J29" s="843"/>
      <c r="K29" s="8"/>
      <c r="L29" s="8"/>
    </row>
    <row r="30" spans="1:12" x14ac:dyDescent="0.35">
      <c r="A30" s="25">
        <v>3</v>
      </c>
      <c r="B30" s="814" t="s">
        <v>97</v>
      </c>
      <c r="C30" s="847"/>
      <c r="D30" s="847"/>
      <c r="E30" s="847"/>
      <c r="F30" s="847"/>
      <c r="G30" s="847"/>
      <c r="H30" s="847"/>
      <c r="I30" s="847"/>
      <c r="J30" s="847"/>
      <c r="K30" s="848"/>
      <c r="L30" s="9"/>
    </row>
    <row r="31" spans="1:12" ht="28.5" customHeight="1" x14ac:dyDescent="0.35">
      <c r="A31" s="19">
        <f>A30+0.1</f>
        <v>3.1</v>
      </c>
      <c r="B31" s="460" t="s">
        <v>98</v>
      </c>
      <c r="C31" s="460" t="s">
        <v>99</v>
      </c>
      <c r="D31" s="841" t="s">
        <v>209</v>
      </c>
      <c r="E31" s="842"/>
      <c r="F31" s="842"/>
      <c r="G31" s="842"/>
      <c r="H31" s="842"/>
      <c r="I31" s="842"/>
      <c r="J31" s="843"/>
      <c r="K31" s="8"/>
      <c r="L31" s="8"/>
    </row>
    <row r="32" spans="1:12" x14ac:dyDescent="0.35">
      <c r="A32" s="25">
        <v>4</v>
      </c>
      <c r="B32" s="814" t="s">
        <v>101</v>
      </c>
      <c r="C32" s="814"/>
      <c r="D32" s="814"/>
      <c r="E32" s="814"/>
      <c r="F32" s="814"/>
      <c r="G32" s="814"/>
      <c r="H32" s="814"/>
      <c r="I32" s="814"/>
      <c r="J32" s="814"/>
      <c r="K32" s="852"/>
      <c r="L32" s="9"/>
    </row>
    <row r="33" spans="1:12" x14ac:dyDescent="0.35">
      <c r="A33" s="19">
        <f>A32+0.1</f>
        <v>4.0999999999999996</v>
      </c>
      <c r="B33" s="460" t="s">
        <v>102</v>
      </c>
      <c r="C33" s="460" t="s">
        <v>103</v>
      </c>
      <c r="D33" s="841" t="s">
        <v>210</v>
      </c>
      <c r="E33" s="842"/>
      <c r="F33" s="842"/>
      <c r="G33" s="842"/>
      <c r="H33" s="842"/>
      <c r="I33" s="842"/>
      <c r="J33" s="843"/>
      <c r="K33" s="8"/>
      <c r="L33" s="8"/>
    </row>
    <row r="34" spans="1:12" x14ac:dyDescent="0.35">
      <c r="A34" s="19">
        <f t="shared" ref="A34:A41" si="0">A33+0.1</f>
        <v>4.1999999999999993</v>
      </c>
      <c r="B34" s="460" t="s">
        <v>104</v>
      </c>
      <c r="C34" s="460" t="s">
        <v>103</v>
      </c>
      <c r="D34" s="841" t="s">
        <v>211</v>
      </c>
      <c r="E34" s="842"/>
      <c r="F34" s="842"/>
      <c r="G34" s="842"/>
      <c r="H34" s="842"/>
      <c r="I34" s="842"/>
      <c r="J34" s="843"/>
      <c r="K34" s="8"/>
      <c r="L34" s="8"/>
    </row>
    <row r="35" spans="1:12" x14ac:dyDescent="0.35">
      <c r="A35" s="19">
        <f t="shared" si="0"/>
        <v>4.2999999999999989</v>
      </c>
      <c r="B35" s="460" t="s">
        <v>105</v>
      </c>
      <c r="C35" s="460" t="s">
        <v>106</v>
      </c>
      <c r="D35" s="841" t="s">
        <v>212</v>
      </c>
      <c r="E35" s="842"/>
      <c r="F35" s="842"/>
      <c r="G35" s="842"/>
      <c r="H35" s="842"/>
      <c r="I35" s="842"/>
      <c r="J35" s="843"/>
      <c r="K35" s="8"/>
      <c r="L35" s="8"/>
    </row>
    <row r="36" spans="1:12" x14ac:dyDescent="0.35">
      <c r="A36" s="19">
        <f t="shared" si="0"/>
        <v>4.3999999999999986</v>
      </c>
      <c r="B36" s="460" t="s">
        <v>107</v>
      </c>
      <c r="C36" s="460" t="s">
        <v>108</v>
      </c>
      <c r="D36" s="849" t="s">
        <v>213</v>
      </c>
      <c r="E36" s="850"/>
      <c r="F36" s="850"/>
      <c r="G36" s="850"/>
      <c r="H36" s="850"/>
      <c r="I36" s="850"/>
      <c r="J36" s="851"/>
      <c r="K36" s="8"/>
      <c r="L36" s="8"/>
    </row>
    <row r="37" spans="1:12" x14ac:dyDescent="0.35">
      <c r="A37" s="19">
        <f t="shared" si="0"/>
        <v>4.4999999999999982</v>
      </c>
      <c r="B37" s="460" t="s">
        <v>109</v>
      </c>
      <c r="C37" s="460" t="s">
        <v>110</v>
      </c>
      <c r="D37" s="849" t="s">
        <v>213</v>
      </c>
      <c r="E37" s="850"/>
      <c r="F37" s="850"/>
      <c r="G37" s="850"/>
      <c r="H37" s="850"/>
      <c r="I37" s="850"/>
      <c r="J37" s="851"/>
      <c r="K37" s="8"/>
      <c r="L37" s="8"/>
    </row>
    <row r="38" spans="1:12" x14ac:dyDescent="0.35">
      <c r="A38" s="19">
        <f t="shared" si="0"/>
        <v>4.5999999999999979</v>
      </c>
      <c r="B38" s="460" t="s">
        <v>111</v>
      </c>
      <c r="C38" s="460" t="s">
        <v>112</v>
      </c>
      <c r="D38" s="849" t="s">
        <v>213</v>
      </c>
      <c r="E38" s="850"/>
      <c r="F38" s="850"/>
      <c r="G38" s="850"/>
      <c r="H38" s="850"/>
      <c r="I38" s="850"/>
      <c r="J38" s="851"/>
      <c r="K38" s="8"/>
      <c r="L38" s="8"/>
    </row>
    <row r="39" spans="1:12" ht="15.75" customHeight="1" x14ac:dyDescent="0.35">
      <c r="A39" s="19">
        <f t="shared" si="0"/>
        <v>4.6999999999999975</v>
      </c>
      <c r="B39" s="460" t="s">
        <v>113</v>
      </c>
      <c r="C39" s="460" t="s">
        <v>108</v>
      </c>
      <c r="D39" s="849" t="s">
        <v>213</v>
      </c>
      <c r="E39" s="850"/>
      <c r="F39" s="850"/>
      <c r="G39" s="850"/>
      <c r="H39" s="850"/>
      <c r="I39" s="850"/>
      <c r="J39" s="851"/>
      <c r="K39" s="8"/>
      <c r="L39" s="8"/>
    </row>
    <row r="40" spans="1:12" x14ac:dyDescent="0.35">
      <c r="A40" s="19">
        <f t="shared" si="0"/>
        <v>4.7999999999999972</v>
      </c>
      <c r="B40" s="460" t="s">
        <v>114</v>
      </c>
      <c r="C40" s="460" t="s">
        <v>112</v>
      </c>
      <c r="D40" s="849" t="s">
        <v>213</v>
      </c>
      <c r="E40" s="850"/>
      <c r="F40" s="850"/>
      <c r="G40" s="850"/>
      <c r="H40" s="850"/>
      <c r="I40" s="850"/>
      <c r="J40" s="851"/>
      <c r="K40" s="8"/>
      <c r="L40" s="8"/>
    </row>
    <row r="41" spans="1:12" x14ac:dyDescent="0.35">
      <c r="A41" s="19">
        <f t="shared" si="0"/>
        <v>4.8999999999999968</v>
      </c>
      <c r="B41" s="460" t="s">
        <v>115</v>
      </c>
      <c r="C41" s="460" t="s">
        <v>103</v>
      </c>
      <c r="D41" s="849" t="s">
        <v>213</v>
      </c>
      <c r="E41" s="850"/>
      <c r="F41" s="850"/>
      <c r="G41" s="850"/>
      <c r="H41" s="850"/>
      <c r="I41" s="850"/>
      <c r="J41" s="851"/>
      <c r="K41" s="8"/>
      <c r="L41" s="8"/>
    </row>
    <row r="42" spans="1:12" x14ac:dyDescent="0.35">
      <c r="A42" s="25">
        <v>5</v>
      </c>
      <c r="B42" s="814" t="s">
        <v>117</v>
      </c>
      <c r="C42" s="847"/>
      <c r="D42" s="847"/>
      <c r="E42" s="847"/>
      <c r="F42" s="847"/>
      <c r="G42" s="847"/>
      <c r="H42" s="847"/>
      <c r="I42" s="847"/>
      <c r="J42" s="847"/>
      <c r="K42" s="848"/>
      <c r="L42" s="9"/>
    </row>
    <row r="43" spans="1:12" ht="27.75" customHeight="1" x14ac:dyDescent="0.35">
      <c r="A43" s="19">
        <f>A42+0.1</f>
        <v>5.0999999999999996</v>
      </c>
      <c r="B43" s="460" t="s">
        <v>118</v>
      </c>
      <c r="C43" s="460" t="s">
        <v>119</v>
      </c>
      <c r="D43" s="841" t="s">
        <v>214</v>
      </c>
      <c r="E43" s="842"/>
      <c r="F43" s="842"/>
      <c r="G43" s="842"/>
      <c r="H43" s="842"/>
      <c r="I43" s="842"/>
      <c r="J43" s="843"/>
      <c r="K43" s="8"/>
      <c r="L43" s="8"/>
    </row>
    <row r="44" spans="1:12" ht="29.25" customHeight="1" x14ac:dyDescent="0.35">
      <c r="A44" s="19">
        <f>A43+0.1</f>
        <v>5.1999999999999993</v>
      </c>
      <c r="B44" s="460" t="s">
        <v>120</v>
      </c>
      <c r="C44" s="460" t="s">
        <v>119</v>
      </c>
      <c r="D44" s="841" t="s">
        <v>215</v>
      </c>
      <c r="E44" s="842"/>
      <c r="F44" s="842"/>
      <c r="G44" s="842"/>
      <c r="H44" s="842"/>
      <c r="I44" s="842"/>
      <c r="J44" s="843"/>
      <c r="K44" s="8"/>
      <c r="L44" s="8"/>
    </row>
    <row r="45" spans="1:12" x14ac:dyDescent="0.35">
      <c r="A45" s="25">
        <v>6</v>
      </c>
      <c r="B45" s="814" t="s">
        <v>163</v>
      </c>
      <c r="C45" s="847"/>
      <c r="D45" s="847"/>
      <c r="E45" s="847"/>
      <c r="F45" s="847"/>
      <c r="G45" s="847"/>
      <c r="H45" s="847"/>
      <c r="I45" s="847"/>
      <c r="J45" s="847"/>
      <c r="K45" s="848"/>
      <c r="L45" s="9"/>
    </row>
    <row r="46" spans="1:12" x14ac:dyDescent="0.35">
      <c r="A46" s="19">
        <f>A45+0.1</f>
        <v>6.1</v>
      </c>
      <c r="B46" s="460" t="s">
        <v>123</v>
      </c>
      <c r="C46" s="460" t="s">
        <v>124</v>
      </c>
      <c r="D46" s="841" t="s">
        <v>216</v>
      </c>
      <c r="E46" s="842"/>
      <c r="F46" s="842"/>
      <c r="G46" s="842"/>
      <c r="H46" s="842"/>
      <c r="I46" s="842"/>
      <c r="J46" s="843"/>
      <c r="K46" s="8"/>
      <c r="L46" s="8"/>
    </row>
    <row r="47" spans="1:12" x14ac:dyDescent="0.35">
      <c r="A47" s="19">
        <f>A46+0.1</f>
        <v>6.1999999999999993</v>
      </c>
      <c r="B47" s="460" t="s">
        <v>125</v>
      </c>
      <c r="C47" s="460" t="s">
        <v>126</v>
      </c>
      <c r="D47" s="841" t="s">
        <v>217</v>
      </c>
      <c r="E47" s="842"/>
      <c r="F47" s="842"/>
      <c r="G47" s="842"/>
      <c r="H47" s="842"/>
      <c r="I47" s="842"/>
      <c r="J47" s="843"/>
      <c r="K47" s="8"/>
      <c r="L47" s="8"/>
    </row>
    <row r="48" spans="1:12" ht="27" customHeight="1" x14ac:dyDescent="0.35">
      <c r="A48" s="19">
        <f>A47+0.1</f>
        <v>6.2999999999999989</v>
      </c>
      <c r="B48" s="460" t="s">
        <v>127</v>
      </c>
      <c r="C48" s="460" t="s">
        <v>126</v>
      </c>
      <c r="D48" s="841" t="s">
        <v>218</v>
      </c>
      <c r="E48" s="842"/>
      <c r="F48" s="842"/>
      <c r="G48" s="842"/>
      <c r="H48" s="842"/>
      <c r="I48" s="842"/>
      <c r="J48" s="843"/>
      <c r="K48" s="8"/>
      <c r="L48" s="8"/>
    </row>
    <row r="49" spans="1:12" x14ac:dyDescent="0.35">
      <c r="A49" s="19">
        <f>A48+0.1</f>
        <v>6.3999999999999986</v>
      </c>
      <c r="B49" s="460" t="s">
        <v>130</v>
      </c>
      <c r="C49" s="460" t="s">
        <v>124</v>
      </c>
      <c r="D49" s="841" t="s">
        <v>219</v>
      </c>
      <c r="E49" s="842"/>
      <c r="F49" s="842"/>
      <c r="G49" s="842"/>
      <c r="H49" s="842"/>
      <c r="I49" s="842"/>
      <c r="J49" s="843"/>
      <c r="K49" s="8"/>
      <c r="L49" s="8"/>
    </row>
    <row r="50" spans="1:12" x14ac:dyDescent="0.35">
      <c r="A50" s="25">
        <v>7</v>
      </c>
      <c r="B50" s="814" t="s">
        <v>132</v>
      </c>
      <c r="C50" s="847"/>
      <c r="D50" s="847"/>
      <c r="E50" s="847"/>
      <c r="F50" s="847"/>
      <c r="G50" s="847"/>
      <c r="H50" s="847"/>
      <c r="I50" s="847"/>
      <c r="J50" s="847"/>
      <c r="K50" s="848"/>
      <c r="L50" s="9"/>
    </row>
    <row r="51" spans="1:12" x14ac:dyDescent="0.35">
      <c r="A51" s="19">
        <f>A50+0.1</f>
        <v>7.1</v>
      </c>
      <c r="B51" s="460"/>
      <c r="C51" s="460"/>
      <c r="D51" s="841"/>
      <c r="E51" s="842"/>
      <c r="F51" s="842"/>
      <c r="G51" s="842"/>
      <c r="H51" s="842"/>
      <c r="I51" s="842"/>
      <c r="J51" s="843"/>
      <c r="K51" s="8"/>
      <c r="L51" s="8"/>
    </row>
    <row r="52" spans="1:12" x14ac:dyDescent="0.35">
      <c r="A52" s="25">
        <v>8</v>
      </c>
      <c r="B52" s="814" t="s">
        <v>220</v>
      </c>
      <c r="C52" s="847"/>
      <c r="D52" s="847"/>
      <c r="E52" s="847"/>
      <c r="F52" s="847"/>
      <c r="G52" s="847"/>
      <c r="H52" s="847"/>
      <c r="I52" s="847"/>
      <c r="J52" s="847"/>
      <c r="K52" s="848"/>
      <c r="L52" s="9"/>
    </row>
    <row r="53" spans="1:12" ht="27.75" customHeight="1" x14ac:dyDescent="0.35">
      <c r="A53" s="19">
        <f>A52+0.1</f>
        <v>8.1</v>
      </c>
      <c r="B53" s="460" t="s">
        <v>136</v>
      </c>
      <c r="C53" s="461">
        <v>0.05</v>
      </c>
      <c r="D53" s="841" t="s">
        <v>221</v>
      </c>
      <c r="E53" s="842"/>
      <c r="F53" s="842"/>
      <c r="G53" s="842"/>
      <c r="H53" s="842"/>
      <c r="I53" s="842"/>
      <c r="J53" s="843"/>
      <c r="K53" s="8"/>
      <c r="L53" s="8"/>
    </row>
    <row r="54" spans="1:12" x14ac:dyDescent="0.35">
      <c r="A54" s="25">
        <v>9</v>
      </c>
      <c r="B54" s="814" t="s">
        <v>222</v>
      </c>
      <c r="C54" s="847"/>
      <c r="D54" s="847"/>
      <c r="E54" s="847"/>
      <c r="F54" s="847"/>
      <c r="G54" s="847"/>
      <c r="H54" s="847"/>
      <c r="I54" s="847"/>
      <c r="J54" s="847"/>
      <c r="K54" s="848"/>
      <c r="L54" s="9"/>
    </row>
    <row r="55" spans="1:12" ht="14.25" customHeight="1" x14ac:dyDescent="0.35">
      <c r="A55" s="19">
        <f>A54+0.1</f>
        <v>9.1</v>
      </c>
      <c r="B55" s="460" t="s">
        <v>223</v>
      </c>
      <c r="C55" s="460" t="s">
        <v>140</v>
      </c>
      <c r="D55" s="841" t="s">
        <v>224</v>
      </c>
      <c r="E55" s="842"/>
      <c r="F55" s="842"/>
      <c r="G55" s="842"/>
      <c r="H55" s="842"/>
      <c r="I55" s="842"/>
      <c r="J55" s="843"/>
      <c r="K55" s="8"/>
      <c r="L55" s="8"/>
    </row>
    <row r="56" spans="1:12" ht="27" customHeight="1" x14ac:dyDescent="0.35">
      <c r="A56" s="19">
        <f>A55+0.1</f>
        <v>9.1999999999999993</v>
      </c>
      <c r="B56" s="460" t="s">
        <v>225</v>
      </c>
      <c r="C56" s="460" t="s">
        <v>140</v>
      </c>
      <c r="D56" s="841" t="s">
        <v>226</v>
      </c>
      <c r="E56" s="842"/>
      <c r="F56" s="842"/>
      <c r="G56" s="842"/>
      <c r="H56" s="842"/>
      <c r="I56" s="842"/>
      <c r="J56" s="843"/>
      <c r="K56" s="8"/>
      <c r="L56" s="8"/>
    </row>
    <row r="57" spans="1:12" x14ac:dyDescent="0.35">
      <c r="A57" s="25">
        <v>10</v>
      </c>
      <c r="B57" s="814" t="s">
        <v>143</v>
      </c>
      <c r="C57" s="847"/>
      <c r="D57" s="847"/>
      <c r="E57" s="847"/>
      <c r="F57" s="847"/>
      <c r="G57" s="847"/>
      <c r="H57" s="847"/>
      <c r="I57" s="847"/>
      <c r="J57" s="847"/>
      <c r="K57" s="848"/>
      <c r="L57" s="9"/>
    </row>
    <row r="58" spans="1:12" x14ac:dyDescent="0.35">
      <c r="A58" s="19">
        <f>A57+0.1</f>
        <v>10.1</v>
      </c>
      <c r="B58" s="460"/>
      <c r="C58" s="460"/>
      <c r="D58" s="841"/>
      <c r="E58" s="842"/>
      <c r="F58" s="842"/>
      <c r="G58" s="842"/>
      <c r="H58" s="842"/>
      <c r="I58" s="842"/>
      <c r="J58" s="843"/>
      <c r="K58" s="8"/>
      <c r="L58" s="8"/>
    </row>
    <row r="59" spans="1:12" x14ac:dyDescent="0.35">
      <c r="A59" s="19"/>
      <c r="B59" s="103"/>
      <c r="C59" s="103"/>
      <c r="D59" s="26"/>
      <c r="E59" s="104"/>
      <c r="F59" s="104"/>
      <c r="G59" s="26"/>
      <c r="H59" s="26"/>
      <c r="I59" s="26"/>
      <c r="J59" s="26"/>
      <c r="K59" s="1"/>
      <c r="L59" s="1"/>
    </row>
    <row r="60" spans="1:12" x14ac:dyDescent="0.35">
      <c r="A60" s="20"/>
      <c r="B60" s="833" t="s">
        <v>227</v>
      </c>
      <c r="C60" s="844"/>
      <c r="D60" s="844"/>
      <c r="E60" s="844"/>
      <c r="F60" s="844"/>
      <c r="G60" s="844"/>
      <c r="H60" s="844"/>
      <c r="I60" s="844"/>
      <c r="J60" s="845"/>
      <c r="K60" s="1"/>
      <c r="L60" s="12"/>
    </row>
    <row r="61" spans="1:12" ht="15.75" customHeight="1" x14ac:dyDescent="0.35">
      <c r="A61" s="20"/>
      <c r="B61" s="462" t="s">
        <v>74</v>
      </c>
      <c r="C61" s="462" t="s">
        <v>75</v>
      </c>
      <c r="D61" s="846" t="s">
        <v>199</v>
      </c>
      <c r="E61" s="842"/>
      <c r="F61" s="842"/>
      <c r="G61" s="842"/>
      <c r="H61" s="842"/>
      <c r="I61" s="842"/>
      <c r="J61" s="843"/>
      <c r="K61" s="105"/>
      <c r="L61" s="12"/>
    </row>
    <row r="62" spans="1:12" x14ac:dyDescent="0.35">
      <c r="A62" s="25">
        <v>11</v>
      </c>
      <c r="B62" s="814" t="s">
        <v>200</v>
      </c>
      <c r="C62" s="847"/>
      <c r="D62" s="847"/>
      <c r="E62" s="847"/>
      <c r="F62" s="847"/>
      <c r="G62" s="847"/>
      <c r="H62" s="847"/>
      <c r="I62" s="847"/>
      <c r="J62" s="847"/>
      <c r="K62" s="848"/>
      <c r="L62" s="9"/>
    </row>
    <row r="63" spans="1:12" x14ac:dyDescent="0.35">
      <c r="A63" s="19">
        <f>A62+0.1</f>
        <v>11.1</v>
      </c>
      <c r="B63" s="460"/>
      <c r="C63" s="460"/>
      <c r="D63" s="841"/>
      <c r="E63" s="842"/>
      <c r="F63" s="842"/>
      <c r="G63" s="842"/>
      <c r="H63" s="842"/>
      <c r="I63" s="842"/>
      <c r="J63" s="843"/>
      <c r="K63" s="8"/>
      <c r="L63" s="8"/>
    </row>
    <row r="64" spans="1:12" x14ac:dyDescent="0.35">
      <c r="A64" s="25">
        <v>12</v>
      </c>
      <c r="B64" s="814" t="s">
        <v>201</v>
      </c>
      <c r="C64" s="847"/>
      <c r="D64" s="847"/>
      <c r="E64" s="847"/>
      <c r="F64" s="847"/>
      <c r="G64" s="847"/>
      <c r="H64" s="847"/>
      <c r="I64" s="847"/>
      <c r="J64" s="847"/>
      <c r="K64" s="848"/>
      <c r="L64" s="9"/>
    </row>
    <row r="65" spans="1:12" ht="42" customHeight="1" x14ac:dyDescent="0.35">
      <c r="A65" s="19">
        <f>A64+0.1</f>
        <v>12.1</v>
      </c>
      <c r="B65" s="460" t="s">
        <v>153</v>
      </c>
      <c r="C65" s="460" t="s">
        <v>90</v>
      </c>
      <c r="D65" s="841" t="s">
        <v>228</v>
      </c>
      <c r="E65" s="842"/>
      <c r="F65" s="842"/>
      <c r="G65" s="842"/>
      <c r="H65" s="842"/>
      <c r="I65" s="842"/>
      <c r="J65" s="843"/>
      <c r="K65" s="8"/>
      <c r="L65" s="8"/>
    </row>
    <row r="66" spans="1:12" ht="27" customHeight="1" x14ac:dyDescent="0.35">
      <c r="A66" s="19">
        <f>A65+0.1</f>
        <v>12.2</v>
      </c>
      <c r="B66" s="460" t="s">
        <v>154</v>
      </c>
      <c r="C66" s="460" t="s">
        <v>90</v>
      </c>
      <c r="D66" s="841" t="s">
        <v>229</v>
      </c>
      <c r="E66" s="842"/>
      <c r="F66" s="842"/>
      <c r="G66" s="842"/>
      <c r="H66" s="842"/>
      <c r="I66" s="842"/>
      <c r="J66" s="843"/>
      <c r="K66" s="8"/>
      <c r="L66" s="8"/>
    </row>
    <row r="67" spans="1:12" ht="29.25" customHeight="1" x14ac:dyDescent="0.35">
      <c r="A67" s="19">
        <f>A66+0.1</f>
        <v>12.299999999999999</v>
      </c>
      <c r="B67" s="460" t="s">
        <v>155</v>
      </c>
      <c r="C67" s="460" t="s">
        <v>90</v>
      </c>
      <c r="D67" s="841" t="s">
        <v>230</v>
      </c>
      <c r="E67" s="842"/>
      <c r="F67" s="842"/>
      <c r="G67" s="842"/>
      <c r="H67" s="842"/>
      <c r="I67" s="842"/>
      <c r="J67" s="843"/>
      <c r="K67" s="8"/>
      <c r="L67" s="8"/>
    </row>
    <row r="68" spans="1:12" ht="30" customHeight="1" x14ac:dyDescent="0.35">
      <c r="A68" s="19">
        <f>A67+0.1</f>
        <v>12.399999999999999</v>
      </c>
      <c r="B68" s="460" t="s">
        <v>156</v>
      </c>
      <c r="C68" s="460" t="s">
        <v>93</v>
      </c>
      <c r="D68" s="841" t="s">
        <v>231</v>
      </c>
      <c r="E68" s="842"/>
      <c r="F68" s="842"/>
      <c r="G68" s="842"/>
      <c r="H68" s="842"/>
      <c r="I68" s="842"/>
      <c r="J68" s="843"/>
      <c r="K68" s="8"/>
      <c r="L68" s="8"/>
    </row>
    <row r="69" spans="1:12" x14ac:dyDescent="0.35">
      <c r="A69" s="25">
        <v>13</v>
      </c>
      <c r="B69" s="814" t="s">
        <v>158</v>
      </c>
      <c r="C69" s="847"/>
      <c r="D69" s="847"/>
      <c r="E69" s="847"/>
      <c r="F69" s="847"/>
      <c r="G69" s="847"/>
      <c r="H69" s="847"/>
      <c r="I69" s="847"/>
      <c r="J69" s="847"/>
      <c r="K69" s="848"/>
      <c r="L69" s="9"/>
    </row>
    <row r="70" spans="1:12" ht="27" customHeight="1" x14ac:dyDescent="0.35">
      <c r="A70" s="19">
        <f>A69+0.1</f>
        <v>13.1</v>
      </c>
      <c r="B70" s="460" t="s">
        <v>160</v>
      </c>
      <c r="C70" s="460" t="s">
        <v>99</v>
      </c>
      <c r="D70" s="841" t="s">
        <v>232</v>
      </c>
      <c r="E70" s="842"/>
      <c r="F70" s="842"/>
      <c r="G70" s="842"/>
      <c r="H70" s="842"/>
      <c r="I70" s="842"/>
      <c r="J70" s="843"/>
      <c r="K70" s="8"/>
      <c r="L70" s="8"/>
    </row>
    <row r="71" spans="1:12" ht="27" customHeight="1" x14ac:dyDescent="0.35">
      <c r="A71" s="19">
        <f>A70+0.1</f>
        <v>13.2</v>
      </c>
      <c r="B71" s="460" t="s">
        <v>161</v>
      </c>
      <c r="C71" s="460" t="s">
        <v>99</v>
      </c>
      <c r="D71" s="841" t="s">
        <v>232</v>
      </c>
      <c r="E71" s="842"/>
      <c r="F71" s="842"/>
      <c r="G71" s="842"/>
      <c r="H71" s="842"/>
      <c r="I71" s="842"/>
      <c r="J71" s="843"/>
      <c r="K71" s="8"/>
      <c r="L71" s="8"/>
    </row>
    <row r="72" spans="1:12" x14ac:dyDescent="0.35">
      <c r="A72" s="25">
        <v>14</v>
      </c>
      <c r="B72" s="814" t="s">
        <v>163</v>
      </c>
      <c r="C72" s="847"/>
      <c r="D72" s="847"/>
      <c r="E72" s="847"/>
      <c r="F72" s="847"/>
      <c r="G72" s="847"/>
      <c r="H72" s="847"/>
      <c r="I72" s="847"/>
      <c r="J72" s="847"/>
      <c r="K72" s="848"/>
      <c r="L72" s="9"/>
    </row>
    <row r="73" spans="1:12" x14ac:dyDescent="0.35">
      <c r="A73" s="19">
        <f>A72+0.1</f>
        <v>14.1</v>
      </c>
      <c r="B73" s="460"/>
      <c r="C73" s="460"/>
      <c r="D73" s="841"/>
      <c r="E73" s="842"/>
      <c r="F73" s="842"/>
      <c r="G73" s="842"/>
      <c r="H73" s="842"/>
      <c r="I73" s="842"/>
      <c r="J73" s="843"/>
      <c r="K73" s="8"/>
      <c r="L73" s="8"/>
    </row>
    <row r="74" spans="1:12" x14ac:dyDescent="0.35">
      <c r="A74" s="25">
        <v>15</v>
      </c>
      <c r="B74" s="814" t="s">
        <v>166</v>
      </c>
      <c r="C74" s="847"/>
      <c r="D74" s="847"/>
      <c r="E74" s="847"/>
      <c r="F74" s="847"/>
      <c r="G74" s="847"/>
      <c r="H74" s="847"/>
      <c r="I74" s="847"/>
      <c r="J74" s="847"/>
      <c r="K74" s="848"/>
      <c r="L74" s="9"/>
    </row>
    <row r="75" spans="1:12" x14ac:dyDescent="0.35">
      <c r="A75" s="19">
        <f>A74+0.1</f>
        <v>15.1</v>
      </c>
      <c r="B75" s="460" t="s">
        <v>167</v>
      </c>
      <c r="C75" s="460" t="s">
        <v>168</v>
      </c>
      <c r="D75" s="841" t="s">
        <v>233</v>
      </c>
      <c r="E75" s="842"/>
      <c r="F75" s="842"/>
      <c r="G75" s="842"/>
      <c r="H75" s="842"/>
      <c r="I75" s="842"/>
      <c r="J75" s="843"/>
      <c r="K75" s="8"/>
      <c r="L75" s="8"/>
    </row>
    <row r="76" spans="1:12" x14ac:dyDescent="0.35">
      <c r="A76" s="19">
        <f>A75+0.1</f>
        <v>15.2</v>
      </c>
      <c r="B76" s="460" t="s">
        <v>169</v>
      </c>
      <c r="C76" s="460" t="s">
        <v>168</v>
      </c>
      <c r="D76" s="841" t="s">
        <v>233</v>
      </c>
      <c r="E76" s="842"/>
      <c r="F76" s="842"/>
      <c r="G76" s="842"/>
      <c r="H76" s="842"/>
      <c r="I76" s="842"/>
      <c r="J76" s="843"/>
      <c r="K76" s="8"/>
      <c r="L76" s="8"/>
    </row>
    <row r="77" spans="1:12" x14ac:dyDescent="0.35">
      <c r="A77" s="19">
        <f>A76+0.1</f>
        <v>15.299999999999999</v>
      </c>
      <c r="B77" s="460" t="s">
        <v>234</v>
      </c>
      <c r="C77" s="460" t="s">
        <v>168</v>
      </c>
      <c r="D77" s="841" t="s">
        <v>233</v>
      </c>
      <c r="E77" s="842"/>
      <c r="F77" s="842"/>
      <c r="G77" s="842"/>
      <c r="H77" s="842"/>
      <c r="I77" s="842"/>
      <c r="J77" s="843"/>
      <c r="K77" s="8"/>
      <c r="L77" s="8"/>
    </row>
    <row r="78" spans="1:12" x14ac:dyDescent="0.35">
      <c r="A78" s="19">
        <f>A77+0.1</f>
        <v>15.399999999999999</v>
      </c>
      <c r="B78" s="460" t="s">
        <v>171</v>
      </c>
      <c r="C78" s="460" t="s">
        <v>168</v>
      </c>
      <c r="D78" s="841" t="s">
        <v>233</v>
      </c>
      <c r="E78" s="842"/>
      <c r="F78" s="842"/>
      <c r="G78" s="842"/>
      <c r="H78" s="842"/>
      <c r="I78" s="842"/>
      <c r="J78" s="843"/>
      <c r="K78" s="8"/>
      <c r="L78" s="8"/>
    </row>
    <row r="79" spans="1:12" x14ac:dyDescent="0.35">
      <c r="A79" s="19">
        <f>A78+0.1</f>
        <v>15.499999999999998</v>
      </c>
      <c r="B79" s="460" t="s">
        <v>235</v>
      </c>
      <c r="C79" s="460" t="s">
        <v>168</v>
      </c>
      <c r="D79" s="841" t="s">
        <v>233</v>
      </c>
      <c r="E79" s="842"/>
      <c r="F79" s="842"/>
      <c r="G79" s="842"/>
      <c r="H79" s="842"/>
      <c r="I79" s="842"/>
      <c r="J79" s="843"/>
      <c r="K79" s="8"/>
      <c r="L79" s="8"/>
    </row>
    <row r="80" spans="1:12" x14ac:dyDescent="0.35">
      <c r="A80" s="25">
        <v>16</v>
      </c>
      <c r="B80" s="814" t="s">
        <v>174</v>
      </c>
      <c r="C80" s="847"/>
      <c r="D80" s="847"/>
      <c r="E80" s="847"/>
      <c r="F80" s="847"/>
      <c r="G80" s="847"/>
      <c r="H80" s="847"/>
      <c r="I80" s="847"/>
      <c r="J80" s="847"/>
      <c r="K80" s="848"/>
      <c r="L80" s="9"/>
    </row>
    <row r="81" spans="1:12" x14ac:dyDescent="0.35">
      <c r="A81" s="19">
        <f>A80+0.1</f>
        <v>16.100000000000001</v>
      </c>
      <c r="B81" s="460"/>
      <c r="C81" s="460"/>
      <c r="D81" s="841"/>
      <c r="E81" s="842"/>
      <c r="F81" s="842"/>
      <c r="G81" s="842"/>
      <c r="H81" s="842"/>
      <c r="I81" s="842"/>
      <c r="J81" s="843"/>
      <c r="K81" s="8"/>
      <c r="L81" s="8"/>
    </row>
    <row r="82" spans="1:12" x14ac:dyDescent="0.35">
      <c r="A82" s="25">
        <v>17</v>
      </c>
      <c r="B82" s="814" t="s">
        <v>134</v>
      </c>
      <c r="C82" s="847"/>
      <c r="D82" s="847"/>
      <c r="E82" s="847"/>
      <c r="F82" s="847"/>
      <c r="G82" s="847"/>
      <c r="H82" s="847"/>
      <c r="I82" s="847"/>
      <c r="J82" s="847"/>
      <c r="K82" s="848"/>
      <c r="L82" s="9"/>
    </row>
    <row r="83" spans="1:12" x14ac:dyDescent="0.35">
      <c r="A83" s="19">
        <f>A82+0.1</f>
        <v>17.100000000000001</v>
      </c>
      <c r="B83" s="460"/>
      <c r="C83" s="460"/>
      <c r="D83" s="841"/>
      <c r="E83" s="842"/>
      <c r="F83" s="842"/>
      <c r="G83" s="842"/>
      <c r="H83" s="842"/>
      <c r="I83" s="842"/>
      <c r="J83" s="843"/>
      <c r="K83" s="8"/>
      <c r="L83" s="8"/>
    </row>
    <row r="84" spans="1:12" x14ac:dyDescent="0.35">
      <c r="A84" s="25">
        <v>18</v>
      </c>
      <c r="B84" s="814" t="s">
        <v>177</v>
      </c>
      <c r="C84" s="847"/>
      <c r="D84" s="847"/>
      <c r="E84" s="847"/>
      <c r="F84" s="847"/>
      <c r="G84" s="847"/>
      <c r="H84" s="847"/>
      <c r="I84" s="847"/>
      <c r="J84" s="847"/>
      <c r="K84" s="848"/>
      <c r="L84" s="9"/>
    </row>
    <row r="85" spans="1:12" x14ac:dyDescent="0.35">
      <c r="A85" s="19">
        <f>A84+0.1</f>
        <v>18.100000000000001</v>
      </c>
      <c r="B85" s="460" t="s">
        <v>178</v>
      </c>
      <c r="C85" s="461">
        <v>0.01</v>
      </c>
      <c r="D85" s="841" t="s">
        <v>236</v>
      </c>
      <c r="E85" s="842"/>
      <c r="F85" s="842"/>
      <c r="G85" s="842"/>
      <c r="H85" s="842"/>
      <c r="I85" s="842"/>
      <c r="J85" s="843"/>
      <c r="K85" s="10"/>
      <c r="L85" s="10"/>
    </row>
    <row r="86" spans="1:12" x14ac:dyDescent="0.35">
      <c r="A86" s="20"/>
      <c r="B86" s="391"/>
      <c r="C86" s="392"/>
      <c r="D86" s="383"/>
      <c r="E86" s="383"/>
      <c r="F86" s="383"/>
      <c r="G86" s="393"/>
      <c r="H86" s="394"/>
      <c r="I86" s="394"/>
      <c r="J86" s="394"/>
      <c r="K86" s="12"/>
      <c r="L86" s="12"/>
    </row>
    <row r="87" spans="1:12" x14ac:dyDescent="0.35">
      <c r="A87" s="25">
        <v>19</v>
      </c>
      <c r="B87" s="833" t="s">
        <v>237</v>
      </c>
      <c r="C87" s="844"/>
      <c r="D87" s="844"/>
      <c r="E87" s="844"/>
      <c r="F87" s="844"/>
      <c r="G87" s="844"/>
      <c r="H87" s="844"/>
      <c r="I87" s="844"/>
      <c r="J87" s="845"/>
      <c r="K87" s="12"/>
      <c r="L87" s="12"/>
    </row>
    <row r="88" spans="1:12" ht="15.75" customHeight="1" x14ac:dyDescent="0.35">
      <c r="A88" s="20"/>
      <c r="B88" s="462" t="s">
        <v>74</v>
      </c>
      <c r="C88" s="462" t="s">
        <v>75</v>
      </c>
      <c r="D88" s="846" t="s">
        <v>199</v>
      </c>
      <c r="E88" s="842"/>
      <c r="F88" s="842"/>
      <c r="G88" s="842"/>
      <c r="H88" s="842"/>
      <c r="I88" s="842"/>
      <c r="J88" s="843"/>
      <c r="K88" s="105"/>
      <c r="L88" s="12"/>
    </row>
    <row r="89" spans="1:12" x14ac:dyDescent="0.35">
      <c r="A89" s="19">
        <f>A87+0.1</f>
        <v>19.100000000000001</v>
      </c>
      <c r="B89" s="463">
        <v>0</v>
      </c>
      <c r="C89" s="463">
        <v>0</v>
      </c>
      <c r="D89" s="841"/>
      <c r="E89" s="842"/>
      <c r="F89" s="842"/>
      <c r="G89" s="842"/>
      <c r="H89" s="842"/>
      <c r="I89" s="842"/>
      <c r="J89" s="843"/>
      <c r="K89" s="12"/>
      <c r="L89" s="12"/>
    </row>
    <row r="90" spans="1:12" x14ac:dyDescent="0.35">
      <c r="A90" s="20"/>
      <c r="B90" s="395"/>
      <c r="C90" s="396"/>
      <c r="D90" s="388"/>
      <c r="E90" s="397"/>
      <c r="F90" s="397"/>
      <c r="G90" s="388"/>
      <c r="H90" s="394"/>
      <c r="I90" s="394"/>
      <c r="J90" s="394"/>
      <c r="K90" s="13"/>
      <c r="L90" s="12"/>
    </row>
    <row r="91" spans="1:12" x14ac:dyDescent="0.35">
      <c r="A91" s="25">
        <v>20</v>
      </c>
      <c r="B91" s="833" t="s">
        <v>238</v>
      </c>
      <c r="C91" s="844"/>
      <c r="D91" s="844"/>
      <c r="E91" s="844"/>
      <c r="F91" s="844"/>
      <c r="G91" s="844"/>
      <c r="H91" s="844"/>
      <c r="I91" s="844"/>
      <c r="J91" s="845"/>
      <c r="K91" s="13"/>
      <c r="L91" s="12"/>
    </row>
    <row r="92" spans="1:12" ht="15.75" customHeight="1" x14ac:dyDescent="0.35">
      <c r="A92" s="20"/>
      <c r="B92" s="462" t="s">
        <v>74</v>
      </c>
      <c r="C92" s="462" t="s">
        <v>75</v>
      </c>
      <c r="D92" s="846" t="s">
        <v>199</v>
      </c>
      <c r="E92" s="842"/>
      <c r="F92" s="842"/>
      <c r="G92" s="842"/>
      <c r="H92" s="842"/>
      <c r="I92" s="842"/>
      <c r="J92" s="843"/>
      <c r="K92" s="13"/>
      <c r="L92" s="12"/>
    </row>
    <row r="93" spans="1:12" ht="18" customHeight="1" x14ac:dyDescent="0.35">
      <c r="A93" s="19">
        <v>20.100000000000001</v>
      </c>
      <c r="B93" s="106">
        <v>0</v>
      </c>
      <c r="C93" s="106">
        <v>0</v>
      </c>
      <c r="D93" s="841" t="s">
        <v>239</v>
      </c>
      <c r="E93" s="842"/>
      <c r="F93" s="842"/>
      <c r="G93" s="842"/>
      <c r="H93" s="842"/>
      <c r="I93" s="842"/>
      <c r="J93" s="843"/>
      <c r="K93" s="10"/>
      <c r="L93" s="10"/>
    </row>
    <row r="94" spans="1:12" x14ac:dyDescent="0.35">
      <c r="A94" s="19"/>
      <c r="B94" s="97"/>
      <c r="C94" s="97"/>
      <c r="D94" s="24"/>
      <c r="E94" s="23"/>
      <c r="F94" s="23"/>
      <c r="G94" s="22"/>
      <c r="H94" s="21"/>
      <c r="I94" s="21"/>
      <c r="J94" s="21"/>
      <c r="K94" s="10"/>
      <c r="L94" s="10"/>
    </row>
    <row r="95" spans="1:12" x14ac:dyDescent="0.35">
      <c r="A95" s="19"/>
      <c r="B95" s="98"/>
      <c r="C95" s="98"/>
      <c r="D95" s="10"/>
      <c r="E95" s="63"/>
      <c r="F95" s="63"/>
      <c r="G95" s="64"/>
      <c r="H95" s="10"/>
      <c r="I95" s="10"/>
      <c r="J95" s="10"/>
      <c r="K95" s="10"/>
      <c r="L95" s="10"/>
    </row>
    <row r="96" spans="1:12" x14ac:dyDescent="0.35">
      <c r="A96" s="19"/>
      <c r="B96" s="98" t="s">
        <v>240</v>
      </c>
      <c r="C96" s="98"/>
      <c r="D96" s="10"/>
      <c r="E96" s="63"/>
      <c r="F96" s="63"/>
      <c r="G96" s="64"/>
      <c r="H96" s="10"/>
      <c r="I96" s="10"/>
      <c r="J96" s="10"/>
      <c r="K96" s="10"/>
      <c r="L96" s="10"/>
    </row>
  </sheetData>
  <mergeCells count="77">
    <mergeCell ref="D21:J21"/>
    <mergeCell ref="B22:J22"/>
    <mergeCell ref="D23:J23"/>
    <mergeCell ref="B30:K30"/>
    <mergeCell ref="C6:K6"/>
    <mergeCell ref="C7:F7"/>
    <mergeCell ref="G7:K7"/>
    <mergeCell ref="C8:F8"/>
    <mergeCell ref="G8:K8"/>
    <mergeCell ref="B20:J20"/>
    <mergeCell ref="G11:J11"/>
    <mergeCell ref="B24:J24"/>
    <mergeCell ref="D25:J25"/>
    <mergeCell ref="D26:J26"/>
    <mergeCell ref="B32:K32"/>
    <mergeCell ref="D27:J27"/>
    <mergeCell ref="D28:J28"/>
    <mergeCell ref="D29:J29"/>
    <mergeCell ref="D31:J31"/>
    <mergeCell ref="D43:J43"/>
    <mergeCell ref="D44:J44"/>
    <mergeCell ref="D33:J33"/>
    <mergeCell ref="D34:J34"/>
    <mergeCell ref="D39:J39"/>
    <mergeCell ref="D35:J35"/>
    <mergeCell ref="D36:J36"/>
    <mergeCell ref="D37:J37"/>
    <mergeCell ref="D38:J38"/>
    <mergeCell ref="B42:K42"/>
    <mergeCell ref="D41:J41"/>
    <mergeCell ref="D40:J40"/>
    <mergeCell ref="D51:J51"/>
    <mergeCell ref="B50:K50"/>
    <mergeCell ref="D53:J53"/>
    <mergeCell ref="B45:K45"/>
    <mergeCell ref="D46:J46"/>
    <mergeCell ref="D47:J47"/>
    <mergeCell ref="D48:J48"/>
    <mergeCell ref="D49:J49"/>
    <mergeCell ref="B54:K54"/>
    <mergeCell ref="D55:J55"/>
    <mergeCell ref="B52:K52"/>
    <mergeCell ref="D58:J58"/>
    <mergeCell ref="D56:J56"/>
    <mergeCell ref="B57:K57"/>
    <mergeCell ref="B60:J60"/>
    <mergeCell ref="D61:J61"/>
    <mergeCell ref="B62:K62"/>
    <mergeCell ref="D63:J63"/>
    <mergeCell ref="D71:J71"/>
    <mergeCell ref="D78:J78"/>
    <mergeCell ref="D79:J79"/>
    <mergeCell ref="D73:J73"/>
    <mergeCell ref="B64:K64"/>
    <mergeCell ref="D65:J65"/>
    <mergeCell ref="D66:J66"/>
    <mergeCell ref="B74:K74"/>
    <mergeCell ref="D75:J75"/>
    <mergeCell ref="D76:J76"/>
    <mergeCell ref="D77:J77"/>
    <mergeCell ref="B72:K72"/>
    <mergeCell ref="D67:J67"/>
    <mergeCell ref="D68:J68"/>
    <mergeCell ref="B69:K69"/>
    <mergeCell ref="D70:J70"/>
    <mergeCell ref="D85:J85"/>
    <mergeCell ref="B82:K82"/>
    <mergeCell ref="D83:J83"/>
    <mergeCell ref="B80:K80"/>
    <mergeCell ref="D81:J81"/>
    <mergeCell ref="B84:K84"/>
    <mergeCell ref="D89:J89"/>
    <mergeCell ref="B91:J91"/>
    <mergeCell ref="D92:J92"/>
    <mergeCell ref="D93:J93"/>
    <mergeCell ref="B87:J87"/>
    <mergeCell ref="D88:J88"/>
  </mergeCells>
  <pageMargins left="0.70866141732283472" right="0.70866141732283472" top="0.74803149606299213" bottom="0.74803149606299213" header="0.31496062992125984" footer="0.31496062992125984"/>
  <pageSetup scale="39" orientation="portrait" r:id="rId1"/>
  <customProperties>
    <customPr name="QAA_DRILLPATH_NODE_ID" r:id="rId2"/>
  </customProperties>
  <ignoredErrors>
    <ignoredError sqref="A23 J15 H8:K8 A24:K24 A32:K32 A30:K30 A42:K42 A45:K45 A51 B50:K50 A52:K52 A54:K54 A57:K57 A59:K62 A64:K64 A69:K69 A72:K72 A74:K74 A80:K80 A82:K82 A84:K84 A86:K88 A94:K95 A29 A25 E25:K25 A26 E26:K26 A27 E27:K27 A28 E28:K28 E29:K29 A31 E31:K31 A33 E33:K33 A34 E34:K34 K39 A44 E43:K43 K44 A49 A46 E46:K46 A47 E47:K47 A48 K48 E49:K49 A53 E53:K53 A56 A55 E55:K55 E56:K56 A67 A65 E65:K65 A66 E66:K66 E67:K67 A71 A70 E70:K70 K71 A81 K81 A85 E85:K85 A93 E93:K93 A75:A79 A68 A97:K97 A96 C96:K96 A35:A41 A83 D83:K83 A58 D58:K58 D51:K51 A63 D63:K63 A73 D73:K73 H7:K7 D23:K23 A43 A90:K92 A89 D89:K89" unlockedFormula="1"/>
  </ignoredErrors>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dimension ref="G2:V52"/>
  <sheetViews>
    <sheetView workbookViewId="0">
      <selection activeCell="AL8" sqref="AL8"/>
    </sheetView>
  </sheetViews>
  <sheetFormatPr baseColWidth="10" defaultColWidth="10" defaultRowHeight="15.5" x14ac:dyDescent="0.35"/>
  <cols>
    <col min="1" max="148" width="2.08203125" customWidth="1"/>
  </cols>
  <sheetData>
    <row r="2" spans="7:10" ht="12.75" customHeight="1" x14ac:dyDescent="0.35">
      <c r="G2" s="151"/>
      <c r="J2" s="128"/>
    </row>
    <row r="3" spans="7:10" ht="12.75" customHeight="1" x14ac:dyDescent="0.35">
      <c r="G3" s="144"/>
    </row>
    <row r="4" spans="7:10" ht="12.75" customHeight="1" x14ac:dyDescent="0.35"/>
    <row r="5" spans="7:10" ht="12.75" customHeight="1" x14ac:dyDescent="0.35"/>
    <row r="6" spans="7:10" ht="12.75" customHeight="1" x14ac:dyDescent="0.35"/>
    <row r="7" spans="7:10" ht="12.75" customHeight="1" x14ac:dyDescent="0.35"/>
    <row r="8" spans="7:10" ht="12.75" customHeight="1" x14ac:dyDescent="0.35"/>
    <row r="9" spans="7:10" ht="12.75" customHeight="1" x14ac:dyDescent="0.35"/>
    <row r="10" spans="7:10" ht="12.75" customHeight="1" x14ac:dyDescent="0.35"/>
    <row r="11" spans="7:10" ht="12.75" customHeight="1" x14ac:dyDescent="0.35"/>
    <row r="12" spans="7:10" ht="12.75" customHeight="1" x14ac:dyDescent="0.35"/>
    <row r="13" spans="7:10" ht="12.75" customHeight="1" x14ac:dyDescent="0.35"/>
    <row r="14" spans="7:10" ht="12.75" customHeight="1" x14ac:dyDescent="0.35"/>
    <row r="15" spans="7:10" ht="12.75" customHeight="1" x14ac:dyDescent="0.35"/>
    <row r="16" spans="7:10" ht="12.75" customHeight="1" x14ac:dyDescent="0.35"/>
    <row r="17" ht="12.75" customHeight="1" x14ac:dyDescent="0.35"/>
    <row r="18" ht="12.75" customHeight="1" x14ac:dyDescent="0.35"/>
    <row r="19" ht="12.75" customHeight="1" x14ac:dyDescent="0.35"/>
    <row r="20" ht="12.75" customHeight="1" x14ac:dyDescent="0.35"/>
    <row r="21" ht="12.75" customHeight="1" x14ac:dyDescent="0.35"/>
    <row r="22" ht="12.75" customHeight="1" x14ac:dyDescent="0.35"/>
    <row r="23" ht="12.75" customHeight="1" x14ac:dyDescent="0.35"/>
    <row r="24" ht="12.75" customHeight="1" x14ac:dyDescent="0.35"/>
    <row r="25" ht="12.75" customHeight="1" x14ac:dyDescent="0.35"/>
    <row r="26" ht="12.75" customHeight="1" x14ac:dyDescent="0.35"/>
    <row r="27" ht="12.75" customHeight="1" x14ac:dyDescent="0.35"/>
    <row r="28" ht="12.75" customHeight="1" x14ac:dyDescent="0.35"/>
    <row r="29" ht="12.75" customHeight="1" x14ac:dyDescent="0.35"/>
    <row r="30" ht="12.75" customHeight="1" x14ac:dyDescent="0.35"/>
    <row r="31" ht="12.75" customHeight="1" x14ac:dyDescent="0.35"/>
    <row r="32" ht="12.75" customHeight="1" x14ac:dyDescent="0.35"/>
    <row r="33" ht="12.75" customHeight="1" x14ac:dyDescent="0.35"/>
    <row r="34" ht="12.75" customHeight="1" x14ac:dyDescent="0.35"/>
    <row r="35" ht="12.75" customHeight="1" x14ac:dyDescent="0.35"/>
    <row r="36" ht="12.75" customHeight="1" x14ac:dyDescent="0.35"/>
    <row r="37" ht="12.75" customHeight="1" x14ac:dyDescent="0.35"/>
    <row r="38" ht="12.75" customHeight="1" x14ac:dyDescent="0.35"/>
    <row r="39" ht="12.75" customHeight="1" x14ac:dyDescent="0.35"/>
    <row r="40" ht="12.75" customHeight="1" x14ac:dyDescent="0.35"/>
    <row r="41" ht="12.75" customHeight="1" x14ac:dyDescent="0.35"/>
    <row r="42" ht="12.75" customHeight="1" x14ac:dyDescent="0.35"/>
    <row r="43" ht="12.75" customHeight="1" x14ac:dyDescent="0.35"/>
    <row r="44" ht="12.75" customHeight="1" x14ac:dyDescent="0.35"/>
    <row r="45" ht="12.75" customHeight="1" x14ac:dyDescent="0.35"/>
    <row r="46" ht="12.75" customHeight="1" x14ac:dyDescent="0.35"/>
    <row r="47" ht="12.75" customHeight="1" x14ac:dyDescent="0.35"/>
    <row r="48" ht="12.75" customHeight="1" x14ac:dyDescent="0.35"/>
    <row r="49" spans="22:22" ht="12.75" customHeight="1" x14ac:dyDescent="0.35"/>
    <row r="50" spans="22:22" ht="12.75" customHeight="1" x14ac:dyDescent="0.35"/>
    <row r="51" spans="22:22" ht="12.75" customHeight="1" x14ac:dyDescent="0.35"/>
    <row r="52" spans="22:22" ht="12.75" customHeight="1" x14ac:dyDescent="0.35">
      <c r="V52" s="128" t="s">
        <v>2075</v>
      </c>
    </row>
  </sheetData>
  <pageMargins left="0.7" right="0.7" top="0.75" bottom="0.75" header="0.3" footer="0.3"/>
  <customProperties>
    <customPr name="QAA_DRILLPATH_NODE_ID" r:id="rId1"/>
  </customPropertie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A1:Z78"/>
  <sheetViews>
    <sheetView workbookViewId="0">
      <selection sqref="A1:Y76"/>
    </sheetView>
  </sheetViews>
  <sheetFormatPr baseColWidth="10" defaultColWidth="11" defaultRowHeight="15.5" x14ac:dyDescent="0.35"/>
  <sheetData>
    <row r="1" spans="1:25" x14ac:dyDescent="0.35">
      <c r="A1" s="894"/>
      <c r="B1" s="894"/>
      <c r="C1" s="894"/>
      <c r="D1" s="894"/>
      <c r="E1" s="894"/>
      <c r="F1" s="894"/>
      <c r="G1" s="894"/>
      <c r="H1" s="894"/>
      <c r="I1" s="894"/>
      <c r="J1" s="894"/>
      <c r="K1" s="894"/>
      <c r="L1" s="894"/>
      <c r="M1" s="894"/>
      <c r="N1" s="894"/>
      <c r="O1" s="894"/>
      <c r="P1" s="894"/>
      <c r="Q1" s="894"/>
      <c r="R1" s="894"/>
      <c r="S1" s="894"/>
      <c r="T1" s="894"/>
      <c r="U1" s="894"/>
      <c r="V1" s="894"/>
      <c r="W1" s="894"/>
      <c r="X1" s="894"/>
      <c r="Y1" s="894"/>
    </row>
    <row r="2" spans="1:25" x14ac:dyDescent="0.35">
      <c r="A2" s="894"/>
      <c r="B2" s="894"/>
      <c r="C2" s="894"/>
      <c r="D2" s="894"/>
      <c r="E2" s="894"/>
      <c r="F2" s="894"/>
      <c r="G2" s="894"/>
      <c r="H2" s="894"/>
      <c r="I2" s="894"/>
      <c r="J2" s="894"/>
      <c r="K2" s="894"/>
      <c r="L2" s="894"/>
      <c r="M2" s="894"/>
      <c r="N2" s="894"/>
      <c r="O2" s="894"/>
      <c r="P2" s="894"/>
      <c r="Q2" s="894"/>
      <c r="R2" s="894"/>
      <c r="S2" s="894"/>
      <c r="T2" s="894"/>
      <c r="U2" s="894"/>
      <c r="V2" s="894"/>
      <c r="W2" s="894"/>
      <c r="X2" s="894"/>
      <c r="Y2" s="894"/>
    </row>
    <row r="3" spans="1:25" x14ac:dyDescent="0.35">
      <c r="A3" s="894"/>
      <c r="B3" s="894"/>
      <c r="C3" s="894"/>
      <c r="D3" s="894"/>
      <c r="E3" s="894"/>
      <c r="F3" s="894"/>
      <c r="G3" s="894"/>
      <c r="H3" s="894"/>
      <c r="I3" s="894"/>
      <c r="J3" s="894"/>
      <c r="K3" s="894"/>
      <c r="L3" s="894"/>
      <c r="M3" s="894"/>
      <c r="N3" s="894"/>
      <c r="O3" s="894"/>
      <c r="P3" s="894"/>
      <c r="Q3" s="894"/>
      <c r="R3" s="894"/>
      <c r="S3" s="894"/>
      <c r="T3" s="894"/>
      <c r="U3" s="894"/>
      <c r="V3" s="894"/>
      <c r="W3" s="894"/>
      <c r="X3" s="894"/>
      <c r="Y3" s="894"/>
    </row>
    <row r="4" spans="1:25" x14ac:dyDescent="0.35">
      <c r="A4" s="894"/>
      <c r="B4" s="894"/>
      <c r="C4" s="894"/>
      <c r="D4" s="894"/>
      <c r="E4" s="894"/>
      <c r="F4" s="894"/>
      <c r="G4" s="894"/>
      <c r="H4" s="894"/>
      <c r="I4" s="894"/>
      <c r="J4" s="894"/>
      <c r="K4" s="894"/>
      <c r="L4" s="894"/>
      <c r="M4" s="894"/>
      <c r="N4" s="894"/>
      <c r="O4" s="894"/>
      <c r="P4" s="894"/>
      <c r="Q4" s="894"/>
      <c r="R4" s="894"/>
      <c r="S4" s="894"/>
      <c r="T4" s="894"/>
      <c r="U4" s="894"/>
      <c r="V4" s="894"/>
      <c r="W4" s="894"/>
      <c r="X4" s="894"/>
      <c r="Y4" s="894"/>
    </row>
    <row r="5" spans="1:25" x14ac:dyDescent="0.35">
      <c r="A5" s="894"/>
      <c r="B5" s="894"/>
      <c r="C5" s="894"/>
      <c r="D5" s="894"/>
      <c r="E5" s="894"/>
      <c r="F5" s="894"/>
      <c r="G5" s="894"/>
      <c r="H5" s="894"/>
      <c r="I5" s="894"/>
      <c r="J5" s="894"/>
      <c r="K5" s="894"/>
      <c r="L5" s="894"/>
      <c r="M5" s="894"/>
      <c r="N5" s="894"/>
      <c r="O5" s="894"/>
      <c r="P5" s="894"/>
      <c r="Q5" s="894"/>
      <c r="R5" s="894"/>
      <c r="S5" s="894"/>
      <c r="T5" s="894"/>
      <c r="U5" s="894"/>
      <c r="V5" s="894"/>
      <c r="W5" s="894"/>
      <c r="X5" s="894"/>
      <c r="Y5" s="894"/>
    </row>
    <row r="6" spans="1:25" x14ac:dyDescent="0.35">
      <c r="A6" s="894"/>
      <c r="B6" s="894"/>
      <c r="C6" s="894"/>
      <c r="D6" s="894"/>
      <c r="E6" s="894"/>
      <c r="F6" s="894"/>
      <c r="G6" s="894"/>
      <c r="H6" s="894"/>
      <c r="I6" s="894"/>
      <c r="J6" s="894"/>
      <c r="K6" s="894"/>
      <c r="L6" s="894"/>
      <c r="M6" s="894"/>
      <c r="N6" s="894"/>
      <c r="O6" s="894"/>
      <c r="P6" s="894"/>
      <c r="Q6" s="894"/>
      <c r="R6" s="894"/>
      <c r="S6" s="894"/>
      <c r="T6" s="894"/>
      <c r="U6" s="894"/>
      <c r="V6" s="894"/>
      <c r="W6" s="894"/>
      <c r="X6" s="894"/>
      <c r="Y6" s="894"/>
    </row>
    <row r="7" spans="1:25" x14ac:dyDescent="0.35">
      <c r="A7" s="894"/>
      <c r="B7" s="894"/>
      <c r="C7" s="894"/>
      <c r="D7" s="894"/>
      <c r="E7" s="894"/>
      <c r="F7" s="894"/>
      <c r="G7" s="894"/>
      <c r="H7" s="894"/>
      <c r="I7" s="894"/>
      <c r="J7" s="894"/>
      <c r="K7" s="894"/>
      <c r="L7" s="894"/>
      <c r="M7" s="894"/>
      <c r="N7" s="894"/>
      <c r="O7" s="894"/>
      <c r="P7" s="894"/>
      <c r="Q7" s="894"/>
      <c r="R7" s="894"/>
      <c r="S7" s="894"/>
      <c r="T7" s="894"/>
      <c r="U7" s="894"/>
      <c r="V7" s="894"/>
      <c r="W7" s="894"/>
      <c r="X7" s="894"/>
      <c r="Y7" s="894"/>
    </row>
    <row r="8" spans="1:25" x14ac:dyDescent="0.35">
      <c r="A8" s="894"/>
      <c r="B8" s="894"/>
      <c r="C8" s="894"/>
      <c r="D8" s="894"/>
      <c r="E8" s="894"/>
      <c r="F8" s="894"/>
      <c r="G8" s="894"/>
      <c r="H8" s="894"/>
      <c r="I8" s="894"/>
      <c r="J8" s="894"/>
      <c r="K8" s="894"/>
      <c r="L8" s="894"/>
      <c r="M8" s="894"/>
      <c r="N8" s="894"/>
      <c r="O8" s="894"/>
      <c r="P8" s="894"/>
      <c r="Q8" s="894"/>
      <c r="R8" s="894"/>
      <c r="S8" s="894"/>
      <c r="T8" s="894"/>
      <c r="U8" s="894"/>
      <c r="V8" s="894"/>
      <c r="W8" s="894"/>
      <c r="X8" s="894"/>
      <c r="Y8" s="894"/>
    </row>
    <row r="9" spans="1:25" x14ac:dyDescent="0.35">
      <c r="A9" s="894"/>
      <c r="B9" s="894"/>
      <c r="C9" s="894"/>
      <c r="D9" s="894"/>
      <c r="E9" s="894"/>
      <c r="F9" s="894"/>
      <c r="G9" s="894"/>
      <c r="H9" s="894"/>
      <c r="I9" s="894"/>
      <c r="J9" s="894"/>
      <c r="K9" s="894"/>
      <c r="L9" s="894"/>
      <c r="M9" s="894"/>
      <c r="N9" s="894"/>
      <c r="O9" s="894"/>
      <c r="P9" s="894"/>
      <c r="Q9" s="894"/>
      <c r="R9" s="894"/>
      <c r="S9" s="894"/>
      <c r="T9" s="894"/>
      <c r="U9" s="894"/>
      <c r="V9" s="894"/>
      <c r="W9" s="894"/>
      <c r="X9" s="894"/>
      <c r="Y9" s="894"/>
    </row>
    <row r="10" spans="1:25" x14ac:dyDescent="0.35">
      <c r="A10" s="894"/>
      <c r="B10" s="894"/>
      <c r="C10" s="894"/>
      <c r="D10" s="894"/>
      <c r="E10" s="894"/>
      <c r="F10" s="894"/>
      <c r="G10" s="894"/>
      <c r="H10" s="894"/>
      <c r="I10" s="894"/>
      <c r="J10" s="894"/>
      <c r="K10" s="894"/>
      <c r="L10" s="894"/>
      <c r="M10" s="894"/>
      <c r="N10" s="894"/>
      <c r="O10" s="894"/>
      <c r="P10" s="894"/>
      <c r="Q10" s="894"/>
      <c r="R10" s="894"/>
      <c r="S10" s="894"/>
      <c r="T10" s="894"/>
      <c r="U10" s="894"/>
      <c r="V10" s="894"/>
      <c r="W10" s="894"/>
      <c r="X10" s="894"/>
      <c r="Y10" s="894"/>
    </row>
    <row r="11" spans="1:25" x14ac:dyDescent="0.35">
      <c r="A11" s="894"/>
      <c r="B11" s="894"/>
      <c r="C11" s="894"/>
      <c r="D11" s="894"/>
      <c r="E11" s="894"/>
      <c r="F11" s="894"/>
      <c r="G11" s="894"/>
      <c r="H11" s="894"/>
      <c r="I11" s="894"/>
      <c r="J11" s="894"/>
      <c r="K11" s="894"/>
      <c r="L11" s="894"/>
      <c r="M11" s="894"/>
      <c r="N11" s="894"/>
      <c r="O11" s="894"/>
      <c r="P11" s="894"/>
      <c r="Q11" s="894"/>
      <c r="R11" s="894"/>
      <c r="S11" s="894"/>
      <c r="T11" s="894"/>
      <c r="U11" s="894"/>
      <c r="V11" s="894"/>
      <c r="W11" s="894"/>
      <c r="X11" s="894"/>
      <c r="Y11" s="894"/>
    </row>
    <row r="12" spans="1:25" x14ac:dyDescent="0.35">
      <c r="A12" s="894"/>
      <c r="B12" s="894"/>
      <c r="C12" s="894"/>
      <c r="D12" s="894"/>
      <c r="E12" s="894"/>
      <c r="F12" s="894"/>
      <c r="G12" s="894"/>
      <c r="H12" s="894"/>
      <c r="I12" s="894"/>
      <c r="J12" s="894"/>
      <c r="K12" s="894"/>
      <c r="L12" s="894"/>
      <c r="M12" s="894"/>
      <c r="N12" s="894"/>
      <c r="O12" s="894"/>
      <c r="P12" s="894"/>
      <c r="Q12" s="894"/>
      <c r="R12" s="894"/>
      <c r="S12" s="894"/>
      <c r="T12" s="894"/>
      <c r="U12" s="894"/>
      <c r="V12" s="894"/>
      <c r="W12" s="894"/>
      <c r="X12" s="894"/>
      <c r="Y12" s="894"/>
    </row>
    <row r="13" spans="1:25" x14ac:dyDescent="0.35">
      <c r="A13" s="894"/>
      <c r="B13" s="894"/>
      <c r="C13" s="894"/>
      <c r="D13" s="894"/>
      <c r="E13" s="894"/>
      <c r="F13" s="894"/>
      <c r="G13" s="894"/>
      <c r="H13" s="894"/>
      <c r="I13" s="894"/>
      <c r="J13" s="894"/>
      <c r="K13" s="894"/>
      <c r="L13" s="894"/>
      <c r="M13" s="894"/>
      <c r="N13" s="894"/>
      <c r="O13" s="894"/>
      <c r="P13" s="894"/>
      <c r="Q13" s="894"/>
      <c r="R13" s="894"/>
      <c r="S13" s="894"/>
      <c r="T13" s="894"/>
      <c r="U13" s="894"/>
      <c r="V13" s="894"/>
      <c r="W13" s="894"/>
      <c r="X13" s="894"/>
      <c r="Y13" s="894"/>
    </row>
    <row r="14" spans="1:25" x14ac:dyDescent="0.35">
      <c r="A14" s="894"/>
      <c r="B14" s="894"/>
      <c r="C14" s="894"/>
      <c r="D14" s="894"/>
      <c r="E14" s="894"/>
      <c r="F14" s="894"/>
      <c r="G14" s="894"/>
      <c r="H14" s="894"/>
      <c r="I14" s="894"/>
      <c r="J14" s="894"/>
      <c r="K14" s="894"/>
      <c r="L14" s="894"/>
      <c r="M14" s="894"/>
      <c r="N14" s="894"/>
      <c r="O14" s="894"/>
      <c r="P14" s="894"/>
      <c r="Q14" s="894"/>
      <c r="R14" s="894"/>
      <c r="S14" s="894"/>
      <c r="T14" s="894"/>
      <c r="U14" s="894"/>
      <c r="V14" s="894"/>
      <c r="W14" s="894"/>
      <c r="X14" s="894"/>
      <c r="Y14" s="894"/>
    </row>
    <row r="15" spans="1:25" x14ac:dyDescent="0.35">
      <c r="A15" s="894"/>
      <c r="B15" s="894"/>
      <c r="C15" s="894"/>
      <c r="D15" s="894"/>
      <c r="E15" s="894"/>
      <c r="F15" s="894"/>
      <c r="G15" s="894"/>
      <c r="H15" s="894"/>
      <c r="I15" s="894"/>
      <c r="J15" s="894"/>
      <c r="K15" s="894"/>
      <c r="L15" s="894"/>
      <c r="M15" s="894"/>
      <c r="N15" s="894"/>
      <c r="O15" s="894"/>
      <c r="P15" s="894"/>
      <c r="Q15" s="894"/>
      <c r="R15" s="894"/>
      <c r="S15" s="894"/>
      <c r="T15" s="894"/>
      <c r="U15" s="894"/>
      <c r="V15" s="894"/>
      <c r="W15" s="894"/>
      <c r="X15" s="894"/>
      <c r="Y15" s="894"/>
    </row>
    <row r="16" spans="1:25" x14ac:dyDescent="0.35">
      <c r="A16" s="894"/>
      <c r="B16" s="894"/>
      <c r="C16" s="894"/>
      <c r="D16" s="894"/>
      <c r="E16" s="894"/>
      <c r="F16" s="894"/>
      <c r="G16" s="894"/>
      <c r="H16" s="894"/>
      <c r="I16" s="894"/>
      <c r="J16" s="894"/>
      <c r="K16" s="894"/>
      <c r="L16" s="894"/>
      <c r="M16" s="894"/>
      <c r="N16" s="894"/>
      <c r="O16" s="894"/>
      <c r="P16" s="894"/>
      <c r="Q16" s="894"/>
      <c r="R16" s="894"/>
      <c r="S16" s="894"/>
      <c r="T16" s="894"/>
      <c r="U16" s="894"/>
      <c r="V16" s="894"/>
      <c r="W16" s="894"/>
      <c r="X16" s="894"/>
      <c r="Y16" s="894"/>
    </row>
    <row r="17" spans="1:25" x14ac:dyDescent="0.35">
      <c r="A17" s="894"/>
      <c r="B17" s="894"/>
      <c r="C17" s="894"/>
      <c r="D17" s="894"/>
      <c r="E17" s="894"/>
      <c r="F17" s="894"/>
      <c r="G17" s="894"/>
      <c r="H17" s="894"/>
      <c r="I17" s="894"/>
      <c r="J17" s="894"/>
      <c r="K17" s="894"/>
      <c r="L17" s="894"/>
      <c r="M17" s="894"/>
      <c r="N17" s="894"/>
      <c r="O17" s="894"/>
      <c r="P17" s="894"/>
      <c r="Q17" s="894"/>
      <c r="R17" s="894"/>
      <c r="S17" s="894"/>
      <c r="T17" s="894"/>
      <c r="U17" s="894"/>
      <c r="V17" s="894"/>
      <c r="W17" s="894"/>
      <c r="X17" s="894"/>
      <c r="Y17" s="894"/>
    </row>
    <row r="18" spans="1:25" x14ac:dyDescent="0.35">
      <c r="A18" s="894"/>
      <c r="B18" s="894"/>
      <c r="C18" s="894"/>
      <c r="D18" s="894"/>
      <c r="E18" s="894"/>
      <c r="F18" s="894"/>
      <c r="G18" s="894"/>
      <c r="H18" s="894"/>
      <c r="I18" s="894"/>
      <c r="J18" s="894"/>
      <c r="K18" s="894"/>
      <c r="L18" s="894"/>
      <c r="M18" s="894"/>
      <c r="N18" s="894"/>
      <c r="O18" s="894"/>
      <c r="P18" s="894"/>
      <c r="Q18" s="894"/>
      <c r="R18" s="894"/>
      <c r="S18" s="894"/>
      <c r="T18" s="894"/>
      <c r="U18" s="894"/>
      <c r="V18" s="894"/>
      <c r="W18" s="894"/>
      <c r="X18" s="894"/>
      <c r="Y18" s="894"/>
    </row>
    <row r="19" spans="1:25" x14ac:dyDescent="0.35">
      <c r="A19" s="894"/>
      <c r="B19" s="894"/>
      <c r="C19" s="894"/>
      <c r="D19" s="894"/>
      <c r="E19" s="894"/>
      <c r="F19" s="894"/>
      <c r="G19" s="894"/>
      <c r="H19" s="894"/>
      <c r="I19" s="894"/>
      <c r="J19" s="894"/>
      <c r="K19" s="894"/>
      <c r="L19" s="894"/>
      <c r="M19" s="894"/>
      <c r="N19" s="894"/>
      <c r="O19" s="894"/>
      <c r="P19" s="894"/>
      <c r="Q19" s="894"/>
      <c r="R19" s="894"/>
      <c r="S19" s="894"/>
      <c r="T19" s="894"/>
      <c r="U19" s="894"/>
      <c r="V19" s="894"/>
      <c r="W19" s="894"/>
      <c r="X19" s="894"/>
      <c r="Y19" s="894"/>
    </row>
    <row r="20" spans="1:25" x14ac:dyDescent="0.35">
      <c r="A20" s="894"/>
      <c r="B20" s="894"/>
      <c r="C20" s="894"/>
      <c r="D20" s="894"/>
      <c r="E20" s="894"/>
      <c r="F20" s="894"/>
      <c r="G20" s="894"/>
      <c r="H20" s="894"/>
      <c r="I20" s="894"/>
      <c r="J20" s="894"/>
      <c r="K20" s="894"/>
      <c r="L20" s="894"/>
      <c r="M20" s="894"/>
      <c r="N20" s="894"/>
      <c r="O20" s="894"/>
      <c r="P20" s="894"/>
      <c r="Q20" s="894"/>
      <c r="R20" s="894"/>
      <c r="S20" s="894"/>
      <c r="T20" s="894"/>
      <c r="U20" s="894"/>
      <c r="V20" s="894"/>
      <c r="W20" s="894"/>
      <c r="X20" s="894"/>
      <c r="Y20" s="894"/>
    </row>
    <row r="21" spans="1:25" x14ac:dyDescent="0.35">
      <c r="A21" s="894"/>
      <c r="B21" s="894"/>
      <c r="C21" s="894"/>
      <c r="D21" s="894"/>
      <c r="E21" s="894"/>
      <c r="F21" s="894"/>
      <c r="G21" s="894"/>
      <c r="H21" s="894"/>
      <c r="I21" s="894"/>
      <c r="J21" s="894"/>
      <c r="K21" s="894"/>
      <c r="L21" s="894"/>
      <c r="M21" s="894"/>
      <c r="N21" s="894"/>
      <c r="O21" s="894"/>
      <c r="P21" s="894"/>
      <c r="Q21" s="894"/>
      <c r="R21" s="894"/>
      <c r="S21" s="894"/>
      <c r="T21" s="894"/>
      <c r="U21" s="894"/>
      <c r="V21" s="894"/>
      <c r="W21" s="894"/>
      <c r="X21" s="894"/>
      <c r="Y21" s="894"/>
    </row>
    <row r="22" spans="1:25" x14ac:dyDescent="0.35">
      <c r="A22" s="894"/>
      <c r="B22" s="894"/>
      <c r="C22" s="894"/>
      <c r="D22" s="894"/>
      <c r="E22" s="894"/>
      <c r="F22" s="894"/>
      <c r="G22" s="894"/>
      <c r="H22" s="894"/>
      <c r="I22" s="894"/>
      <c r="J22" s="894"/>
      <c r="K22" s="894"/>
      <c r="L22" s="894"/>
      <c r="M22" s="894"/>
      <c r="N22" s="894"/>
      <c r="O22" s="894"/>
      <c r="P22" s="894"/>
      <c r="Q22" s="894"/>
      <c r="R22" s="894"/>
      <c r="S22" s="894"/>
      <c r="T22" s="894"/>
      <c r="U22" s="894"/>
      <c r="V22" s="894"/>
      <c r="W22" s="894"/>
      <c r="X22" s="894"/>
      <c r="Y22" s="894"/>
    </row>
    <row r="23" spans="1:25" x14ac:dyDescent="0.35">
      <c r="A23" s="894"/>
      <c r="B23" s="894"/>
      <c r="C23" s="894"/>
      <c r="D23" s="894"/>
      <c r="E23" s="894"/>
      <c r="F23" s="894"/>
      <c r="G23" s="894"/>
      <c r="H23" s="894"/>
      <c r="I23" s="894"/>
      <c r="J23" s="894"/>
      <c r="K23" s="894"/>
      <c r="L23" s="894"/>
      <c r="M23" s="894"/>
      <c r="N23" s="894"/>
      <c r="O23" s="894"/>
      <c r="P23" s="894"/>
      <c r="Q23" s="894"/>
      <c r="R23" s="894"/>
      <c r="S23" s="894"/>
      <c r="T23" s="894"/>
      <c r="U23" s="894"/>
      <c r="V23" s="894"/>
      <c r="W23" s="894"/>
      <c r="X23" s="894"/>
      <c r="Y23" s="894"/>
    </row>
    <row r="24" spans="1:25" x14ac:dyDescent="0.35">
      <c r="A24" s="894"/>
      <c r="B24" s="894"/>
      <c r="C24" s="894"/>
      <c r="D24" s="894"/>
      <c r="E24" s="894"/>
      <c r="F24" s="894"/>
      <c r="G24" s="894"/>
      <c r="H24" s="894"/>
      <c r="I24" s="894"/>
      <c r="J24" s="894"/>
      <c r="K24" s="894"/>
      <c r="L24" s="894"/>
      <c r="M24" s="894"/>
      <c r="N24" s="894"/>
      <c r="O24" s="894"/>
      <c r="P24" s="894"/>
      <c r="Q24" s="894"/>
      <c r="R24" s="894"/>
      <c r="S24" s="894"/>
      <c r="T24" s="894"/>
      <c r="U24" s="894"/>
      <c r="V24" s="894"/>
      <c r="W24" s="894"/>
      <c r="X24" s="894"/>
      <c r="Y24" s="894"/>
    </row>
    <row r="25" spans="1:25" x14ac:dyDescent="0.35">
      <c r="A25" s="894"/>
      <c r="B25" s="894"/>
      <c r="C25" s="894"/>
      <c r="D25" s="894"/>
      <c r="E25" s="894"/>
      <c r="F25" s="894"/>
      <c r="G25" s="894"/>
      <c r="H25" s="894"/>
      <c r="I25" s="894"/>
      <c r="J25" s="894"/>
      <c r="K25" s="894"/>
      <c r="L25" s="894"/>
      <c r="M25" s="894"/>
      <c r="N25" s="894"/>
      <c r="O25" s="894"/>
      <c r="P25" s="894"/>
      <c r="Q25" s="894"/>
      <c r="R25" s="894"/>
      <c r="S25" s="894"/>
      <c r="T25" s="894"/>
      <c r="U25" s="894"/>
      <c r="V25" s="894"/>
      <c r="W25" s="894"/>
      <c r="X25" s="894"/>
      <c r="Y25" s="894"/>
    </row>
    <row r="26" spans="1:25" x14ac:dyDescent="0.35">
      <c r="A26" s="894"/>
      <c r="B26" s="894"/>
      <c r="C26" s="894"/>
      <c r="D26" s="894"/>
      <c r="E26" s="894"/>
      <c r="F26" s="894"/>
      <c r="G26" s="894"/>
      <c r="H26" s="894"/>
      <c r="I26" s="894"/>
      <c r="J26" s="894"/>
      <c r="K26" s="894"/>
      <c r="L26" s="894"/>
      <c r="M26" s="894"/>
      <c r="N26" s="894"/>
      <c r="O26" s="894"/>
      <c r="P26" s="894"/>
      <c r="Q26" s="894"/>
      <c r="R26" s="894"/>
      <c r="S26" s="894"/>
      <c r="T26" s="894"/>
      <c r="U26" s="894"/>
      <c r="V26" s="894"/>
      <c r="W26" s="894"/>
      <c r="X26" s="894"/>
      <c r="Y26" s="894"/>
    </row>
    <row r="27" spans="1:25" x14ac:dyDescent="0.35">
      <c r="A27" s="894"/>
      <c r="B27" s="894"/>
      <c r="C27" s="894"/>
      <c r="D27" s="894"/>
      <c r="E27" s="894"/>
      <c r="F27" s="894"/>
      <c r="G27" s="894"/>
      <c r="H27" s="894"/>
      <c r="I27" s="894"/>
      <c r="J27" s="894"/>
      <c r="K27" s="894"/>
      <c r="L27" s="894"/>
      <c r="M27" s="894"/>
      <c r="N27" s="894"/>
      <c r="O27" s="894"/>
      <c r="P27" s="894"/>
      <c r="Q27" s="894"/>
      <c r="R27" s="894"/>
      <c r="S27" s="894"/>
      <c r="T27" s="894"/>
      <c r="U27" s="894"/>
      <c r="V27" s="894"/>
      <c r="W27" s="894"/>
      <c r="X27" s="894"/>
      <c r="Y27" s="894"/>
    </row>
    <row r="28" spans="1:25" x14ac:dyDescent="0.35">
      <c r="A28" s="894"/>
      <c r="B28" s="894"/>
      <c r="C28" s="894"/>
      <c r="D28" s="894"/>
      <c r="E28" s="894"/>
      <c r="F28" s="894"/>
      <c r="G28" s="894"/>
      <c r="H28" s="894"/>
      <c r="I28" s="894"/>
      <c r="J28" s="894"/>
      <c r="K28" s="894"/>
      <c r="L28" s="894"/>
      <c r="M28" s="894"/>
      <c r="N28" s="894"/>
      <c r="O28" s="894"/>
      <c r="P28" s="894"/>
      <c r="Q28" s="894"/>
      <c r="R28" s="894"/>
      <c r="S28" s="894"/>
      <c r="T28" s="894"/>
      <c r="U28" s="894"/>
      <c r="V28" s="894"/>
      <c r="W28" s="894"/>
      <c r="X28" s="894"/>
      <c r="Y28" s="894"/>
    </row>
    <row r="29" spans="1:25" x14ac:dyDescent="0.35">
      <c r="A29" s="894"/>
      <c r="B29" s="894"/>
      <c r="C29" s="894"/>
      <c r="D29" s="894"/>
      <c r="E29" s="894"/>
      <c r="F29" s="894"/>
      <c r="G29" s="894"/>
      <c r="H29" s="894"/>
      <c r="I29" s="894"/>
      <c r="J29" s="894"/>
      <c r="K29" s="894"/>
      <c r="L29" s="894"/>
      <c r="M29" s="894"/>
      <c r="N29" s="894"/>
      <c r="O29" s="894"/>
      <c r="P29" s="894"/>
      <c r="Q29" s="894"/>
      <c r="R29" s="894"/>
      <c r="S29" s="894"/>
      <c r="T29" s="894"/>
      <c r="U29" s="894"/>
      <c r="V29" s="894"/>
      <c r="W29" s="894"/>
      <c r="X29" s="894"/>
      <c r="Y29" s="894"/>
    </row>
    <row r="30" spans="1:25" x14ac:dyDescent="0.35">
      <c r="A30" s="894"/>
      <c r="B30" s="894"/>
      <c r="C30" s="894"/>
      <c r="D30" s="894"/>
      <c r="E30" s="894"/>
      <c r="F30" s="894"/>
      <c r="G30" s="894"/>
      <c r="H30" s="894"/>
      <c r="I30" s="894"/>
      <c r="J30" s="894"/>
      <c r="K30" s="894"/>
      <c r="L30" s="894"/>
      <c r="M30" s="894"/>
      <c r="N30" s="894"/>
      <c r="O30" s="894"/>
      <c r="P30" s="894"/>
      <c r="Q30" s="894"/>
      <c r="R30" s="894"/>
      <c r="S30" s="894"/>
      <c r="T30" s="894"/>
      <c r="U30" s="894"/>
      <c r="V30" s="894"/>
      <c r="W30" s="894"/>
      <c r="X30" s="894"/>
      <c r="Y30" s="894"/>
    </row>
    <row r="31" spans="1:25" x14ac:dyDescent="0.35">
      <c r="A31" s="894"/>
      <c r="B31" s="894"/>
      <c r="C31" s="894"/>
      <c r="D31" s="894"/>
      <c r="E31" s="894"/>
      <c r="F31" s="894"/>
      <c r="G31" s="894"/>
      <c r="H31" s="894"/>
      <c r="I31" s="894"/>
      <c r="J31" s="894"/>
      <c r="K31" s="894"/>
      <c r="L31" s="894"/>
      <c r="M31" s="894"/>
      <c r="N31" s="894"/>
      <c r="O31" s="894"/>
      <c r="P31" s="894"/>
      <c r="Q31" s="894"/>
      <c r="R31" s="894"/>
      <c r="S31" s="894"/>
      <c r="T31" s="894"/>
      <c r="U31" s="894"/>
      <c r="V31" s="894"/>
      <c r="W31" s="894"/>
      <c r="X31" s="894"/>
      <c r="Y31" s="894"/>
    </row>
    <row r="32" spans="1:25" x14ac:dyDescent="0.35">
      <c r="A32" s="894"/>
      <c r="B32" s="894"/>
      <c r="C32" s="894"/>
      <c r="D32" s="894"/>
      <c r="E32" s="894"/>
      <c r="F32" s="894"/>
      <c r="G32" s="894"/>
      <c r="H32" s="894"/>
      <c r="I32" s="894"/>
      <c r="J32" s="894"/>
      <c r="K32" s="894"/>
      <c r="L32" s="894"/>
      <c r="M32" s="894"/>
      <c r="N32" s="894"/>
      <c r="O32" s="894"/>
      <c r="P32" s="894"/>
      <c r="Q32" s="894"/>
      <c r="R32" s="894"/>
      <c r="S32" s="894"/>
      <c r="T32" s="894"/>
      <c r="U32" s="894"/>
      <c r="V32" s="894"/>
      <c r="W32" s="894"/>
      <c r="X32" s="894"/>
      <c r="Y32" s="894"/>
    </row>
    <row r="33" spans="1:25" x14ac:dyDescent="0.35">
      <c r="A33" s="894"/>
      <c r="B33" s="894"/>
      <c r="C33" s="894"/>
      <c r="D33" s="894"/>
      <c r="E33" s="894"/>
      <c r="F33" s="894"/>
      <c r="G33" s="894"/>
      <c r="H33" s="894"/>
      <c r="I33" s="894"/>
      <c r="J33" s="894"/>
      <c r="K33" s="894"/>
      <c r="L33" s="894"/>
      <c r="M33" s="894"/>
      <c r="N33" s="894"/>
      <c r="O33" s="894"/>
      <c r="P33" s="894"/>
      <c r="Q33" s="894"/>
      <c r="R33" s="894"/>
      <c r="S33" s="894"/>
      <c r="T33" s="894"/>
      <c r="U33" s="894"/>
      <c r="V33" s="894"/>
      <c r="W33" s="894"/>
      <c r="X33" s="894"/>
      <c r="Y33" s="894"/>
    </row>
    <row r="34" spans="1:25" x14ac:dyDescent="0.35">
      <c r="A34" s="894"/>
      <c r="B34" s="894"/>
      <c r="C34" s="894"/>
      <c r="D34" s="894"/>
      <c r="E34" s="894"/>
      <c r="F34" s="894"/>
      <c r="G34" s="894"/>
      <c r="H34" s="894"/>
      <c r="I34" s="894"/>
      <c r="J34" s="894"/>
      <c r="K34" s="894"/>
      <c r="L34" s="894"/>
      <c r="M34" s="894"/>
      <c r="N34" s="894"/>
      <c r="O34" s="894"/>
      <c r="P34" s="894"/>
      <c r="Q34" s="894"/>
      <c r="R34" s="894"/>
      <c r="S34" s="894"/>
      <c r="T34" s="894"/>
      <c r="U34" s="894"/>
      <c r="V34" s="894"/>
      <c r="W34" s="894"/>
      <c r="X34" s="894"/>
      <c r="Y34" s="894"/>
    </row>
    <row r="35" spans="1:25" x14ac:dyDescent="0.35">
      <c r="A35" s="894"/>
      <c r="B35" s="894"/>
      <c r="C35" s="894"/>
      <c r="D35" s="894"/>
      <c r="E35" s="894"/>
      <c r="F35" s="894"/>
      <c r="G35" s="894"/>
      <c r="H35" s="894"/>
      <c r="I35" s="894"/>
      <c r="J35" s="894"/>
      <c r="K35" s="894"/>
      <c r="L35" s="894"/>
      <c r="M35" s="894"/>
      <c r="N35" s="894"/>
      <c r="O35" s="894"/>
      <c r="P35" s="894"/>
      <c r="Q35" s="894"/>
      <c r="R35" s="894"/>
      <c r="S35" s="894"/>
      <c r="T35" s="894"/>
      <c r="U35" s="894"/>
      <c r="V35" s="894"/>
      <c r="W35" s="894"/>
      <c r="X35" s="894"/>
      <c r="Y35" s="894"/>
    </row>
    <row r="36" spans="1:25" x14ac:dyDescent="0.35">
      <c r="A36" s="894"/>
      <c r="B36" s="894"/>
      <c r="C36" s="894"/>
      <c r="D36" s="894"/>
      <c r="E36" s="894"/>
      <c r="F36" s="894"/>
      <c r="G36" s="894"/>
      <c r="H36" s="894"/>
      <c r="I36" s="894"/>
      <c r="J36" s="894"/>
      <c r="K36" s="894"/>
      <c r="L36" s="894"/>
      <c r="M36" s="894"/>
      <c r="N36" s="894"/>
      <c r="O36" s="894"/>
      <c r="P36" s="894"/>
      <c r="Q36" s="894"/>
      <c r="R36" s="894"/>
      <c r="S36" s="894"/>
      <c r="T36" s="894"/>
      <c r="U36" s="894"/>
      <c r="V36" s="894"/>
      <c r="W36" s="894"/>
      <c r="X36" s="894"/>
      <c r="Y36" s="894"/>
    </row>
    <row r="37" spans="1:25" x14ac:dyDescent="0.35">
      <c r="A37" s="894"/>
      <c r="B37" s="894"/>
      <c r="C37" s="894"/>
      <c r="D37" s="894"/>
      <c r="E37" s="894"/>
      <c r="F37" s="894"/>
      <c r="G37" s="894"/>
      <c r="H37" s="894"/>
      <c r="I37" s="894"/>
      <c r="J37" s="894"/>
      <c r="K37" s="894"/>
      <c r="L37" s="894"/>
      <c r="M37" s="894"/>
      <c r="N37" s="894"/>
      <c r="O37" s="894"/>
      <c r="P37" s="894"/>
      <c r="Q37" s="894"/>
      <c r="R37" s="894"/>
      <c r="S37" s="894"/>
      <c r="T37" s="894"/>
      <c r="U37" s="894"/>
      <c r="V37" s="894"/>
      <c r="W37" s="894"/>
      <c r="X37" s="894"/>
      <c r="Y37" s="894"/>
    </row>
    <row r="38" spans="1:25" x14ac:dyDescent="0.35">
      <c r="A38" s="894"/>
      <c r="B38" s="894"/>
      <c r="C38" s="894"/>
      <c r="D38" s="894"/>
      <c r="E38" s="894"/>
      <c r="F38" s="894"/>
      <c r="G38" s="894"/>
      <c r="H38" s="894"/>
      <c r="I38" s="894"/>
      <c r="J38" s="894"/>
      <c r="K38" s="894"/>
      <c r="L38" s="894"/>
      <c r="M38" s="894"/>
      <c r="N38" s="894"/>
      <c r="O38" s="894"/>
      <c r="P38" s="894"/>
      <c r="Q38" s="894"/>
      <c r="R38" s="894"/>
      <c r="S38" s="894"/>
      <c r="T38" s="894"/>
      <c r="U38" s="894"/>
      <c r="V38" s="894"/>
      <c r="W38" s="894"/>
      <c r="X38" s="894"/>
      <c r="Y38" s="894"/>
    </row>
    <row r="39" spans="1:25" x14ac:dyDescent="0.35">
      <c r="A39" s="894"/>
      <c r="B39" s="894"/>
      <c r="C39" s="894"/>
      <c r="D39" s="894"/>
      <c r="E39" s="894"/>
      <c r="F39" s="894"/>
      <c r="G39" s="894"/>
      <c r="H39" s="894"/>
      <c r="I39" s="894"/>
      <c r="J39" s="894"/>
      <c r="K39" s="894"/>
      <c r="L39" s="894"/>
      <c r="M39" s="894"/>
      <c r="N39" s="894"/>
      <c r="O39" s="894"/>
      <c r="P39" s="894"/>
      <c r="Q39" s="894"/>
      <c r="R39" s="894"/>
      <c r="S39" s="894"/>
      <c r="T39" s="894"/>
      <c r="U39" s="894"/>
      <c r="V39" s="894"/>
      <c r="W39" s="894"/>
      <c r="X39" s="894"/>
      <c r="Y39" s="894"/>
    </row>
    <row r="40" spans="1:25" x14ac:dyDescent="0.35">
      <c r="A40" s="894"/>
      <c r="B40" s="894"/>
      <c r="C40" s="894"/>
      <c r="D40" s="894"/>
      <c r="E40" s="894"/>
      <c r="F40" s="894"/>
      <c r="G40" s="894"/>
      <c r="H40" s="894"/>
      <c r="I40" s="894"/>
      <c r="J40" s="894"/>
      <c r="K40" s="894"/>
      <c r="L40" s="894"/>
      <c r="M40" s="894"/>
      <c r="N40" s="894"/>
      <c r="O40" s="894"/>
      <c r="P40" s="894"/>
      <c r="Q40" s="894"/>
      <c r="R40" s="894"/>
      <c r="S40" s="894"/>
      <c r="T40" s="894"/>
      <c r="U40" s="894"/>
      <c r="V40" s="894"/>
      <c r="W40" s="894"/>
      <c r="X40" s="894"/>
      <c r="Y40" s="894"/>
    </row>
    <row r="41" spans="1:25" x14ac:dyDescent="0.35">
      <c r="A41" s="894"/>
      <c r="B41" s="894"/>
      <c r="C41" s="894"/>
      <c r="D41" s="894"/>
      <c r="E41" s="894"/>
      <c r="F41" s="894"/>
      <c r="G41" s="894"/>
      <c r="H41" s="894"/>
      <c r="I41" s="894"/>
      <c r="J41" s="894"/>
      <c r="K41" s="894"/>
      <c r="L41" s="894"/>
      <c r="M41" s="894"/>
      <c r="N41" s="894"/>
      <c r="O41" s="894"/>
      <c r="P41" s="894"/>
      <c r="Q41" s="894"/>
      <c r="R41" s="894"/>
      <c r="S41" s="894"/>
      <c r="T41" s="894"/>
      <c r="U41" s="894"/>
      <c r="V41" s="894"/>
      <c r="W41" s="894"/>
      <c r="X41" s="894"/>
      <c r="Y41" s="894"/>
    </row>
    <row r="42" spans="1:25" x14ac:dyDescent="0.35">
      <c r="A42" s="894"/>
      <c r="B42" s="894"/>
      <c r="C42" s="894"/>
      <c r="D42" s="894"/>
      <c r="E42" s="894"/>
      <c r="F42" s="894"/>
      <c r="G42" s="894"/>
      <c r="H42" s="894"/>
      <c r="I42" s="894"/>
      <c r="J42" s="894"/>
      <c r="K42" s="894"/>
      <c r="L42" s="894"/>
      <c r="M42" s="894"/>
      <c r="N42" s="894"/>
      <c r="O42" s="894"/>
      <c r="P42" s="894"/>
      <c r="Q42" s="894"/>
      <c r="R42" s="894"/>
      <c r="S42" s="894"/>
      <c r="T42" s="894"/>
      <c r="U42" s="894"/>
      <c r="V42" s="894"/>
      <c r="W42" s="894"/>
      <c r="X42" s="894"/>
      <c r="Y42" s="894"/>
    </row>
    <row r="43" spans="1:25" x14ac:dyDescent="0.35">
      <c r="A43" s="894"/>
      <c r="B43" s="894"/>
      <c r="C43" s="894"/>
      <c r="D43" s="894"/>
      <c r="E43" s="894"/>
      <c r="F43" s="894"/>
      <c r="G43" s="894"/>
      <c r="H43" s="894"/>
      <c r="I43" s="894"/>
      <c r="J43" s="894"/>
      <c r="K43" s="894"/>
      <c r="L43" s="894"/>
      <c r="M43" s="894"/>
      <c r="N43" s="894"/>
      <c r="O43" s="894"/>
      <c r="P43" s="894"/>
      <c r="Q43" s="894"/>
      <c r="R43" s="894"/>
      <c r="S43" s="894"/>
      <c r="T43" s="894"/>
      <c r="U43" s="894"/>
      <c r="V43" s="894"/>
      <c r="W43" s="894"/>
      <c r="X43" s="894"/>
      <c r="Y43" s="894"/>
    </row>
    <row r="44" spans="1:25" x14ac:dyDescent="0.35">
      <c r="A44" s="894"/>
      <c r="B44" s="894"/>
      <c r="C44" s="894"/>
      <c r="D44" s="894"/>
      <c r="E44" s="894"/>
      <c r="F44" s="894"/>
      <c r="G44" s="894"/>
      <c r="H44" s="894"/>
      <c r="I44" s="894"/>
      <c r="J44" s="894"/>
      <c r="K44" s="894"/>
      <c r="L44" s="894"/>
      <c r="M44" s="894"/>
      <c r="N44" s="894"/>
      <c r="O44" s="894"/>
      <c r="P44" s="894"/>
      <c r="Q44" s="894"/>
      <c r="R44" s="894"/>
      <c r="S44" s="894"/>
      <c r="T44" s="894"/>
      <c r="U44" s="894"/>
      <c r="V44" s="894"/>
      <c r="W44" s="894"/>
      <c r="X44" s="894"/>
      <c r="Y44" s="894"/>
    </row>
    <row r="45" spans="1:25" x14ac:dyDescent="0.35">
      <c r="A45" s="894"/>
      <c r="B45" s="894"/>
      <c r="C45" s="894"/>
      <c r="D45" s="894"/>
      <c r="E45" s="894"/>
      <c r="F45" s="894"/>
      <c r="G45" s="894"/>
      <c r="H45" s="894"/>
      <c r="I45" s="894"/>
      <c r="J45" s="894"/>
      <c r="K45" s="894"/>
      <c r="L45" s="894"/>
      <c r="M45" s="894"/>
      <c r="N45" s="894"/>
      <c r="O45" s="894"/>
      <c r="P45" s="894"/>
      <c r="Q45" s="894"/>
      <c r="R45" s="894"/>
      <c r="S45" s="894"/>
      <c r="T45" s="894"/>
      <c r="U45" s="894"/>
      <c r="V45" s="894"/>
      <c r="W45" s="894"/>
      <c r="X45" s="894"/>
      <c r="Y45" s="894"/>
    </row>
    <row r="46" spans="1:25" x14ac:dyDescent="0.35">
      <c r="A46" s="894"/>
      <c r="B46" s="894"/>
      <c r="C46" s="894"/>
      <c r="D46" s="894"/>
      <c r="E46" s="894"/>
      <c r="F46" s="894"/>
      <c r="G46" s="894"/>
      <c r="H46" s="894"/>
      <c r="I46" s="894"/>
      <c r="J46" s="894"/>
      <c r="K46" s="894"/>
      <c r="L46" s="894"/>
      <c r="M46" s="894"/>
      <c r="N46" s="894"/>
      <c r="O46" s="894"/>
      <c r="P46" s="894"/>
      <c r="Q46" s="894"/>
      <c r="R46" s="894"/>
      <c r="S46" s="894"/>
      <c r="T46" s="894"/>
      <c r="U46" s="894"/>
      <c r="V46" s="894"/>
      <c r="W46" s="894"/>
      <c r="X46" s="894"/>
      <c r="Y46" s="894"/>
    </row>
    <row r="47" spans="1:25" x14ac:dyDescent="0.35">
      <c r="A47" s="894"/>
      <c r="B47" s="894"/>
      <c r="C47" s="894"/>
      <c r="D47" s="894"/>
      <c r="E47" s="894"/>
      <c r="F47" s="894"/>
      <c r="G47" s="894"/>
      <c r="H47" s="894"/>
      <c r="I47" s="894"/>
      <c r="J47" s="894"/>
      <c r="K47" s="894"/>
      <c r="L47" s="894"/>
      <c r="M47" s="894"/>
      <c r="N47" s="894"/>
      <c r="O47" s="894"/>
      <c r="P47" s="894"/>
      <c r="Q47" s="894"/>
      <c r="R47" s="894"/>
      <c r="S47" s="894"/>
      <c r="T47" s="894"/>
      <c r="U47" s="894"/>
      <c r="V47" s="894"/>
      <c r="W47" s="894"/>
      <c r="X47" s="894"/>
      <c r="Y47" s="894"/>
    </row>
    <row r="48" spans="1:25" x14ac:dyDescent="0.35">
      <c r="A48" s="894"/>
      <c r="B48" s="894"/>
      <c r="C48" s="894"/>
      <c r="D48" s="894"/>
      <c r="E48" s="894"/>
      <c r="F48" s="894"/>
      <c r="G48" s="894"/>
      <c r="H48" s="894"/>
      <c r="I48" s="894"/>
      <c r="J48" s="894"/>
      <c r="K48" s="894"/>
      <c r="L48" s="894"/>
      <c r="M48" s="894"/>
      <c r="N48" s="894"/>
      <c r="O48" s="894"/>
      <c r="P48" s="894"/>
      <c r="Q48" s="894"/>
      <c r="R48" s="894"/>
      <c r="S48" s="894"/>
      <c r="T48" s="894"/>
      <c r="U48" s="894"/>
      <c r="V48" s="894"/>
      <c r="W48" s="894"/>
      <c r="X48" s="894"/>
      <c r="Y48" s="894"/>
    </row>
    <row r="49" spans="1:25" x14ac:dyDescent="0.35">
      <c r="A49" s="894"/>
      <c r="B49" s="894"/>
      <c r="C49" s="894"/>
      <c r="D49" s="894"/>
      <c r="E49" s="894"/>
      <c r="F49" s="894"/>
      <c r="G49" s="894"/>
      <c r="H49" s="894"/>
      <c r="I49" s="894"/>
      <c r="J49" s="894"/>
      <c r="K49" s="894"/>
      <c r="L49" s="894"/>
      <c r="M49" s="894"/>
      <c r="N49" s="894"/>
      <c r="O49" s="894"/>
      <c r="P49" s="894"/>
      <c r="Q49" s="894"/>
      <c r="R49" s="894"/>
      <c r="S49" s="894"/>
      <c r="T49" s="894"/>
      <c r="U49" s="894"/>
      <c r="V49" s="894"/>
      <c r="W49" s="894"/>
      <c r="X49" s="894"/>
      <c r="Y49" s="894"/>
    </row>
    <row r="50" spans="1:25" x14ac:dyDescent="0.35">
      <c r="A50" s="894"/>
      <c r="B50" s="894"/>
      <c r="C50" s="894"/>
      <c r="D50" s="894"/>
      <c r="E50" s="894"/>
      <c r="F50" s="894"/>
      <c r="G50" s="894"/>
      <c r="H50" s="894"/>
      <c r="I50" s="894"/>
      <c r="J50" s="894"/>
      <c r="K50" s="894"/>
      <c r="L50" s="894"/>
      <c r="M50" s="894"/>
      <c r="N50" s="894"/>
      <c r="O50" s="894"/>
      <c r="P50" s="894"/>
      <c r="Q50" s="894"/>
      <c r="R50" s="894"/>
      <c r="S50" s="894"/>
      <c r="T50" s="894"/>
      <c r="U50" s="894"/>
      <c r="V50" s="894"/>
      <c r="W50" s="894"/>
      <c r="X50" s="894"/>
      <c r="Y50" s="894"/>
    </row>
    <row r="51" spans="1:25" x14ac:dyDescent="0.35">
      <c r="A51" s="894"/>
      <c r="B51" s="894"/>
      <c r="C51" s="894"/>
      <c r="D51" s="894"/>
      <c r="E51" s="894"/>
      <c r="F51" s="894"/>
      <c r="G51" s="894"/>
      <c r="H51" s="894"/>
      <c r="I51" s="894"/>
      <c r="J51" s="894"/>
      <c r="K51" s="894"/>
      <c r="L51" s="894"/>
      <c r="M51" s="894"/>
      <c r="N51" s="894"/>
      <c r="O51" s="894"/>
      <c r="P51" s="894"/>
      <c r="Q51" s="894"/>
      <c r="R51" s="894"/>
      <c r="S51" s="894"/>
      <c r="T51" s="894"/>
      <c r="U51" s="894"/>
      <c r="V51" s="894"/>
      <c r="W51" s="894"/>
      <c r="X51" s="894"/>
      <c r="Y51" s="894"/>
    </row>
    <row r="52" spans="1:25" x14ac:dyDescent="0.35">
      <c r="A52" s="894"/>
      <c r="B52" s="894"/>
      <c r="C52" s="894"/>
      <c r="D52" s="894"/>
      <c r="E52" s="894"/>
      <c r="F52" s="894"/>
      <c r="G52" s="894"/>
      <c r="H52" s="894"/>
      <c r="I52" s="894"/>
      <c r="J52" s="894"/>
      <c r="K52" s="894"/>
      <c r="L52" s="894"/>
      <c r="M52" s="894"/>
      <c r="N52" s="894"/>
      <c r="O52" s="894"/>
      <c r="P52" s="894"/>
      <c r="Q52" s="894"/>
      <c r="R52" s="894"/>
      <c r="S52" s="894"/>
      <c r="T52" s="894"/>
      <c r="U52" s="894"/>
      <c r="V52" s="894"/>
      <c r="W52" s="894"/>
      <c r="X52" s="894"/>
      <c r="Y52" s="894"/>
    </row>
    <row r="53" spans="1:25" x14ac:dyDescent="0.35">
      <c r="A53" s="894"/>
      <c r="B53" s="894"/>
      <c r="C53" s="894"/>
      <c r="D53" s="894"/>
      <c r="E53" s="894"/>
      <c r="F53" s="894"/>
      <c r="G53" s="894"/>
      <c r="H53" s="894"/>
      <c r="I53" s="894"/>
      <c r="J53" s="894"/>
      <c r="K53" s="894"/>
      <c r="L53" s="894"/>
      <c r="M53" s="894"/>
      <c r="N53" s="894"/>
      <c r="O53" s="894"/>
      <c r="P53" s="894"/>
      <c r="Q53" s="894"/>
      <c r="R53" s="894"/>
      <c r="S53" s="894"/>
      <c r="T53" s="894"/>
      <c r="U53" s="894"/>
      <c r="V53" s="894"/>
      <c r="W53" s="894"/>
      <c r="X53" s="894"/>
      <c r="Y53" s="894"/>
    </row>
    <row r="54" spans="1:25" x14ac:dyDescent="0.35">
      <c r="A54" s="894"/>
      <c r="B54" s="894"/>
      <c r="C54" s="894"/>
      <c r="D54" s="894"/>
      <c r="E54" s="894"/>
      <c r="F54" s="894"/>
      <c r="G54" s="894"/>
      <c r="H54" s="894"/>
      <c r="I54" s="894"/>
      <c r="J54" s="894"/>
      <c r="K54" s="894"/>
      <c r="L54" s="894"/>
      <c r="M54" s="894"/>
      <c r="N54" s="894"/>
      <c r="O54" s="894"/>
      <c r="P54" s="894"/>
      <c r="Q54" s="894"/>
      <c r="R54" s="894"/>
      <c r="S54" s="894"/>
      <c r="T54" s="894"/>
      <c r="U54" s="894"/>
      <c r="V54" s="894"/>
      <c r="W54" s="894"/>
      <c r="X54" s="894"/>
      <c r="Y54" s="894"/>
    </row>
    <row r="55" spans="1:25" x14ac:dyDescent="0.35">
      <c r="A55" s="894"/>
      <c r="B55" s="894"/>
      <c r="C55" s="894"/>
      <c r="D55" s="894"/>
      <c r="E55" s="894"/>
      <c r="F55" s="894"/>
      <c r="G55" s="894"/>
      <c r="H55" s="894"/>
      <c r="I55" s="894"/>
      <c r="J55" s="894"/>
      <c r="K55" s="894"/>
      <c r="L55" s="894"/>
      <c r="M55" s="894"/>
      <c r="N55" s="894"/>
      <c r="O55" s="894"/>
      <c r="P55" s="894"/>
      <c r="Q55" s="894"/>
      <c r="R55" s="894"/>
      <c r="S55" s="894"/>
      <c r="T55" s="894"/>
      <c r="U55" s="894"/>
      <c r="V55" s="894"/>
      <c r="W55" s="894"/>
      <c r="X55" s="894"/>
      <c r="Y55" s="894"/>
    </row>
    <row r="56" spans="1:25" x14ac:dyDescent="0.35">
      <c r="A56" s="894"/>
      <c r="B56" s="894"/>
      <c r="C56" s="894"/>
      <c r="D56" s="894"/>
      <c r="E56" s="894"/>
      <c r="F56" s="894"/>
      <c r="G56" s="894"/>
      <c r="H56" s="894"/>
      <c r="I56" s="894"/>
      <c r="J56" s="894"/>
      <c r="K56" s="894"/>
      <c r="L56" s="894"/>
      <c r="M56" s="894"/>
      <c r="N56" s="894"/>
      <c r="O56" s="894"/>
      <c r="P56" s="894"/>
      <c r="Q56" s="894"/>
      <c r="R56" s="894"/>
      <c r="S56" s="894"/>
      <c r="T56" s="894"/>
      <c r="U56" s="894"/>
      <c r="V56" s="894"/>
      <c r="W56" s="894"/>
      <c r="X56" s="894"/>
      <c r="Y56" s="894"/>
    </row>
    <row r="57" spans="1:25" x14ac:dyDescent="0.35">
      <c r="A57" s="894"/>
      <c r="B57" s="894"/>
      <c r="C57" s="894"/>
      <c r="D57" s="894"/>
      <c r="E57" s="894"/>
      <c r="F57" s="894"/>
      <c r="G57" s="894"/>
      <c r="H57" s="894"/>
      <c r="I57" s="894"/>
      <c r="J57" s="894"/>
      <c r="K57" s="894"/>
      <c r="L57" s="894"/>
      <c r="M57" s="894"/>
      <c r="N57" s="894"/>
      <c r="O57" s="894"/>
      <c r="P57" s="894"/>
      <c r="Q57" s="894"/>
      <c r="R57" s="894"/>
      <c r="S57" s="894"/>
      <c r="T57" s="894"/>
      <c r="U57" s="894"/>
      <c r="V57" s="894"/>
      <c r="W57" s="894"/>
      <c r="X57" s="894"/>
      <c r="Y57" s="894"/>
    </row>
    <row r="58" spans="1:25" x14ac:dyDescent="0.35">
      <c r="A58" s="894"/>
      <c r="B58" s="894"/>
      <c r="C58" s="894"/>
      <c r="D58" s="894"/>
      <c r="E58" s="894"/>
      <c r="F58" s="894"/>
      <c r="G58" s="894"/>
      <c r="H58" s="894"/>
      <c r="I58" s="894"/>
      <c r="J58" s="894"/>
      <c r="K58" s="894"/>
      <c r="L58" s="894"/>
      <c r="M58" s="894"/>
      <c r="N58" s="894"/>
      <c r="O58" s="894"/>
      <c r="P58" s="894"/>
      <c r="Q58" s="894"/>
      <c r="R58" s="894"/>
      <c r="S58" s="894"/>
      <c r="T58" s="894"/>
      <c r="U58" s="894"/>
      <c r="V58" s="894"/>
      <c r="W58" s="894"/>
      <c r="X58" s="894"/>
      <c r="Y58" s="894"/>
    </row>
    <row r="59" spans="1:25" x14ac:dyDescent="0.35">
      <c r="A59" s="894"/>
      <c r="B59" s="894"/>
      <c r="C59" s="894"/>
      <c r="D59" s="894"/>
      <c r="E59" s="894"/>
      <c r="F59" s="894"/>
      <c r="G59" s="894"/>
      <c r="H59" s="894"/>
      <c r="I59" s="894"/>
      <c r="J59" s="894"/>
      <c r="K59" s="894"/>
      <c r="L59" s="894"/>
      <c r="M59" s="894"/>
      <c r="N59" s="894"/>
      <c r="O59" s="894"/>
      <c r="P59" s="894"/>
      <c r="Q59" s="894"/>
      <c r="R59" s="894"/>
      <c r="S59" s="894"/>
      <c r="T59" s="894"/>
      <c r="U59" s="894"/>
      <c r="V59" s="894"/>
      <c r="W59" s="894"/>
      <c r="X59" s="894"/>
      <c r="Y59" s="894"/>
    </row>
    <row r="60" spans="1:25" x14ac:dyDescent="0.35">
      <c r="A60" s="894"/>
      <c r="B60" s="894"/>
      <c r="C60" s="894"/>
      <c r="D60" s="894"/>
      <c r="E60" s="894"/>
      <c r="F60" s="894"/>
      <c r="G60" s="894"/>
      <c r="H60" s="894"/>
      <c r="I60" s="894"/>
      <c r="J60" s="894"/>
      <c r="K60" s="894"/>
      <c r="L60" s="894"/>
      <c r="M60" s="894"/>
      <c r="N60" s="894"/>
      <c r="O60" s="894"/>
      <c r="P60" s="894"/>
      <c r="Q60" s="894"/>
      <c r="R60" s="894"/>
      <c r="S60" s="894"/>
      <c r="T60" s="894"/>
      <c r="U60" s="894"/>
      <c r="V60" s="894"/>
      <c r="W60" s="894"/>
      <c r="X60" s="894"/>
      <c r="Y60" s="894"/>
    </row>
    <row r="61" spans="1:25" x14ac:dyDescent="0.35">
      <c r="A61" s="894"/>
      <c r="B61" s="894"/>
      <c r="C61" s="894"/>
      <c r="D61" s="894"/>
      <c r="E61" s="894"/>
      <c r="F61" s="894"/>
      <c r="G61" s="894"/>
      <c r="H61" s="894"/>
      <c r="I61" s="894"/>
      <c r="J61" s="894"/>
      <c r="K61" s="894"/>
      <c r="L61" s="894"/>
      <c r="M61" s="894"/>
      <c r="N61" s="894"/>
      <c r="O61" s="894"/>
      <c r="P61" s="894"/>
      <c r="Q61" s="894"/>
      <c r="R61" s="894"/>
      <c r="S61" s="894"/>
      <c r="T61" s="894"/>
      <c r="U61" s="894"/>
      <c r="V61" s="894"/>
      <c r="W61" s="894"/>
      <c r="X61" s="894"/>
      <c r="Y61" s="894"/>
    </row>
    <row r="62" spans="1:25" x14ac:dyDescent="0.35">
      <c r="A62" s="894"/>
      <c r="B62" s="894"/>
      <c r="C62" s="894"/>
      <c r="D62" s="894"/>
      <c r="E62" s="894"/>
      <c r="F62" s="894"/>
      <c r="G62" s="894"/>
      <c r="H62" s="894"/>
      <c r="I62" s="894"/>
      <c r="J62" s="894"/>
      <c r="K62" s="894"/>
      <c r="L62" s="894"/>
      <c r="M62" s="894"/>
      <c r="N62" s="894"/>
      <c r="O62" s="894"/>
      <c r="P62" s="894"/>
      <c r="Q62" s="894"/>
      <c r="R62" s="894"/>
      <c r="S62" s="894"/>
      <c r="T62" s="894"/>
      <c r="U62" s="894"/>
      <c r="V62" s="894"/>
      <c r="W62" s="894"/>
      <c r="X62" s="894"/>
      <c r="Y62" s="894"/>
    </row>
    <row r="63" spans="1:25" x14ac:dyDescent="0.35">
      <c r="A63" s="894"/>
      <c r="B63" s="894"/>
      <c r="C63" s="894"/>
      <c r="D63" s="894"/>
      <c r="E63" s="894"/>
      <c r="F63" s="894"/>
      <c r="G63" s="894"/>
      <c r="H63" s="894"/>
      <c r="I63" s="894"/>
      <c r="J63" s="894"/>
      <c r="K63" s="894"/>
      <c r="L63" s="894"/>
      <c r="M63" s="894"/>
      <c r="N63" s="894"/>
      <c r="O63" s="894"/>
      <c r="P63" s="894"/>
      <c r="Q63" s="894"/>
      <c r="R63" s="894"/>
      <c r="S63" s="894"/>
      <c r="T63" s="894"/>
      <c r="U63" s="894"/>
      <c r="V63" s="894"/>
      <c r="W63" s="894"/>
      <c r="X63" s="894"/>
      <c r="Y63" s="894"/>
    </row>
    <row r="64" spans="1:25" x14ac:dyDescent="0.35">
      <c r="A64" s="894"/>
      <c r="B64" s="894"/>
      <c r="C64" s="894"/>
      <c r="D64" s="894"/>
      <c r="E64" s="894"/>
      <c r="F64" s="894"/>
      <c r="G64" s="894"/>
      <c r="H64" s="894"/>
      <c r="I64" s="894"/>
      <c r="J64" s="894"/>
      <c r="K64" s="894"/>
      <c r="L64" s="894"/>
      <c r="M64" s="894"/>
      <c r="N64" s="894"/>
      <c r="O64" s="894"/>
      <c r="P64" s="894"/>
      <c r="Q64" s="894"/>
      <c r="R64" s="894"/>
      <c r="S64" s="894"/>
      <c r="T64" s="894"/>
      <c r="U64" s="894"/>
      <c r="V64" s="894"/>
      <c r="W64" s="894"/>
      <c r="X64" s="894"/>
      <c r="Y64" s="894"/>
    </row>
    <row r="65" spans="1:26" x14ac:dyDescent="0.35">
      <c r="A65" s="894"/>
      <c r="B65" s="894"/>
      <c r="C65" s="894"/>
      <c r="D65" s="894"/>
      <c r="E65" s="894"/>
      <c r="F65" s="894"/>
      <c r="G65" s="894"/>
      <c r="H65" s="894"/>
      <c r="I65" s="894"/>
      <c r="J65" s="894"/>
      <c r="K65" s="894"/>
      <c r="L65" s="894"/>
      <c r="M65" s="894"/>
      <c r="N65" s="894"/>
      <c r="O65" s="894"/>
      <c r="P65" s="894"/>
      <c r="Q65" s="894"/>
      <c r="R65" s="894"/>
      <c r="S65" s="894"/>
      <c r="T65" s="894"/>
      <c r="U65" s="894"/>
      <c r="V65" s="894"/>
      <c r="W65" s="894"/>
      <c r="X65" s="894"/>
      <c r="Y65" s="894"/>
    </row>
    <row r="66" spans="1:26" x14ac:dyDescent="0.35">
      <c r="A66" s="894"/>
      <c r="B66" s="894"/>
      <c r="C66" s="894"/>
      <c r="D66" s="894"/>
      <c r="E66" s="894"/>
      <c r="F66" s="894"/>
      <c r="G66" s="894"/>
      <c r="H66" s="894"/>
      <c r="I66" s="894"/>
      <c r="J66" s="894"/>
      <c r="K66" s="894"/>
      <c r="L66" s="894"/>
      <c r="M66" s="894"/>
      <c r="N66" s="894"/>
      <c r="O66" s="894"/>
      <c r="P66" s="894"/>
      <c r="Q66" s="894"/>
      <c r="R66" s="894"/>
      <c r="S66" s="894"/>
      <c r="T66" s="894"/>
      <c r="U66" s="894"/>
      <c r="V66" s="894"/>
      <c r="W66" s="894"/>
      <c r="X66" s="894"/>
      <c r="Y66" s="894"/>
    </row>
    <row r="67" spans="1:26" x14ac:dyDescent="0.35">
      <c r="A67" s="894"/>
      <c r="B67" s="894"/>
      <c r="C67" s="894"/>
      <c r="D67" s="894"/>
      <c r="E67" s="894"/>
      <c r="F67" s="894"/>
      <c r="G67" s="894"/>
      <c r="H67" s="894"/>
      <c r="I67" s="894"/>
      <c r="J67" s="894"/>
      <c r="K67" s="894"/>
      <c r="L67" s="894"/>
      <c r="M67" s="894"/>
      <c r="N67" s="894"/>
      <c r="O67" s="894"/>
      <c r="P67" s="894"/>
      <c r="Q67" s="894"/>
      <c r="R67" s="894"/>
      <c r="S67" s="894"/>
      <c r="T67" s="894"/>
      <c r="U67" s="894"/>
      <c r="V67" s="894"/>
      <c r="W67" s="894"/>
      <c r="X67" s="894"/>
      <c r="Y67" s="894"/>
    </row>
    <row r="68" spans="1:26" x14ac:dyDescent="0.35">
      <c r="A68" s="894"/>
      <c r="B68" s="894"/>
      <c r="C68" s="894"/>
      <c r="D68" s="894"/>
      <c r="E68" s="894"/>
      <c r="F68" s="894"/>
      <c r="G68" s="894"/>
      <c r="H68" s="894"/>
      <c r="I68" s="894"/>
      <c r="J68" s="894"/>
      <c r="K68" s="894"/>
      <c r="L68" s="894"/>
      <c r="M68" s="894"/>
      <c r="N68" s="894"/>
      <c r="O68" s="894"/>
      <c r="P68" s="894"/>
      <c r="Q68" s="894"/>
      <c r="R68" s="894"/>
      <c r="S68" s="894"/>
      <c r="T68" s="894"/>
      <c r="U68" s="894"/>
      <c r="V68" s="894"/>
      <c r="W68" s="894"/>
      <c r="X68" s="894"/>
      <c r="Y68" s="894"/>
    </row>
    <row r="69" spans="1:26" x14ac:dyDescent="0.35">
      <c r="A69" s="894"/>
      <c r="B69" s="894"/>
      <c r="C69" s="894"/>
      <c r="D69" s="894"/>
      <c r="E69" s="894"/>
      <c r="F69" s="894"/>
      <c r="G69" s="894"/>
      <c r="H69" s="894"/>
      <c r="I69" s="894"/>
      <c r="J69" s="894"/>
      <c r="K69" s="894"/>
      <c r="L69" s="894"/>
      <c r="M69" s="894"/>
      <c r="N69" s="894"/>
      <c r="O69" s="894"/>
      <c r="P69" s="894"/>
      <c r="Q69" s="894"/>
      <c r="R69" s="894"/>
      <c r="S69" s="894"/>
      <c r="T69" s="894"/>
      <c r="U69" s="894"/>
      <c r="V69" s="894"/>
      <c r="W69" s="894"/>
      <c r="X69" s="894"/>
      <c r="Y69" s="894"/>
    </row>
    <row r="70" spans="1:26" x14ac:dyDescent="0.35">
      <c r="A70" s="894"/>
      <c r="B70" s="894"/>
      <c r="C70" s="894"/>
      <c r="D70" s="894"/>
      <c r="E70" s="894"/>
      <c r="F70" s="894"/>
      <c r="G70" s="894"/>
      <c r="H70" s="894"/>
      <c r="I70" s="894"/>
      <c r="J70" s="894"/>
      <c r="K70" s="894"/>
      <c r="L70" s="894"/>
      <c r="M70" s="894"/>
      <c r="N70" s="894"/>
      <c r="O70" s="894"/>
      <c r="P70" s="894"/>
      <c r="Q70" s="894"/>
      <c r="R70" s="894"/>
      <c r="S70" s="894"/>
      <c r="T70" s="894"/>
      <c r="U70" s="894"/>
      <c r="V70" s="894"/>
      <c r="W70" s="894"/>
      <c r="X70" s="894"/>
      <c r="Y70" s="894"/>
    </row>
    <row r="71" spans="1:26" x14ac:dyDescent="0.35">
      <c r="A71" s="894"/>
      <c r="B71" s="894"/>
      <c r="C71" s="894"/>
      <c r="D71" s="894"/>
      <c r="E71" s="894"/>
      <c r="F71" s="894"/>
      <c r="G71" s="894"/>
      <c r="H71" s="894"/>
      <c r="I71" s="894"/>
      <c r="J71" s="894"/>
      <c r="K71" s="894"/>
      <c r="L71" s="894"/>
      <c r="M71" s="894"/>
      <c r="N71" s="894"/>
      <c r="O71" s="894"/>
      <c r="P71" s="894"/>
      <c r="Q71" s="894"/>
      <c r="R71" s="894"/>
      <c r="S71" s="894"/>
      <c r="T71" s="894"/>
      <c r="U71" s="894"/>
      <c r="V71" s="894"/>
      <c r="W71" s="894"/>
      <c r="X71" s="894"/>
      <c r="Y71" s="894"/>
    </row>
    <row r="72" spans="1:26" x14ac:dyDescent="0.35">
      <c r="A72" s="894"/>
      <c r="B72" s="894"/>
      <c r="C72" s="894"/>
      <c r="D72" s="894"/>
      <c r="E72" s="894"/>
      <c r="F72" s="894"/>
      <c r="G72" s="894"/>
      <c r="H72" s="894"/>
      <c r="I72" s="894"/>
      <c r="J72" s="894"/>
      <c r="K72" s="894"/>
      <c r="L72" s="894"/>
      <c r="M72" s="894"/>
      <c r="N72" s="894"/>
      <c r="O72" s="894"/>
      <c r="P72" s="894"/>
      <c r="Q72" s="894"/>
      <c r="R72" s="894"/>
      <c r="S72" s="894"/>
      <c r="T72" s="894"/>
      <c r="U72" s="894"/>
      <c r="V72" s="894"/>
      <c r="W72" s="894"/>
      <c r="X72" s="894"/>
      <c r="Y72" s="894"/>
    </row>
    <row r="73" spans="1:26" x14ac:dyDescent="0.35">
      <c r="A73" s="894"/>
      <c r="B73" s="894"/>
      <c r="C73" s="894"/>
      <c r="D73" s="894"/>
      <c r="E73" s="894"/>
      <c r="F73" s="894"/>
      <c r="G73" s="894"/>
      <c r="H73" s="894"/>
      <c r="I73" s="894"/>
      <c r="J73" s="894"/>
      <c r="K73" s="894"/>
      <c r="L73" s="894"/>
      <c r="M73" s="894"/>
      <c r="N73" s="894"/>
      <c r="O73" s="894"/>
      <c r="P73" s="894"/>
      <c r="Q73" s="894"/>
      <c r="R73" s="894"/>
      <c r="S73" s="894"/>
      <c r="T73" s="894"/>
      <c r="U73" s="894"/>
      <c r="V73" s="894"/>
      <c r="W73" s="894"/>
      <c r="X73" s="894"/>
      <c r="Y73" s="894"/>
    </row>
    <row r="74" spans="1:26" x14ac:dyDescent="0.35">
      <c r="A74" s="894"/>
      <c r="B74" s="894"/>
      <c r="C74" s="894"/>
      <c r="D74" s="894"/>
      <c r="E74" s="894"/>
      <c r="F74" s="894"/>
      <c r="G74" s="894"/>
      <c r="H74" s="894"/>
      <c r="I74" s="894"/>
      <c r="J74" s="894"/>
      <c r="K74" s="894"/>
      <c r="L74" s="894"/>
      <c r="M74" s="894"/>
      <c r="N74" s="894"/>
      <c r="O74" s="894"/>
      <c r="P74" s="894"/>
      <c r="Q74" s="894"/>
      <c r="R74" s="894"/>
      <c r="S74" s="894"/>
      <c r="T74" s="894"/>
      <c r="U74" s="894"/>
      <c r="V74" s="894"/>
      <c r="W74" s="894"/>
      <c r="X74" s="894"/>
      <c r="Y74" s="894"/>
    </row>
    <row r="75" spans="1:26" x14ac:dyDescent="0.35">
      <c r="A75" s="894"/>
      <c r="B75" s="894"/>
      <c r="C75" s="894"/>
      <c r="D75" s="894"/>
      <c r="E75" s="894"/>
      <c r="F75" s="894"/>
      <c r="G75" s="894"/>
      <c r="H75" s="894"/>
      <c r="I75" s="894"/>
      <c r="J75" s="894"/>
      <c r="K75" s="894"/>
      <c r="L75" s="894"/>
      <c r="M75" s="894"/>
      <c r="N75" s="894"/>
      <c r="O75" s="894"/>
      <c r="P75" s="894"/>
      <c r="Q75" s="894"/>
      <c r="R75" s="894"/>
      <c r="S75" s="894"/>
      <c r="T75" s="894"/>
      <c r="U75" s="894"/>
      <c r="V75" s="894"/>
      <c r="W75" s="894"/>
      <c r="X75" s="894"/>
      <c r="Y75" s="894"/>
    </row>
    <row r="76" spans="1:26" x14ac:dyDescent="0.35">
      <c r="A76" s="894"/>
      <c r="B76" s="894"/>
      <c r="C76" s="894"/>
      <c r="D76" s="894"/>
      <c r="E76" s="894"/>
      <c r="F76" s="894"/>
      <c r="G76" s="894"/>
      <c r="H76" s="894"/>
      <c r="I76" s="894"/>
      <c r="J76" s="894"/>
      <c r="K76" s="894"/>
      <c r="L76" s="894"/>
      <c r="M76" s="894"/>
      <c r="N76" s="894"/>
      <c r="O76" s="894"/>
      <c r="P76" s="894"/>
      <c r="Q76" s="894"/>
      <c r="R76" s="894"/>
      <c r="S76" s="894"/>
      <c r="T76" s="894"/>
      <c r="U76" s="894"/>
      <c r="V76" s="894"/>
      <c r="W76" s="894"/>
      <c r="X76" s="894"/>
      <c r="Y76" s="894"/>
    </row>
    <row r="77" spans="1:26" ht="16" thickBot="1" x14ac:dyDescent="0.4"/>
    <row r="78" spans="1:26" ht="16" thickBot="1" x14ac:dyDescent="0.4">
      <c r="Y78" s="152"/>
      <c r="Z78" s="153"/>
    </row>
  </sheetData>
  <mergeCells count="1">
    <mergeCell ref="A1:Y76"/>
  </mergeCells>
  <pageMargins left="0.7" right="0.7" top="0.75" bottom="0.75" header="0.3" footer="0.3"/>
  <customProperties>
    <customPr name="QAA_DRILLPATH_NODE_ID" r:id="rId1"/>
  </customPropertie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dimension ref="D7:BY31"/>
  <sheetViews>
    <sheetView workbookViewId="0">
      <selection activeCell="AJ21" sqref="AJ21"/>
    </sheetView>
  </sheetViews>
  <sheetFormatPr baseColWidth="10" defaultColWidth="3.08203125" defaultRowHeight="15.5" x14ac:dyDescent="0.35"/>
  <sheetData>
    <row r="7" spans="4:77" x14ac:dyDescent="0.35">
      <c r="L7" t="s">
        <v>2051</v>
      </c>
      <c r="AD7" t="s">
        <v>2076</v>
      </c>
    </row>
    <row r="8" spans="4:77" ht="14.25" customHeight="1" x14ac:dyDescent="0.35">
      <c r="L8" t="s">
        <v>2077</v>
      </c>
      <c r="M8" t="s">
        <v>2078</v>
      </c>
    </row>
    <row r="9" spans="4:77" ht="14.25" customHeight="1" x14ac:dyDescent="0.35"/>
    <row r="10" spans="4:77" ht="14.25" customHeight="1" x14ac:dyDescent="0.35">
      <c r="D10" s="406"/>
      <c r="E10" s="154"/>
      <c r="F10" s="131"/>
      <c r="G10" s="154"/>
      <c r="H10" s="154"/>
      <c r="I10" s="154"/>
      <c r="J10" s="406"/>
      <c r="K10" s="406"/>
      <c r="L10" s="406"/>
      <c r="M10" s="406"/>
      <c r="N10" s="406"/>
      <c r="O10" s="406"/>
      <c r="P10" s="406"/>
      <c r="Q10" s="406"/>
      <c r="R10" s="406"/>
      <c r="S10" s="406"/>
      <c r="T10" s="406"/>
      <c r="U10" s="406"/>
      <c r="V10" s="406"/>
      <c r="W10" s="406"/>
      <c r="X10" s="406"/>
      <c r="Y10" s="406"/>
      <c r="Z10" s="406"/>
      <c r="AA10" s="406"/>
      <c r="AB10" s="405"/>
    </row>
    <row r="11" spans="4:77" ht="14.25" customHeight="1" x14ac:dyDescent="0.35">
      <c r="D11" s="155"/>
      <c r="E11" s="156"/>
      <c r="F11" s="156"/>
      <c r="G11" s="156"/>
      <c r="H11" s="156"/>
      <c r="I11" s="156"/>
      <c r="J11" s="156"/>
      <c r="K11" s="156"/>
      <c r="L11" s="156"/>
      <c r="M11" s="156"/>
      <c r="N11" s="156"/>
      <c r="O11" s="156"/>
      <c r="P11" s="156"/>
      <c r="Q11" s="156"/>
      <c r="R11" s="156"/>
      <c r="S11" s="156"/>
      <c r="T11" s="156"/>
      <c r="U11" s="156"/>
      <c r="V11" s="156"/>
      <c r="W11" s="156"/>
      <c r="X11" s="156"/>
      <c r="Y11" s="156"/>
      <c r="Z11" s="156"/>
      <c r="BY11" t="s">
        <v>2079</v>
      </c>
    </row>
    <row r="12" spans="4:77" ht="14.25" customHeight="1" x14ac:dyDescent="0.35">
      <c r="D12" s="155"/>
      <c r="E12" s="156"/>
      <c r="F12" s="156"/>
      <c r="G12" s="156"/>
      <c r="H12" s="156"/>
      <c r="I12" s="156"/>
      <c r="J12" s="156"/>
      <c r="K12" s="156"/>
      <c r="L12" s="156"/>
      <c r="M12" s="156"/>
      <c r="N12" s="156"/>
      <c r="O12" s="156"/>
      <c r="P12" s="156"/>
      <c r="Q12" s="156"/>
      <c r="R12" s="156"/>
      <c r="S12" s="156"/>
      <c r="T12" s="156"/>
      <c r="U12" s="156"/>
      <c r="V12" s="156"/>
      <c r="W12" s="156"/>
      <c r="X12" s="156"/>
      <c r="Y12" s="156"/>
      <c r="Z12" s="156"/>
    </row>
    <row r="13" spans="4:77" ht="14.25" customHeight="1" x14ac:dyDescent="0.35">
      <c r="D13" s="155"/>
      <c r="E13" s="156"/>
      <c r="F13" s="156"/>
      <c r="G13" s="156"/>
      <c r="H13" s="156"/>
      <c r="I13" s="156"/>
      <c r="J13" s="156"/>
      <c r="K13" s="156"/>
      <c r="L13" s="156"/>
      <c r="M13" s="156"/>
      <c r="N13" s="156"/>
      <c r="O13" s="156"/>
      <c r="P13" s="156"/>
      <c r="Q13" s="156"/>
      <c r="R13" s="156"/>
      <c r="S13" s="156"/>
      <c r="T13" s="156"/>
      <c r="U13" s="156"/>
      <c r="V13" s="156"/>
      <c r="W13" s="156"/>
      <c r="X13" s="156"/>
      <c r="Y13" s="156"/>
      <c r="Z13" s="156"/>
      <c r="AC13" t="s">
        <v>2080</v>
      </c>
      <c r="AN13" t="s">
        <v>2081</v>
      </c>
    </row>
    <row r="14" spans="4:77" ht="14.25" customHeight="1" x14ac:dyDescent="0.35">
      <c r="D14" s="155"/>
      <c r="E14" s="156"/>
      <c r="F14" s="156"/>
      <c r="G14" s="156"/>
      <c r="H14" s="156"/>
      <c r="I14" s="156"/>
      <c r="J14" s="156"/>
      <c r="K14" s="156"/>
      <c r="L14" s="156"/>
      <c r="M14" s="156"/>
      <c r="N14" s="156"/>
      <c r="O14" s="156"/>
      <c r="P14" s="156"/>
      <c r="Q14" s="156"/>
      <c r="R14" s="156"/>
      <c r="S14" s="156"/>
      <c r="T14" s="156"/>
      <c r="U14" s="156"/>
      <c r="V14" s="156"/>
      <c r="W14" s="156"/>
      <c r="X14" s="156"/>
      <c r="Y14" s="156"/>
      <c r="Z14" s="156"/>
    </row>
    <row r="15" spans="4:77" ht="14.25" customHeight="1" x14ac:dyDescent="0.35">
      <c r="D15" s="155"/>
      <c r="E15" s="156"/>
      <c r="F15" s="156"/>
      <c r="G15" s="156"/>
      <c r="H15" s="156"/>
      <c r="I15" s="156"/>
      <c r="J15" s="156"/>
      <c r="K15" s="156"/>
      <c r="L15" s="156"/>
      <c r="M15" s="156"/>
      <c r="N15" s="156"/>
      <c r="O15" s="156"/>
      <c r="P15" s="156"/>
      <c r="Q15" s="156"/>
      <c r="R15" s="156"/>
      <c r="S15" s="156"/>
      <c r="T15" s="156"/>
      <c r="U15" s="156"/>
      <c r="V15" s="156"/>
      <c r="W15" s="156"/>
      <c r="X15" s="156"/>
      <c r="Y15" s="156"/>
      <c r="Z15" s="156"/>
    </row>
    <row r="16" spans="4:77" ht="14.25" customHeight="1" x14ac:dyDescent="0.35">
      <c r="D16" s="155"/>
      <c r="E16" s="156"/>
      <c r="F16" s="156"/>
      <c r="G16" s="156"/>
      <c r="H16" s="156"/>
      <c r="I16" s="156"/>
      <c r="J16" s="156"/>
      <c r="K16" s="156"/>
      <c r="L16" s="156"/>
      <c r="M16" s="156"/>
      <c r="N16" s="156"/>
      <c r="O16" s="156"/>
      <c r="P16" s="156"/>
      <c r="Q16" s="156"/>
      <c r="R16" s="156"/>
      <c r="S16" s="156"/>
      <c r="T16" s="156"/>
      <c r="U16" s="156"/>
      <c r="V16" s="156"/>
      <c r="W16" s="156"/>
      <c r="X16" s="156"/>
      <c r="Y16" s="156"/>
      <c r="Z16" s="156"/>
      <c r="BU16" t="s">
        <v>2082</v>
      </c>
    </row>
    <row r="17" spans="4:73" ht="14.25" customHeight="1" x14ac:dyDescent="0.35">
      <c r="D17" s="155"/>
      <c r="E17" s="156"/>
      <c r="F17" s="156"/>
      <c r="G17" s="156"/>
      <c r="H17" s="156"/>
      <c r="I17" s="156"/>
      <c r="J17" s="156"/>
      <c r="K17" s="156"/>
      <c r="L17" s="156"/>
      <c r="M17" s="156"/>
      <c r="N17" s="156"/>
      <c r="O17" s="156"/>
      <c r="P17" s="156"/>
      <c r="Q17" s="156"/>
      <c r="R17" s="156"/>
      <c r="S17" s="156"/>
      <c r="T17" s="156"/>
      <c r="U17" s="156"/>
      <c r="V17" s="156"/>
      <c r="W17" s="156"/>
      <c r="X17" s="156"/>
      <c r="Y17" s="156"/>
      <c r="Z17" s="156"/>
      <c r="AB17" t="s">
        <v>2083</v>
      </c>
    </row>
    <row r="18" spans="4:73" ht="14.25" customHeight="1" x14ac:dyDescent="0.35">
      <c r="D18" s="155"/>
      <c r="E18" s="156"/>
      <c r="F18" s="156"/>
      <c r="G18" s="156"/>
      <c r="H18" s="156"/>
      <c r="I18" s="156"/>
      <c r="J18" s="156"/>
      <c r="K18" s="156"/>
      <c r="L18" s="156"/>
      <c r="M18" s="156"/>
      <c r="N18" s="156"/>
      <c r="O18" s="156"/>
      <c r="P18" s="156"/>
      <c r="Q18" s="156"/>
      <c r="R18" s="156"/>
      <c r="S18" s="156"/>
      <c r="T18" s="156"/>
      <c r="U18" s="156"/>
      <c r="V18" s="156"/>
      <c r="W18" s="156"/>
      <c r="X18" s="156"/>
      <c r="Y18" s="156"/>
      <c r="Z18" s="156"/>
      <c r="AM18" t="s">
        <v>2084</v>
      </c>
    </row>
    <row r="19" spans="4:73" ht="14.25" customHeight="1" x14ac:dyDescent="0.35">
      <c r="D19" s="155"/>
      <c r="E19" s="156"/>
      <c r="F19" s="156"/>
      <c r="G19" s="156"/>
      <c r="H19" s="156"/>
      <c r="I19" s="156"/>
      <c r="J19" s="156"/>
      <c r="K19" s="156"/>
      <c r="L19" s="156"/>
      <c r="M19" s="156"/>
      <c r="N19" s="156"/>
      <c r="O19" s="156"/>
      <c r="P19" s="156"/>
      <c r="Q19" s="156"/>
      <c r="R19" s="156"/>
      <c r="S19" s="156"/>
      <c r="T19" s="156"/>
      <c r="U19" s="156"/>
      <c r="V19" s="156"/>
      <c r="W19" s="156"/>
      <c r="X19" s="156"/>
      <c r="Y19" s="156"/>
      <c r="Z19" s="156"/>
      <c r="BU19" t="s">
        <v>2085</v>
      </c>
    </row>
    <row r="20" spans="4:73" ht="14.25" customHeight="1" x14ac:dyDescent="0.35">
      <c r="D20" s="155"/>
      <c r="E20" s="156"/>
      <c r="F20" s="156"/>
      <c r="G20" s="156"/>
      <c r="H20" s="156"/>
      <c r="I20" s="156"/>
      <c r="J20" s="156"/>
      <c r="K20" s="156"/>
      <c r="L20" s="156"/>
      <c r="M20" s="156"/>
      <c r="N20" s="156"/>
      <c r="O20" s="156"/>
      <c r="P20" s="156"/>
      <c r="Q20" s="156"/>
      <c r="R20" s="156"/>
      <c r="S20" s="156"/>
      <c r="T20" s="156"/>
      <c r="U20" s="156"/>
      <c r="V20" s="156"/>
      <c r="W20" s="156"/>
      <c r="X20" s="156"/>
      <c r="Y20" s="156"/>
      <c r="Z20" s="156"/>
      <c r="AB20" t="s">
        <v>2086</v>
      </c>
      <c r="BU20" t="s">
        <v>2087</v>
      </c>
    </row>
    <row r="21" spans="4:73" ht="14.25" customHeight="1" x14ac:dyDescent="0.35">
      <c r="D21" s="155"/>
      <c r="E21" s="156"/>
      <c r="F21" s="156"/>
      <c r="G21" s="156"/>
      <c r="H21" s="156"/>
      <c r="I21" s="156"/>
      <c r="J21" s="156"/>
      <c r="K21" s="156"/>
      <c r="L21" s="156"/>
      <c r="M21" s="156"/>
      <c r="N21" s="156"/>
      <c r="O21" s="156"/>
      <c r="P21" s="156"/>
      <c r="Q21" s="156"/>
      <c r="R21" s="156"/>
      <c r="S21" s="156"/>
      <c r="T21" s="156"/>
      <c r="U21" s="156"/>
      <c r="V21" s="156"/>
      <c r="W21" s="156"/>
      <c r="X21" s="156"/>
      <c r="Y21" s="156"/>
      <c r="Z21" s="156"/>
    </row>
    <row r="22" spans="4:73" ht="14.25" customHeight="1" x14ac:dyDescent="0.35">
      <c r="D22" s="155"/>
      <c r="E22" s="156"/>
      <c r="F22" s="156"/>
      <c r="G22" s="156"/>
      <c r="H22" s="156"/>
      <c r="I22" s="156"/>
      <c r="J22" s="156"/>
      <c r="K22" s="156"/>
      <c r="L22" s="156"/>
      <c r="M22" s="156"/>
      <c r="N22" s="156"/>
      <c r="O22" s="156"/>
      <c r="P22" s="156"/>
      <c r="Q22" s="156"/>
      <c r="R22" s="156"/>
      <c r="S22" s="156"/>
      <c r="T22" s="156"/>
      <c r="U22" s="156"/>
      <c r="V22" s="156"/>
      <c r="W22" s="156"/>
      <c r="X22" s="156"/>
      <c r="Y22" s="156"/>
      <c r="Z22" s="156"/>
      <c r="AG22" t="s">
        <v>2088</v>
      </c>
    </row>
    <row r="23" spans="4:73" ht="14.25" customHeight="1" x14ac:dyDescent="0.35">
      <c r="D23" s="407"/>
      <c r="E23" s="407"/>
      <c r="F23" s="407"/>
      <c r="G23" s="407"/>
      <c r="H23" s="407"/>
      <c r="I23" s="407"/>
      <c r="J23" s="407"/>
      <c r="K23" s="407"/>
      <c r="L23" s="407"/>
      <c r="M23" s="407"/>
      <c r="N23" s="407"/>
      <c r="O23" s="407"/>
      <c r="P23" s="407"/>
      <c r="Q23" s="407"/>
      <c r="R23" s="407"/>
      <c r="S23" s="407"/>
      <c r="T23" s="407"/>
      <c r="U23" s="407"/>
      <c r="V23" s="407"/>
      <c r="W23" s="407"/>
      <c r="X23" s="407"/>
      <c r="Y23" s="407"/>
      <c r="Z23" s="407"/>
      <c r="AA23" s="404"/>
    </row>
    <row r="24" spans="4:73" ht="14.25" customHeight="1" x14ac:dyDescent="0.35"/>
    <row r="25" spans="4:73" ht="14.25" customHeight="1" x14ac:dyDescent="0.35"/>
    <row r="26" spans="4:73" ht="14.25" customHeight="1" x14ac:dyDescent="0.35">
      <c r="AB26" t="s">
        <v>2089</v>
      </c>
      <c r="AF26" t="s">
        <v>2090</v>
      </c>
      <c r="AG26" t="s">
        <v>2091</v>
      </c>
      <c r="AJ26" s="157" t="s">
        <v>2092</v>
      </c>
    </row>
    <row r="27" spans="4:73" ht="14.25" customHeight="1" x14ac:dyDescent="0.35">
      <c r="D27" t="s">
        <v>2093</v>
      </c>
      <c r="AE27" t="s">
        <v>2094</v>
      </c>
    </row>
    <row r="28" spans="4:73" ht="14.25" customHeight="1" x14ac:dyDescent="0.35">
      <c r="Y28" t="s">
        <v>2095</v>
      </c>
      <c r="AA28" t="s">
        <v>2096</v>
      </c>
      <c r="AE28" t="s">
        <v>2097</v>
      </c>
      <c r="AY28" s="158" t="s">
        <v>2098</v>
      </c>
    </row>
    <row r="29" spans="4:73" ht="14.25" customHeight="1" x14ac:dyDescent="0.35"/>
    <row r="30" spans="4:73" ht="14.25" customHeight="1" x14ac:dyDescent="0.35">
      <c r="T30" t="s">
        <v>2099</v>
      </c>
      <c r="AF30" t="s">
        <v>2100</v>
      </c>
    </row>
    <row r="31" spans="4:73" ht="14.25" customHeight="1" x14ac:dyDescent="0.35"/>
  </sheetData>
  <pageMargins left="0.7" right="0.7" top="0.75" bottom="0.75" header="0.3" footer="0.3"/>
  <customProperties>
    <customPr name="QAA_DRILLPATH_NODE_ID" r:id="rId1"/>
  </customPropertie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dimension ref="A1"/>
  <sheetViews>
    <sheetView workbookViewId="0">
      <selection activeCell="K17" sqref="K17"/>
    </sheetView>
  </sheetViews>
  <sheetFormatPr baseColWidth="10" defaultColWidth="11" defaultRowHeight="15.5" x14ac:dyDescent="0.35"/>
  <sheetData/>
  <pageMargins left="0.7" right="0.7" top="0.75" bottom="0.75" header="0.3" footer="0.3"/>
  <customProperties>
    <customPr name="QAA_DRILLPATH_NODE_ID" r:id="rId1"/>
  </customPropertie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AU815"/>
  <sheetViews>
    <sheetView showGridLines="0" topLeftCell="A3" zoomScale="90" zoomScaleNormal="90" workbookViewId="0">
      <pane xSplit="2" ySplit="10" topLeftCell="C13" activePane="bottomRight" state="frozen"/>
      <selection pane="topRight" activeCell="C3" sqref="C3"/>
      <selection pane="bottomLeft" activeCell="A13" sqref="A13"/>
      <selection pane="bottomRight" activeCell="A4" sqref="A4"/>
    </sheetView>
  </sheetViews>
  <sheetFormatPr baseColWidth="10" defaultColWidth="10" defaultRowHeight="13" x14ac:dyDescent="0.3"/>
  <cols>
    <col min="1" max="1" width="10.08203125" style="276" customWidth="1"/>
    <col min="2" max="2" width="70.08203125" style="180" customWidth="1"/>
    <col min="3" max="3" width="12" style="182" customWidth="1"/>
    <col min="4" max="4" width="11.58203125" style="188" customWidth="1"/>
    <col min="5" max="5" width="11.08203125" style="182" customWidth="1"/>
    <col min="6" max="6" width="12" style="198" customWidth="1"/>
    <col min="7" max="7" width="12.58203125" style="168" customWidth="1"/>
    <col min="8" max="8" width="11.08203125" style="168" customWidth="1"/>
    <col min="9" max="9" width="11.5" style="190" customWidth="1"/>
    <col min="10" max="10" width="15.08203125" style="168" customWidth="1"/>
    <col min="11" max="11" width="13.08203125" style="168" customWidth="1"/>
    <col min="12" max="12" width="12.58203125" style="168" customWidth="1"/>
    <col min="13" max="13" width="12.08203125" style="168" customWidth="1"/>
    <col min="14" max="14" width="14.58203125" style="190" customWidth="1"/>
    <col min="15" max="15" width="93" style="168" customWidth="1"/>
    <col min="16" max="16" width="5.5" style="168" customWidth="1"/>
    <col min="17" max="17" width="14.08203125" style="182" customWidth="1"/>
    <col min="18" max="18" width="11.08203125" style="168" customWidth="1"/>
    <col min="19" max="19" width="10" style="182" customWidth="1"/>
    <col min="20" max="22" width="10" style="168" customWidth="1"/>
    <col min="23" max="23" width="16" style="168" customWidth="1"/>
    <col min="24" max="24" width="14.58203125" style="168" customWidth="1"/>
    <col min="25" max="27" width="14.5" style="168" customWidth="1"/>
    <col min="28" max="28" width="14.58203125" style="190" customWidth="1"/>
    <col min="29" max="29" width="92.08203125" style="182" customWidth="1"/>
    <col min="30" max="30" width="3.08203125" style="182" customWidth="1"/>
    <col min="31" max="31" width="5.08203125" style="204" hidden="1" customWidth="1"/>
    <col min="32" max="32" width="27.08203125" style="204" hidden="1" customWidth="1"/>
    <col min="33" max="33" width="10" style="198" bestFit="1" customWidth="1"/>
    <col min="34" max="34" width="10" style="198"/>
    <col min="35" max="36" width="16" style="168" customWidth="1"/>
    <col min="37" max="38" width="13.58203125" style="168" customWidth="1"/>
    <col min="39" max="42" width="13.58203125" style="168" hidden="1" customWidth="1"/>
    <col min="43" max="43" width="10.9140625" style="168" hidden="1" customWidth="1"/>
    <col min="44" max="44" width="8.58203125" style="168" hidden="1" customWidth="1"/>
    <col min="45" max="45" width="7.58203125" style="168" hidden="1" customWidth="1"/>
    <col min="46" max="46" width="22" style="168" hidden="1" customWidth="1"/>
    <col min="47" max="47" width="25.08203125" style="168" hidden="1" customWidth="1"/>
    <col min="48" max="16384" width="10" style="168"/>
  </cols>
  <sheetData>
    <row r="1" spans="1:47" s="173" customFormat="1" ht="18.5" x14ac:dyDescent="0.3">
      <c r="A1" s="302" t="s">
        <v>330</v>
      </c>
      <c r="B1" s="298"/>
      <c r="C1" s="187"/>
      <c r="D1" s="299"/>
      <c r="E1" s="187"/>
      <c r="F1" s="300"/>
      <c r="I1" s="301"/>
      <c r="N1" s="301"/>
      <c r="Q1" s="187"/>
      <c r="S1" s="187"/>
      <c r="AB1" s="301"/>
      <c r="AC1" s="187"/>
      <c r="AD1" s="187"/>
      <c r="AE1" s="204"/>
      <c r="AF1" s="204"/>
      <c r="AG1" s="300"/>
      <c r="AH1" s="300"/>
    </row>
    <row r="2" spans="1:47" ht="7.4" customHeight="1" x14ac:dyDescent="0.3"/>
    <row r="3" spans="1:47" s="308" customFormat="1" ht="32.9" customHeight="1" x14ac:dyDescent="0.45">
      <c r="A3" s="309" t="s">
        <v>749</v>
      </c>
      <c r="B3" s="304"/>
      <c r="C3" s="304"/>
      <c r="D3" s="305"/>
      <c r="E3" s="304"/>
      <c r="F3" s="306"/>
      <c r="G3" s="306"/>
      <c r="H3" s="306"/>
      <c r="I3" s="307"/>
      <c r="J3" s="306"/>
      <c r="K3" s="306"/>
      <c r="L3" s="306"/>
      <c r="M3" s="306"/>
      <c r="N3" s="307"/>
      <c r="O3" s="306"/>
      <c r="P3" s="306"/>
      <c r="Q3" s="304"/>
      <c r="R3" s="306"/>
      <c r="S3" s="304"/>
      <c r="T3" s="306"/>
      <c r="U3" s="306"/>
      <c r="V3" s="306"/>
      <c r="W3" s="306"/>
      <c r="X3" s="306"/>
      <c r="Y3" s="306"/>
      <c r="Z3" s="306"/>
      <c r="AA3" s="306"/>
      <c r="AB3" s="307"/>
      <c r="AC3" s="304"/>
      <c r="AD3" s="304"/>
      <c r="AE3" s="304"/>
      <c r="AF3" s="304"/>
      <c r="AG3" s="306"/>
      <c r="AH3" s="306"/>
      <c r="AI3" s="306"/>
      <c r="AJ3" s="306"/>
      <c r="AK3" s="306"/>
      <c r="AL3" s="306"/>
      <c r="AM3" s="306"/>
      <c r="AN3" s="306"/>
      <c r="AO3" s="306"/>
      <c r="AP3" s="306"/>
    </row>
    <row r="4" spans="1:47" s="303" customFormat="1" ht="6.65" customHeight="1" x14ac:dyDescent="0.45">
      <c r="A4" s="329"/>
      <c r="B4" s="302"/>
      <c r="C4" s="302"/>
      <c r="D4" s="330"/>
      <c r="E4" s="302"/>
      <c r="I4" s="331"/>
      <c r="N4" s="331"/>
      <c r="Q4" s="302"/>
      <c r="S4" s="302"/>
      <c r="AB4" s="331"/>
      <c r="AC4" s="302"/>
      <c r="AD4" s="302"/>
      <c r="AE4" s="302"/>
      <c r="AF4" s="302"/>
    </row>
    <row r="5" spans="1:47" s="303" customFormat="1" ht="18.649999999999999" customHeight="1" x14ac:dyDescent="0.45">
      <c r="A5" s="302" t="s">
        <v>750</v>
      </c>
      <c r="B5" s="302"/>
      <c r="C5" s="302"/>
      <c r="D5" s="330"/>
      <c r="E5" s="302"/>
      <c r="I5" s="331"/>
      <c r="N5" s="331"/>
      <c r="Q5" s="302"/>
      <c r="S5" s="302"/>
      <c r="AB5" s="331"/>
      <c r="AC5" s="302"/>
      <c r="AD5" s="302"/>
      <c r="AE5" s="302"/>
      <c r="AF5" s="302"/>
      <c r="AT5" s="332">
        <v>1625181.04</v>
      </c>
    </row>
    <row r="6" spans="1:47" ht="14.5" x14ac:dyDescent="0.35">
      <c r="AT6" s="333"/>
    </row>
    <row r="7" spans="1:47" s="167" customFormat="1" ht="23.25" customHeight="1" x14ac:dyDescent="0.55000000000000004">
      <c r="A7" s="278"/>
      <c r="B7" s="166"/>
      <c r="C7" s="876" t="s">
        <v>751</v>
      </c>
      <c r="D7" s="877"/>
      <c r="E7" s="877"/>
      <c r="F7" s="877"/>
      <c r="G7" s="877"/>
      <c r="H7" s="877"/>
      <c r="I7" s="877"/>
      <c r="J7" s="877"/>
      <c r="K7" s="877"/>
      <c r="L7" s="877"/>
      <c r="M7" s="877"/>
      <c r="N7" s="877"/>
      <c r="O7" s="878"/>
      <c r="Q7" s="879" t="s">
        <v>752</v>
      </c>
      <c r="R7" s="879"/>
      <c r="S7" s="879"/>
      <c r="T7" s="879"/>
      <c r="U7" s="879"/>
      <c r="V7" s="879"/>
      <c r="W7" s="879"/>
      <c r="X7" s="879"/>
      <c r="Y7" s="879"/>
      <c r="Z7" s="879"/>
      <c r="AA7" s="879"/>
      <c r="AB7" s="879"/>
      <c r="AC7" s="879"/>
      <c r="AD7" s="229"/>
      <c r="AE7" s="243"/>
      <c r="AF7" s="243"/>
      <c r="AG7" s="874" t="s">
        <v>753</v>
      </c>
      <c r="AH7" s="875"/>
      <c r="AI7" s="875"/>
      <c r="AJ7" s="875"/>
      <c r="AK7" s="875"/>
      <c r="AL7" s="875"/>
      <c r="AM7" s="311"/>
      <c r="AN7" s="311"/>
      <c r="AO7" s="311"/>
      <c r="AP7" s="311"/>
      <c r="AT7" s="334">
        <f>AT5/(AT5+AL10)</f>
        <v>0.17248079098215119</v>
      </c>
    </row>
    <row r="8" spans="1:47" x14ac:dyDescent="0.3">
      <c r="A8" s="866" t="s">
        <v>331</v>
      </c>
      <c r="B8" s="868" t="s">
        <v>332</v>
      </c>
      <c r="C8" s="870" t="s">
        <v>75</v>
      </c>
      <c r="D8" s="857" t="s">
        <v>333</v>
      </c>
      <c r="E8" s="870" t="s">
        <v>334</v>
      </c>
      <c r="F8" s="870" t="s">
        <v>335</v>
      </c>
      <c r="G8" s="864" t="s">
        <v>336</v>
      </c>
      <c r="H8" s="864" t="s">
        <v>337</v>
      </c>
      <c r="I8" s="859" t="s">
        <v>338</v>
      </c>
      <c r="J8" s="857" t="s">
        <v>339</v>
      </c>
      <c r="K8" s="857" t="s">
        <v>340</v>
      </c>
      <c r="L8" s="857" t="s">
        <v>10</v>
      </c>
      <c r="M8" s="857" t="s">
        <v>11</v>
      </c>
      <c r="N8" s="859" t="s">
        <v>341</v>
      </c>
      <c r="O8" s="872" t="s">
        <v>342</v>
      </c>
      <c r="Q8" s="870" t="s">
        <v>75</v>
      </c>
      <c r="R8" s="857" t="s">
        <v>333</v>
      </c>
      <c r="S8" s="870" t="s">
        <v>334</v>
      </c>
      <c r="T8" s="870" t="s">
        <v>754</v>
      </c>
      <c r="U8" s="864" t="s">
        <v>336</v>
      </c>
      <c r="V8" s="864" t="s">
        <v>337</v>
      </c>
      <c r="W8" s="857" t="s">
        <v>755</v>
      </c>
      <c r="X8" s="857" t="s">
        <v>339</v>
      </c>
      <c r="Y8" s="857" t="s">
        <v>12</v>
      </c>
      <c r="Z8" s="857" t="s">
        <v>756</v>
      </c>
      <c r="AA8" s="857" t="s">
        <v>757</v>
      </c>
      <c r="AB8" s="859" t="s">
        <v>341</v>
      </c>
      <c r="AC8" s="872" t="s">
        <v>342</v>
      </c>
      <c r="AD8" s="230"/>
      <c r="AE8" s="240"/>
      <c r="AG8" s="864" t="s">
        <v>336</v>
      </c>
      <c r="AH8" s="864" t="s">
        <v>337</v>
      </c>
      <c r="AI8" s="857" t="s">
        <v>758</v>
      </c>
      <c r="AJ8" s="859" t="s">
        <v>759</v>
      </c>
      <c r="AK8" s="857" t="s">
        <v>339</v>
      </c>
      <c r="AL8" s="857" t="s">
        <v>760</v>
      </c>
      <c r="AM8" s="857" t="s">
        <v>761</v>
      </c>
      <c r="AN8" s="859" t="s">
        <v>762</v>
      </c>
      <c r="AO8" s="857" t="s">
        <v>763</v>
      </c>
      <c r="AP8" s="859" t="s">
        <v>764</v>
      </c>
    </row>
    <row r="9" spans="1:47" x14ac:dyDescent="0.3">
      <c r="A9" s="867"/>
      <c r="B9" s="869"/>
      <c r="C9" s="871"/>
      <c r="D9" s="858"/>
      <c r="E9" s="871"/>
      <c r="F9" s="871"/>
      <c r="G9" s="865"/>
      <c r="H9" s="865"/>
      <c r="I9" s="860"/>
      <c r="J9" s="858"/>
      <c r="K9" s="858"/>
      <c r="L9" s="858"/>
      <c r="M9" s="858"/>
      <c r="N9" s="860"/>
      <c r="O9" s="873"/>
      <c r="Q9" s="871"/>
      <c r="R9" s="858"/>
      <c r="S9" s="871"/>
      <c r="T9" s="871"/>
      <c r="U9" s="865"/>
      <c r="V9" s="865"/>
      <c r="W9" s="858"/>
      <c r="X9" s="858"/>
      <c r="Y9" s="858"/>
      <c r="Z9" s="858"/>
      <c r="AA9" s="858"/>
      <c r="AB9" s="860"/>
      <c r="AC9" s="873"/>
      <c r="AD9" s="230"/>
      <c r="AE9" s="240"/>
      <c r="AG9" s="865"/>
      <c r="AH9" s="865"/>
      <c r="AI9" s="858"/>
      <c r="AJ9" s="860"/>
      <c r="AK9" s="858"/>
      <c r="AL9" s="858"/>
      <c r="AM9" s="858"/>
      <c r="AN9" s="860"/>
      <c r="AO9" s="858"/>
      <c r="AP9" s="860"/>
    </row>
    <row r="10" spans="1:47" s="197" customFormat="1" ht="28.5" customHeight="1" x14ac:dyDescent="0.35">
      <c r="A10" s="464"/>
      <c r="B10" s="465" t="s">
        <v>343</v>
      </c>
      <c r="C10" s="466"/>
      <c r="D10" s="467"/>
      <c r="E10" s="468"/>
      <c r="F10" s="468"/>
      <c r="G10" s="469">
        <f>I10/($I$10+$J$10)</f>
        <v>0.93475575290434387</v>
      </c>
      <c r="H10" s="469">
        <f>J10/($I$10+$J$10)</f>
        <v>6.5244247095656169E-2</v>
      </c>
      <c r="I10" s="470">
        <f t="shared" ref="I10:N10" si="0">I11+I95+I170+I248+I491</f>
        <v>3587610.5549999997</v>
      </c>
      <c r="J10" s="471">
        <f t="shared" si="0"/>
        <v>250408.67500000002</v>
      </c>
      <c r="K10" s="471">
        <f t="shared" si="0"/>
        <v>2471381.2637272724</v>
      </c>
      <c r="L10" s="471">
        <f t="shared" si="0"/>
        <v>688622.47872727271</v>
      </c>
      <c r="M10" s="471">
        <f t="shared" si="0"/>
        <v>427606.81254545448</v>
      </c>
      <c r="N10" s="470">
        <f t="shared" si="0"/>
        <v>109227.51999999999</v>
      </c>
      <c r="O10" s="472"/>
      <c r="Q10" s="466"/>
      <c r="R10" s="467"/>
      <c r="S10" s="468"/>
      <c r="T10" s="468"/>
      <c r="U10" s="469">
        <f>W10/($W$10+$X$10)</f>
        <v>0.95384213578476995</v>
      </c>
      <c r="V10" s="469">
        <f>X10/($W$10+$X$10)</f>
        <v>4.6157864215230042E-2</v>
      </c>
      <c r="W10" s="471">
        <f t="shared" ref="W10:AB10" si="1">W11+W95+W170+W248+W491</f>
        <v>3599658.5727156173</v>
      </c>
      <c r="X10" s="471">
        <f t="shared" si="1"/>
        <v>174192.92499999999</v>
      </c>
      <c r="Y10" s="471">
        <f t="shared" si="1"/>
        <v>2531844.9876666665</v>
      </c>
      <c r="Z10" s="471">
        <f t="shared" si="1"/>
        <v>615304.76652447553</v>
      </c>
      <c r="AA10" s="471">
        <f t="shared" si="1"/>
        <v>452508.8185244755</v>
      </c>
      <c r="AB10" s="470">
        <f t="shared" si="1"/>
        <v>76109.320000000007</v>
      </c>
      <c r="AC10" s="472"/>
      <c r="AD10" s="231"/>
      <c r="AE10" s="335"/>
      <c r="AF10" s="244" t="s">
        <v>343</v>
      </c>
      <c r="AG10" s="469">
        <f t="shared" ref="AG10:AG21" si="2">AI10/($AI10+$AK10)</f>
        <v>0.94421849566441263</v>
      </c>
      <c r="AH10" s="469">
        <f t="shared" ref="AH10:AH21" si="3">AK10/($AI10+$AK10)</f>
        <v>5.5781504335587463E-2</v>
      </c>
      <c r="AI10" s="471">
        <f>I10+W10</f>
        <v>7187269.1277156174</v>
      </c>
      <c r="AJ10" s="471">
        <f>N10+AB10</f>
        <v>185336.84</v>
      </c>
      <c r="AK10" s="471">
        <f>J10+X10</f>
        <v>424601.59999999998</v>
      </c>
      <c r="AL10" s="471">
        <f>AI10+AJ10+AK10</f>
        <v>7797207.5677156169</v>
      </c>
      <c r="AM10" s="312">
        <f t="shared" ref="AM10:AM73" si="4">I10</f>
        <v>3587610.5549999997</v>
      </c>
      <c r="AN10" s="312">
        <f t="shared" ref="AN10:AN73" si="5">N10</f>
        <v>109227.51999999999</v>
      </c>
      <c r="AO10" s="312">
        <f t="shared" ref="AO10:AO73" si="6">W10</f>
        <v>3599658.5727156173</v>
      </c>
      <c r="AP10" s="312">
        <f t="shared" ref="AP10:AP73" si="7">AB10</f>
        <v>76109.320000000007</v>
      </c>
      <c r="AT10" s="336" t="s">
        <v>765</v>
      </c>
      <c r="AU10" s="337" t="s">
        <v>766</v>
      </c>
    </row>
    <row r="11" spans="1:47" s="181" customFormat="1" ht="22.5" customHeight="1" x14ac:dyDescent="0.3">
      <c r="A11" s="473" t="s">
        <v>344</v>
      </c>
      <c r="B11" s="474" t="s">
        <v>345</v>
      </c>
      <c r="C11" s="473"/>
      <c r="D11" s="475"/>
      <c r="E11" s="476"/>
      <c r="F11" s="476"/>
      <c r="G11" s="477">
        <f>I11/($I$11+$J$11)</f>
        <v>0.8676892173766817</v>
      </c>
      <c r="H11" s="477">
        <f>J11/($I$11+$J$11)</f>
        <v>0.13231078262331825</v>
      </c>
      <c r="I11" s="478">
        <f>I12+I26+I34+I41+I54+I58+I61+I68+I72+I80</f>
        <v>632810.64</v>
      </c>
      <c r="J11" s="478">
        <f>J12+J26+J34+J41+J54+J58+J61+J68+J72+J80</f>
        <v>96495</v>
      </c>
      <c r="K11" s="478">
        <f t="shared" ref="K11:N11" si="8">K12+K26+K34+K41+K54+K58+K61+K68+K72+K80</f>
        <v>356794.99799999996</v>
      </c>
      <c r="L11" s="478">
        <f t="shared" si="8"/>
        <v>163259.128</v>
      </c>
      <c r="M11" s="478">
        <f t="shared" si="8"/>
        <v>112756.514</v>
      </c>
      <c r="N11" s="478">
        <f t="shared" si="8"/>
        <v>0</v>
      </c>
      <c r="O11" s="479"/>
      <c r="Q11" s="473"/>
      <c r="R11" s="475"/>
      <c r="S11" s="476"/>
      <c r="T11" s="476"/>
      <c r="U11" s="477">
        <f>W11/($W$11+$X$11)</f>
        <v>0.83834100454838878</v>
      </c>
      <c r="V11" s="477">
        <f>X11/($W$11+$X$11)</f>
        <v>0.16165899545161125</v>
      </c>
      <c r="W11" s="478">
        <f>W12+W26+W34+W41+W54+W58+W61+W68+W72+W80</f>
        <v>501088.95999999996</v>
      </c>
      <c r="X11" s="478">
        <f t="shared" ref="X11:AB11" si="9">X12+X26+X34+X41+X54+X58+X61+X68+X72+X80</f>
        <v>96626</v>
      </c>
      <c r="Y11" s="478">
        <f t="shared" si="9"/>
        <v>265226.57200000004</v>
      </c>
      <c r="Z11" s="478">
        <f t="shared" si="9"/>
        <v>128484.692</v>
      </c>
      <c r="AA11" s="478">
        <f t="shared" si="9"/>
        <v>107377.696</v>
      </c>
      <c r="AB11" s="478">
        <f t="shared" si="9"/>
        <v>0</v>
      </c>
      <c r="AC11" s="479"/>
      <c r="AD11" s="232"/>
      <c r="AE11" s="338" t="s">
        <v>344</v>
      </c>
      <c r="AF11" s="245" t="s">
        <v>345</v>
      </c>
      <c r="AG11" s="477">
        <f t="shared" si="2"/>
        <v>0.85447023203709127</v>
      </c>
      <c r="AH11" s="477">
        <f t="shared" si="3"/>
        <v>0.14552976796290878</v>
      </c>
      <c r="AI11" s="478">
        <f>AI12+AI26+AI34+AI41+AI54+AI58+AI61+AI68+AI72+AI80</f>
        <v>1133899.6000000001</v>
      </c>
      <c r="AJ11" s="478">
        <f t="shared" ref="AJ11:AL11" si="10">AJ12+AJ26+AJ34+AJ41+AJ54+AJ58+AJ61+AJ68+AJ72+AJ80</f>
        <v>0</v>
      </c>
      <c r="AK11" s="478">
        <f t="shared" si="10"/>
        <v>193121</v>
      </c>
      <c r="AL11" s="478">
        <f t="shared" si="10"/>
        <v>1327020.6000000001</v>
      </c>
      <c r="AM11" s="313">
        <f t="shared" si="4"/>
        <v>632810.64</v>
      </c>
      <c r="AN11" s="313">
        <f t="shared" si="5"/>
        <v>0</v>
      </c>
      <c r="AO11" s="313">
        <f t="shared" si="6"/>
        <v>501088.95999999996</v>
      </c>
      <c r="AP11" s="313">
        <f t="shared" si="7"/>
        <v>0</v>
      </c>
    </row>
    <row r="12" spans="1:47" ht="29.25" customHeight="1" x14ac:dyDescent="0.3">
      <c r="A12" s="480" t="s">
        <v>346</v>
      </c>
      <c r="B12" s="861" t="s">
        <v>767</v>
      </c>
      <c r="C12" s="862"/>
      <c r="D12" s="862"/>
      <c r="E12" s="862"/>
      <c r="F12" s="862"/>
      <c r="G12" s="862"/>
      <c r="H12" s="863"/>
      <c r="I12" s="481">
        <f>SUM(I13:I25)</f>
        <v>10917</v>
      </c>
      <c r="J12" s="482">
        <f>SUM(J13:J25)</f>
        <v>1213</v>
      </c>
      <c r="K12" s="482">
        <f t="shared" ref="K12:M12" si="11">SUM(K13:K25)</f>
        <v>6550.2</v>
      </c>
      <c r="L12" s="482">
        <f>SUM(L13:L25)</f>
        <v>4366.7999999999993</v>
      </c>
      <c r="M12" s="482">
        <f t="shared" si="11"/>
        <v>0</v>
      </c>
      <c r="N12" s="481">
        <f>SUM(N13:N25)</f>
        <v>0</v>
      </c>
      <c r="O12" s="483"/>
      <c r="Q12" s="192"/>
      <c r="R12" s="193"/>
      <c r="S12" s="192"/>
      <c r="T12" s="193"/>
      <c r="U12" s="193"/>
      <c r="V12" s="484"/>
      <c r="W12" s="481">
        <f>SUM(W13:W25)</f>
        <v>10908</v>
      </c>
      <c r="X12" s="481">
        <f t="shared" ref="X12:Y12" si="12">SUM(X13:X25)</f>
        <v>1212</v>
      </c>
      <c r="Y12" s="481">
        <f t="shared" si="12"/>
        <v>10908</v>
      </c>
      <c r="Z12" s="481">
        <f t="shared" ref="Z12:AA12" si="13">SUM(Z13:Z25)</f>
        <v>0</v>
      </c>
      <c r="AA12" s="481">
        <f t="shared" si="13"/>
        <v>0</v>
      </c>
      <c r="AB12" s="481">
        <f>SUM(AB13:AB25)</f>
        <v>0</v>
      </c>
      <c r="AC12" s="483"/>
      <c r="AD12" s="233"/>
      <c r="AE12" s="246" t="s">
        <v>346</v>
      </c>
      <c r="AF12" s="204" t="str">
        <f t="shared" ref="AF12:AF75" si="14">B12</f>
        <v xml:space="preserve">Soutenir la formation de 360 acteurs de l'éducation (40 directeurs et 320 enseignants) sur l'éducation à la paix, la prévention des IST/VIH-SIDA, la prévention du COVID-19 dans les réseaux communautaires conformément aux règles anti-COVID-19, le Genre et la prévention des Violence Basée sur le Genre (VBG) et Abus et Exploitation Sexuelle (AES) </v>
      </c>
      <c r="AG12" s="485">
        <f t="shared" si="2"/>
        <v>0.9</v>
      </c>
      <c r="AH12" s="485">
        <f t="shared" si="3"/>
        <v>0.1</v>
      </c>
      <c r="AI12" s="482">
        <f t="shared" ref="AI12:AI21" si="15">I12+W12</f>
        <v>21825</v>
      </c>
      <c r="AJ12" s="482">
        <f t="shared" ref="AJ12:AJ21" si="16">N12+AB12</f>
        <v>0</v>
      </c>
      <c r="AK12" s="482">
        <f t="shared" ref="AK12:AK21" si="17">J12+X12</f>
        <v>2425</v>
      </c>
      <c r="AL12" s="482">
        <f t="shared" ref="AL12:AL74" si="18">AI12+AJ12+AK12</f>
        <v>24250</v>
      </c>
      <c r="AM12" s="314">
        <f t="shared" si="4"/>
        <v>10917</v>
      </c>
      <c r="AN12" s="314">
        <f t="shared" si="5"/>
        <v>0</v>
      </c>
      <c r="AO12" s="314">
        <f t="shared" si="6"/>
        <v>10908</v>
      </c>
      <c r="AP12" s="314">
        <f t="shared" si="7"/>
        <v>0</v>
      </c>
    </row>
    <row r="13" spans="1:47" x14ac:dyDescent="0.3">
      <c r="A13" s="408">
        <v>1</v>
      </c>
      <c r="B13" s="500" t="s">
        <v>347</v>
      </c>
      <c r="C13" s="409" t="s">
        <v>348</v>
      </c>
      <c r="D13" s="511">
        <v>25</v>
      </c>
      <c r="E13" s="411">
        <v>3</v>
      </c>
      <c r="F13" s="502">
        <v>9</v>
      </c>
      <c r="G13" s="503">
        <v>0.9</v>
      </c>
      <c r="H13" s="503">
        <v>0.1</v>
      </c>
      <c r="I13" s="416">
        <f>D13*E13*F13*G13</f>
        <v>607.5</v>
      </c>
      <c r="J13" s="506">
        <f t="shared" ref="J13:J21" si="19">D13*E13*F13*H13</f>
        <v>67.5</v>
      </c>
      <c r="K13" s="505">
        <f t="shared" ref="K13:K21" si="20">I13*60%</f>
        <v>364.5</v>
      </c>
      <c r="L13" s="505">
        <f t="shared" ref="L13:L21" si="21">I13*40%</f>
        <v>243</v>
      </c>
      <c r="M13" s="506"/>
      <c r="N13" s="416">
        <v>0</v>
      </c>
      <c r="O13" s="507" t="s">
        <v>768</v>
      </c>
      <c r="Q13" s="409" t="s">
        <v>348</v>
      </c>
      <c r="R13" s="511">
        <v>25</v>
      </c>
      <c r="S13" s="411">
        <v>3</v>
      </c>
      <c r="T13" s="502">
        <v>9</v>
      </c>
      <c r="U13" s="503">
        <v>0.9</v>
      </c>
      <c r="V13" s="503">
        <v>0.1</v>
      </c>
      <c r="W13" s="506">
        <f>R13*S13*T13*U13</f>
        <v>607.5</v>
      </c>
      <c r="X13" s="506">
        <f>R13*S13*T13*V13</f>
        <v>67.5</v>
      </c>
      <c r="Y13" s="506">
        <f>W13</f>
        <v>607.5</v>
      </c>
      <c r="Z13" s="506"/>
      <c r="AA13" s="506"/>
      <c r="AB13" s="416">
        <v>0</v>
      </c>
      <c r="AC13" s="417" t="s">
        <v>768</v>
      </c>
      <c r="AD13" s="227"/>
      <c r="AE13" s="241">
        <v>1</v>
      </c>
      <c r="AF13" s="204" t="str">
        <f t="shared" si="14"/>
        <v>Lieux de formation ( salle)</v>
      </c>
      <c r="AG13" s="503">
        <f t="shared" si="2"/>
        <v>0.9</v>
      </c>
      <c r="AH13" s="503">
        <f t="shared" si="3"/>
        <v>0.1</v>
      </c>
      <c r="AI13" s="506">
        <f t="shared" si="15"/>
        <v>1215</v>
      </c>
      <c r="AJ13" s="506">
        <f t="shared" si="16"/>
        <v>0</v>
      </c>
      <c r="AK13" s="506">
        <f t="shared" si="17"/>
        <v>135</v>
      </c>
      <c r="AL13" s="506">
        <f t="shared" si="18"/>
        <v>1350</v>
      </c>
      <c r="AM13" s="315">
        <f t="shared" si="4"/>
        <v>607.5</v>
      </c>
      <c r="AN13" s="315">
        <f t="shared" si="5"/>
        <v>0</v>
      </c>
      <c r="AO13" s="315">
        <f t="shared" si="6"/>
        <v>607.5</v>
      </c>
      <c r="AP13" s="315">
        <f t="shared" si="7"/>
        <v>0</v>
      </c>
      <c r="AQ13" s="168" t="s">
        <v>350</v>
      </c>
      <c r="AR13" s="168" t="s">
        <v>349</v>
      </c>
    </row>
    <row r="14" spans="1:47" s="169" customFormat="1" x14ac:dyDescent="0.3">
      <c r="A14" s="408">
        <v>2</v>
      </c>
      <c r="B14" s="500" t="s">
        <v>351</v>
      </c>
      <c r="C14" s="409" t="s">
        <v>352</v>
      </c>
      <c r="D14" s="511">
        <v>2</v>
      </c>
      <c r="E14" s="411">
        <v>180</v>
      </c>
      <c r="F14" s="502">
        <v>3</v>
      </c>
      <c r="G14" s="503">
        <v>0.9</v>
      </c>
      <c r="H14" s="503">
        <v>0.1</v>
      </c>
      <c r="I14" s="504">
        <f t="shared" ref="I14:I25" si="22">D14*E14*F14*G14</f>
        <v>972</v>
      </c>
      <c r="J14" s="487">
        <f t="shared" si="19"/>
        <v>108</v>
      </c>
      <c r="K14" s="505">
        <f t="shared" si="20"/>
        <v>583.19999999999993</v>
      </c>
      <c r="L14" s="505">
        <f t="shared" si="21"/>
        <v>388.8</v>
      </c>
      <c r="M14" s="506"/>
      <c r="N14" s="504">
        <v>0</v>
      </c>
      <c r="O14" s="507" t="s">
        <v>769</v>
      </c>
      <c r="Q14" s="409" t="s">
        <v>352</v>
      </c>
      <c r="R14" s="501">
        <v>2</v>
      </c>
      <c r="S14" s="411">
        <v>180</v>
      </c>
      <c r="T14" s="502">
        <v>3</v>
      </c>
      <c r="U14" s="503">
        <v>0.9</v>
      </c>
      <c r="V14" s="503">
        <v>0.1</v>
      </c>
      <c r="W14" s="487">
        <f t="shared" ref="W14:W25" si="23">R14*S14*T14*U14</f>
        <v>972</v>
      </c>
      <c r="X14" s="487">
        <f t="shared" ref="X14:X16" si="24">R14*S14*T14*V14</f>
        <v>108</v>
      </c>
      <c r="Y14" s="506">
        <f t="shared" ref="Y14:Y25" si="25">W14</f>
        <v>972</v>
      </c>
      <c r="Z14" s="506"/>
      <c r="AA14" s="506"/>
      <c r="AB14" s="504">
        <v>0</v>
      </c>
      <c r="AC14" s="417" t="s">
        <v>769</v>
      </c>
      <c r="AD14" s="227"/>
      <c r="AE14" s="241">
        <v>2</v>
      </c>
      <c r="AF14" s="204" t="str">
        <f t="shared" si="14"/>
        <v xml:space="preserve">Pause Café </v>
      </c>
      <c r="AG14" s="503">
        <f t="shared" si="2"/>
        <v>0.9</v>
      </c>
      <c r="AH14" s="503">
        <f t="shared" si="3"/>
        <v>0.1</v>
      </c>
      <c r="AI14" s="487">
        <f t="shared" si="15"/>
        <v>1944</v>
      </c>
      <c r="AJ14" s="487">
        <f t="shared" si="16"/>
        <v>0</v>
      </c>
      <c r="AK14" s="487">
        <f t="shared" si="17"/>
        <v>216</v>
      </c>
      <c r="AL14" s="487">
        <f t="shared" si="18"/>
        <v>2160</v>
      </c>
      <c r="AM14" s="316">
        <f t="shared" si="4"/>
        <v>972</v>
      </c>
      <c r="AN14" s="316">
        <f t="shared" si="5"/>
        <v>0</v>
      </c>
      <c r="AO14" s="316">
        <f t="shared" si="6"/>
        <v>972</v>
      </c>
      <c r="AP14" s="316">
        <f t="shared" si="7"/>
        <v>0</v>
      </c>
      <c r="AQ14" s="169" t="s">
        <v>350</v>
      </c>
      <c r="AR14" s="168" t="s">
        <v>349</v>
      </c>
    </row>
    <row r="15" spans="1:47" s="169" customFormat="1" x14ac:dyDescent="0.3">
      <c r="A15" s="408">
        <v>3</v>
      </c>
      <c r="B15" s="500" t="s">
        <v>770</v>
      </c>
      <c r="C15" s="409" t="s">
        <v>352</v>
      </c>
      <c r="D15" s="501">
        <v>5</v>
      </c>
      <c r="E15" s="411">
        <v>180</v>
      </c>
      <c r="F15" s="502">
        <v>3</v>
      </c>
      <c r="G15" s="503">
        <v>0.9</v>
      </c>
      <c r="H15" s="503">
        <v>0.1</v>
      </c>
      <c r="I15" s="504">
        <f t="shared" si="22"/>
        <v>2430</v>
      </c>
      <c r="J15" s="487">
        <f t="shared" si="19"/>
        <v>270</v>
      </c>
      <c r="K15" s="505">
        <f t="shared" si="20"/>
        <v>1458</v>
      </c>
      <c r="L15" s="505">
        <f t="shared" si="21"/>
        <v>972</v>
      </c>
      <c r="M15" s="506"/>
      <c r="N15" s="504">
        <v>0</v>
      </c>
      <c r="O15" s="507" t="s">
        <v>769</v>
      </c>
      <c r="Q15" s="409" t="s">
        <v>352</v>
      </c>
      <c r="R15" s="501">
        <v>5</v>
      </c>
      <c r="S15" s="411">
        <v>180</v>
      </c>
      <c r="T15" s="502">
        <v>3</v>
      </c>
      <c r="U15" s="503">
        <v>0.9</v>
      </c>
      <c r="V15" s="503">
        <v>0.1</v>
      </c>
      <c r="W15" s="487">
        <f t="shared" si="23"/>
        <v>2430</v>
      </c>
      <c r="X15" s="487">
        <f t="shared" si="24"/>
        <v>270</v>
      </c>
      <c r="Y15" s="506">
        <f t="shared" si="25"/>
        <v>2430</v>
      </c>
      <c r="Z15" s="506"/>
      <c r="AA15" s="506"/>
      <c r="AB15" s="504">
        <v>0</v>
      </c>
      <c r="AC15" s="417" t="s">
        <v>769</v>
      </c>
      <c r="AD15" s="227"/>
      <c r="AE15" s="241">
        <v>3</v>
      </c>
      <c r="AF15" s="204" t="str">
        <f t="shared" si="14"/>
        <v>Repas pour les participants (360 directeurs et enseignants)</v>
      </c>
      <c r="AG15" s="503">
        <f t="shared" si="2"/>
        <v>0.9</v>
      </c>
      <c r="AH15" s="503">
        <f t="shared" si="3"/>
        <v>0.1</v>
      </c>
      <c r="AI15" s="487">
        <f t="shared" si="15"/>
        <v>4860</v>
      </c>
      <c r="AJ15" s="487">
        <f t="shared" si="16"/>
        <v>0</v>
      </c>
      <c r="AK15" s="487">
        <f t="shared" si="17"/>
        <v>540</v>
      </c>
      <c r="AL15" s="487">
        <f t="shared" si="18"/>
        <v>5400</v>
      </c>
      <c r="AM15" s="316">
        <f t="shared" si="4"/>
        <v>2430</v>
      </c>
      <c r="AN15" s="316">
        <f t="shared" si="5"/>
        <v>0</v>
      </c>
      <c r="AO15" s="316">
        <f t="shared" si="6"/>
        <v>2430</v>
      </c>
      <c r="AP15" s="316">
        <f t="shared" si="7"/>
        <v>0</v>
      </c>
      <c r="AQ15" s="169" t="s">
        <v>350</v>
      </c>
      <c r="AR15" s="168" t="s">
        <v>349</v>
      </c>
    </row>
    <row r="16" spans="1:47" s="169" customFormat="1" x14ac:dyDescent="0.3">
      <c r="A16" s="408">
        <v>4</v>
      </c>
      <c r="B16" s="500" t="s">
        <v>353</v>
      </c>
      <c r="C16" s="409" t="s">
        <v>352</v>
      </c>
      <c r="D16" s="520">
        <v>2.5</v>
      </c>
      <c r="E16" s="411">
        <v>180</v>
      </c>
      <c r="F16" s="502">
        <v>1</v>
      </c>
      <c r="G16" s="503">
        <v>0.9</v>
      </c>
      <c r="H16" s="503">
        <v>0.1</v>
      </c>
      <c r="I16" s="504">
        <f t="shared" si="22"/>
        <v>405</v>
      </c>
      <c r="J16" s="487">
        <f t="shared" si="19"/>
        <v>45</v>
      </c>
      <c r="K16" s="505">
        <f t="shared" si="20"/>
        <v>243</v>
      </c>
      <c r="L16" s="505">
        <f t="shared" si="21"/>
        <v>162</v>
      </c>
      <c r="M16" s="506"/>
      <c r="N16" s="504">
        <v>0</v>
      </c>
      <c r="O16" s="507" t="s">
        <v>354</v>
      </c>
      <c r="Q16" s="409" t="s">
        <v>352</v>
      </c>
      <c r="R16" s="501">
        <v>2.5</v>
      </c>
      <c r="S16" s="411">
        <v>180</v>
      </c>
      <c r="T16" s="502">
        <v>1</v>
      </c>
      <c r="U16" s="503">
        <v>0.9</v>
      </c>
      <c r="V16" s="503">
        <v>0.1</v>
      </c>
      <c r="W16" s="487">
        <f t="shared" si="23"/>
        <v>405</v>
      </c>
      <c r="X16" s="487">
        <f t="shared" si="24"/>
        <v>45</v>
      </c>
      <c r="Y16" s="506">
        <f t="shared" si="25"/>
        <v>405</v>
      </c>
      <c r="Z16" s="506"/>
      <c r="AA16" s="506"/>
      <c r="AB16" s="504">
        <v>0</v>
      </c>
      <c r="AC16" s="417" t="s">
        <v>354</v>
      </c>
      <c r="AD16" s="227"/>
      <c r="AE16" s="241">
        <v>4</v>
      </c>
      <c r="AF16" s="204" t="str">
        <f t="shared" si="14"/>
        <v>Matériel de formation pour les participants (kits de formation)</v>
      </c>
      <c r="AG16" s="503">
        <f t="shared" si="2"/>
        <v>0.9</v>
      </c>
      <c r="AH16" s="503">
        <f t="shared" si="3"/>
        <v>0.1</v>
      </c>
      <c r="AI16" s="487">
        <f t="shared" si="15"/>
        <v>810</v>
      </c>
      <c r="AJ16" s="487">
        <f t="shared" si="16"/>
        <v>0</v>
      </c>
      <c r="AK16" s="487">
        <f t="shared" si="17"/>
        <v>90</v>
      </c>
      <c r="AL16" s="487">
        <f t="shared" si="18"/>
        <v>900</v>
      </c>
      <c r="AM16" s="316">
        <f t="shared" si="4"/>
        <v>405</v>
      </c>
      <c r="AN16" s="316">
        <f t="shared" si="5"/>
        <v>0</v>
      </c>
      <c r="AO16" s="316">
        <f t="shared" si="6"/>
        <v>405</v>
      </c>
      <c r="AP16" s="316">
        <f t="shared" si="7"/>
        <v>0</v>
      </c>
      <c r="AQ16" s="169" t="s">
        <v>350</v>
      </c>
      <c r="AR16" s="168" t="s">
        <v>349</v>
      </c>
    </row>
    <row r="17" spans="1:47" s="169" customFormat="1" ht="26" x14ac:dyDescent="0.3">
      <c r="A17" s="408">
        <v>5</v>
      </c>
      <c r="B17" s="500" t="s">
        <v>771</v>
      </c>
      <c r="C17" s="409" t="s">
        <v>355</v>
      </c>
      <c r="D17" s="501">
        <v>5</v>
      </c>
      <c r="E17" s="411">
        <v>180</v>
      </c>
      <c r="F17" s="502">
        <v>3</v>
      </c>
      <c r="G17" s="503">
        <v>0.9</v>
      </c>
      <c r="H17" s="503">
        <v>0.1</v>
      </c>
      <c r="I17" s="504">
        <f t="shared" si="22"/>
        <v>2430</v>
      </c>
      <c r="J17" s="487">
        <f t="shared" si="19"/>
        <v>270</v>
      </c>
      <c r="K17" s="505">
        <f t="shared" si="20"/>
        <v>1458</v>
      </c>
      <c r="L17" s="505">
        <f t="shared" si="21"/>
        <v>972</v>
      </c>
      <c r="M17" s="506"/>
      <c r="N17" s="504">
        <v>0</v>
      </c>
      <c r="O17" s="507" t="s">
        <v>772</v>
      </c>
      <c r="Q17" s="409" t="s">
        <v>355</v>
      </c>
      <c r="R17" s="501">
        <v>5</v>
      </c>
      <c r="S17" s="411">
        <v>180</v>
      </c>
      <c r="T17" s="502">
        <v>3</v>
      </c>
      <c r="U17" s="503">
        <v>0.9</v>
      </c>
      <c r="V17" s="503">
        <v>0.1</v>
      </c>
      <c r="W17" s="487">
        <f t="shared" si="23"/>
        <v>2430</v>
      </c>
      <c r="X17" s="487">
        <f>R17*S17*T17*V17</f>
        <v>270</v>
      </c>
      <c r="Y17" s="506">
        <f t="shared" si="25"/>
        <v>2430</v>
      </c>
      <c r="Z17" s="506"/>
      <c r="AA17" s="506"/>
      <c r="AB17" s="504">
        <v>0</v>
      </c>
      <c r="AC17" s="417" t="s">
        <v>772</v>
      </c>
      <c r="AD17" s="227"/>
      <c r="AE17" s="241">
        <v>5</v>
      </c>
      <c r="AF17" s="204" t="str">
        <f t="shared" si="14"/>
        <v xml:space="preserve">Frais de transport pour 360 participants </v>
      </c>
      <c r="AG17" s="503">
        <f t="shared" si="2"/>
        <v>0.9</v>
      </c>
      <c r="AH17" s="503">
        <f t="shared" si="3"/>
        <v>0.1</v>
      </c>
      <c r="AI17" s="487">
        <f t="shared" si="15"/>
        <v>4860</v>
      </c>
      <c r="AJ17" s="487">
        <f t="shared" si="16"/>
        <v>0</v>
      </c>
      <c r="AK17" s="487">
        <f t="shared" si="17"/>
        <v>540</v>
      </c>
      <c r="AL17" s="487">
        <f t="shared" si="18"/>
        <v>5400</v>
      </c>
      <c r="AM17" s="316">
        <f t="shared" si="4"/>
        <v>2430</v>
      </c>
      <c r="AN17" s="316">
        <f t="shared" si="5"/>
        <v>0</v>
      </c>
      <c r="AO17" s="316">
        <f t="shared" si="6"/>
        <v>2430</v>
      </c>
      <c r="AP17" s="316">
        <f t="shared" si="7"/>
        <v>0</v>
      </c>
      <c r="AQ17" s="169" t="s">
        <v>350</v>
      </c>
      <c r="AR17" s="168" t="s">
        <v>349</v>
      </c>
      <c r="AT17" s="283" t="s">
        <v>773</v>
      </c>
      <c r="AU17" s="169" t="s">
        <v>774</v>
      </c>
    </row>
    <row r="18" spans="1:47" s="169" customFormat="1" x14ac:dyDescent="0.3">
      <c r="A18" s="408">
        <v>6</v>
      </c>
      <c r="B18" s="500" t="s">
        <v>356</v>
      </c>
      <c r="C18" s="409" t="s">
        <v>352</v>
      </c>
      <c r="D18" s="520">
        <v>12.5</v>
      </c>
      <c r="E18" s="411">
        <v>18</v>
      </c>
      <c r="F18" s="502">
        <v>3</v>
      </c>
      <c r="G18" s="503">
        <v>0.9</v>
      </c>
      <c r="H18" s="503">
        <v>0.1</v>
      </c>
      <c r="I18" s="504">
        <f t="shared" si="22"/>
        <v>607.5</v>
      </c>
      <c r="J18" s="487">
        <f t="shared" si="19"/>
        <v>67.5</v>
      </c>
      <c r="K18" s="505">
        <f t="shared" si="20"/>
        <v>364.5</v>
      </c>
      <c r="L18" s="505">
        <f t="shared" si="21"/>
        <v>243</v>
      </c>
      <c r="M18" s="506"/>
      <c r="N18" s="504">
        <v>0</v>
      </c>
      <c r="O18" s="507" t="s">
        <v>357</v>
      </c>
      <c r="Q18" s="409" t="s">
        <v>352</v>
      </c>
      <c r="R18" s="520">
        <v>12.5</v>
      </c>
      <c r="S18" s="411">
        <v>18</v>
      </c>
      <c r="T18" s="502">
        <v>3</v>
      </c>
      <c r="U18" s="503">
        <v>0.9</v>
      </c>
      <c r="V18" s="503">
        <v>0.1</v>
      </c>
      <c r="W18" s="487">
        <f t="shared" si="23"/>
        <v>607.5</v>
      </c>
      <c r="X18" s="487">
        <f t="shared" ref="X18:X25" si="26">R18*S18*T18*V18</f>
        <v>67.5</v>
      </c>
      <c r="Y18" s="506">
        <f t="shared" si="25"/>
        <v>607.5</v>
      </c>
      <c r="Z18" s="506"/>
      <c r="AA18" s="506"/>
      <c r="AB18" s="504">
        <v>0</v>
      </c>
      <c r="AC18" s="417" t="s">
        <v>357</v>
      </c>
      <c r="AD18" s="227"/>
      <c r="AE18" s="241">
        <v>6</v>
      </c>
      <c r="AF18" s="204" t="str">
        <f t="shared" si="14"/>
        <v xml:space="preserve"> Frais de formation pour formateurs formés </v>
      </c>
      <c r="AG18" s="503">
        <f t="shared" si="2"/>
        <v>0.9</v>
      </c>
      <c r="AH18" s="503">
        <f t="shared" si="3"/>
        <v>0.1</v>
      </c>
      <c r="AI18" s="487">
        <f t="shared" si="15"/>
        <v>1215</v>
      </c>
      <c r="AJ18" s="487">
        <f t="shared" si="16"/>
        <v>0</v>
      </c>
      <c r="AK18" s="487">
        <f t="shared" si="17"/>
        <v>135</v>
      </c>
      <c r="AL18" s="487">
        <f t="shared" si="18"/>
        <v>1350</v>
      </c>
      <c r="AM18" s="316">
        <f t="shared" si="4"/>
        <v>607.5</v>
      </c>
      <c r="AN18" s="316">
        <f t="shared" si="5"/>
        <v>0</v>
      </c>
      <c r="AO18" s="316">
        <f t="shared" si="6"/>
        <v>607.5</v>
      </c>
      <c r="AP18" s="316">
        <f t="shared" si="7"/>
        <v>0</v>
      </c>
      <c r="AQ18" s="169" t="s">
        <v>350</v>
      </c>
      <c r="AR18" s="168" t="s">
        <v>349</v>
      </c>
    </row>
    <row r="19" spans="1:47" s="169" customFormat="1" x14ac:dyDescent="0.3">
      <c r="A19" s="408">
        <v>7</v>
      </c>
      <c r="B19" s="500" t="s">
        <v>358</v>
      </c>
      <c r="C19" s="409" t="s">
        <v>352</v>
      </c>
      <c r="D19" s="501">
        <v>5</v>
      </c>
      <c r="E19" s="411">
        <v>18</v>
      </c>
      <c r="F19" s="502">
        <v>3</v>
      </c>
      <c r="G19" s="503">
        <v>0.9</v>
      </c>
      <c r="H19" s="503">
        <v>0.1</v>
      </c>
      <c r="I19" s="504">
        <f t="shared" si="22"/>
        <v>243</v>
      </c>
      <c r="J19" s="487">
        <f t="shared" si="19"/>
        <v>27</v>
      </c>
      <c r="K19" s="505">
        <f t="shared" si="20"/>
        <v>145.79999999999998</v>
      </c>
      <c r="L19" s="505">
        <f t="shared" si="21"/>
        <v>97.2</v>
      </c>
      <c r="M19" s="506"/>
      <c r="N19" s="504">
        <v>0</v>
      </c>
      <c r="O19" s="507" t="s">
        <v>357</v>
      </c>
      <c r="Q19" s="409" t="s">
        <v>352</v>
      </c>
      <c r="R19" s="501">
        <v>5</v>
      </c>
      <c r="S19" s="411">
        <v>18</v>
      </c>
      <c r="T19" s="502">
        <v>3</v>
      </c>
      <c r="U19" s="503">
        <v>0.9</v>
      </c>
      <c r="V19" s="503">
        <v>0.1</v>
      </c>
      <c r="W19" s="487">
        <f t="shared" si="23"/>
        <v>243</v>
      </c>
      <c r="X19" s="487">
        <f t="shared" si="26"/>
        <v>27</v>
      </c>
      <c r="Y19" s="506">
        <f t="shared" si="25"/>
        <v>243</v>
      </c>
      <c r="Z19" s="506"/>
      <c r="AA19" s="506"/>
      <c r="AB19" s="504">
        <v>0</v>
      </c>
      <c r="AC19" s="417" t="s">
        <v>357</v>
      </c>
      <c r="AD19" s="227"/>
      <c r="AE19" s="241">
        <v>7</v>
      </c>
      <c r="AF19" s="204" t="str">
        <f t="shared" si="14"/>
        <v>Frais de transport pour formateurs formés</v>
      </c>
      <c r="AG19" s="503">
        <f t="shared" si="2"/>
        <v>0.9</v>
      </c>
      <c r="AH19" s="503">
        <f t="shared" si="3"/>
        <v>0.1</v>
      </c>
      <c r="AI19" s="487">
        <f t="shared" si="15"/>
        <v>486</v>
      </c>
      <c r="AJ19" s="487">
        <f t="shared" si="16"/>
        <v>0</v>
      </c>
      <c r="AK19" s="487">
        <f t="shared" si="17"/>
        <v>54</v>
      </c>
      <c r="AL19" s="487">
        <f t="shared" si="18"/>
        <v>540</v>
      </c>
      <c r="AM19" s="316">
        <f t="shared" si="4"/>
        <v>243</v>
      </c>
      <c r="AN19" s="316">
        <f t="shared" si="5"/>
        <v>0</v>
      </c>
      <c r="AO19" s="316">
        <f t="shared" si="6"/>
        <v>243</v>
      </c>
      <c r="AP19" s="316">
        <f t="shared" si="7"/>
        <v>0</v>
      </c>
      <c r="AQ19" s="169" t="s">
        <v>350</v>
      </c>
      <c r="AR19" s="168" t="s">
        <v>349</v>
      </c>
    </row>
    <row r="20" spans="1:47" s="169" customFormat="1" x14ac:dyDescent="0.3">
      <c r="A20" s="408">
        <v>8</v>
      </c>
      <c r="B20" s="500" t="s">
        <v>359</v>
      </c>
      <c r="C20" s="409" t="s">
        <v>352</v>
      </c>
      <c r="D20" s="501">
        <v>5</v>
      </c>
      <c r="E20" s="411">
        <v>18</v>
      </c>
      <c r="F20" s="502">
        <v>3</v>
      </c>
      <c r="G20" s="503">
        <v>0.9</v>
      </c>
      <c r="H20" s="503">
        <v>0.1</v>
      </c>
      <c r="I20" s="504">
        <f t="shared" si="22"/>
        <v>243</v>
      </c>
      <c r="J20" s="487">
        <f t="shared" si="19"/>
        <v>27</v>
      </c>
      <c r="K20" s="505">
        <f t="shared" si="20"/>
        <v>145.79999999999998</v>
      </c>
      <c r="L20" s="505">
        <f t="shared" si="21"/>
        <v>97.2</v>
      </c>
      <c r="M20" s="506"/>
      <c r="N20" s="504">
        <v>0</v>
      </c>
      <c r="O20" s="507" t="s">
        <v>357</v>
      </c>
      <c r="Q20" s="409" t="s">
        <v>352</v>
      </c>
      <c r="R20" s="501">
        <v>5</v>
      </c>
      <c r="S20" s="411">
        <v>18</v>
      </c>
      <c r="T20" s="502">
        <v>3</v>
      </c>
      <c r="U20" s="503">
        <v>0.9</v>
      </c>
      <c r="V20" s="503">
        <v>0.1</v>
      </c>
      <c r="W20" s="487">
        <f t="shared" si="23"/>
        <v>243</v>
      </c>
      <c r="X20" s="487">
        <f t="shared" si="26"/>
        <v>27</v>
      </c>
      <c r="Y20" s="506">
        <f t="shared" si="25"/>
        <v>243</v>
      </c>
      <c r="Z20" s="506"/>
      <c r="AA20" s="506"/>
      <c r="AB20" s="504">
        <v>0</v>
      </c>
      <c r="AC20" s="417" t="s">
        <v>357</v>
      </c>
      <c r="AD20" s="227"/>
      <c r="AE20" s="241">
        <v>8</v>
      </c>
      <c r="AF20" s="204" t="str">
        <f t="shared" si="14"/>
        <v xml:space="preserve">Repas pour les facilitateurs </v>
      </c>
      <c r="AG20" s="503">
        <f t="shared" si="2"/>
        <v>0.9</v>
      </c>
      <c r="AH20" s="503">
        <f t="shared" si="3"/>
        <v>0.1</v>
      </c>
      <c r="AI20" s="487">
        <f t="shared" si="15"/>
        <v>486</v>
      </c>
      <c r="AJ20" s="487">
        <f t="shared" si="16"/>
        <v>0</v>
      </c>
      <c r="AK20" s="487">
        <f t="shared" si="17"/>
        <v>54</v>
      </c>
      <c r="AL20" s="487">
        <f t="shared" si="18"/>
        <v>540</v>
      </c>
      <c r="AM20" s="316">
        <f t="shared" si="4"/>
        <v>243</v>
      </c>
      <c r="AN20" s="316">
        <f t="shared" si="5"/>
        <v>0</v>
      </c>
      <c r="AO20" s="316">
        <f t="shared" si="6"/>
        <v>243</v>
      </c>
      <c r="AP20" s="316">
        <f t="shared" si="7"/>
        <v>0</v>
      </c>
      <c r="AQ20" s="169" t="s">
        <v>350</v>
      </c>
      <c r="AR20" s="168" t="s">
        <v>349</v>
      </c>
    </row>
    <row r="21" spans="1:47" s="169" customFormat="1" ht="26" x14ac:dyDescent="0.3">
      <c r="A21" s="408">
        <v>9</v>
      </c>
      <c r="B21" s="500" t="s">
        <v>775</v>
      </c>
      <c r="C21" s="590" t="s">
        <v>360</v>
      </c>
      <c r="D21" s="501">
        <v>5</v>
      </c>
      <c r="E21" s="557">
        <v>182</v>
      </c>
      <c r="F21" s="502">
        <v>1</v>
      </c>
      <c r="G21" s="503">
        <v>0.9</v>
      </c>
      <c r="H21" s="503">
        <v>0.1</v>
      </c>
      <c r="I21" s="504">
        <f>D21*E21*F21*G21</f>
        <v>819</v>
      </c>
      <c r="J21" s="487">
        <f t="shared" si="19"/>
        <v>91</v>
      </c>
      <c r="K21" s="505">
        <f t="shared" si="20"/>
        <v>491.4</v>
      </c>
      <c r="L21" s="505">
        <f t="shared" si="21"/>
        <v>327.60000000000002</v>
      </c>
      <c r="M21" s="506"/>
      <c r="N21" s="504">
        <v>0</v>
      </c>
      <c r="O21" s="420" t="s">
        <v>361</v>
      </c>
      <c r="Q21" s="590" t="s">
        <v>360</v>
      </c>
      <c r="R21" s="501">
        <v>5</v>
      </c>
      <c r="S21" s="557">
        <v>180</v>
      </c>
      <c r="T21" s="502">
        <v>1</v>
      </c>
      <c r="U21" s="503">
        <v>0.9</v>
      </c>
      <c r="V21" s="503">
        <v>0.1</v>
      </c>
      <c r="W21" s="487">
        <f t="shared" si="23"/>
        <v>810</v>
      </c>
      <c r="X21" s="487">
        <f t="shared" si="26"/>
        <v>90</v>
      </c>
      <c r="Y21" s="506">
        <f t="shared" si="25"/>
        <v>810</v>
      </c>
      <c r="Z21" s="506"/>
      <c r="AA21" s="506"/>
      <c r="AB21" s="504">
        <v>0</v>
      </c>
      <c r="AC21" s="420" t="s">
        <v>361</v>
      </c>
      <c r="AD21" s="182"/>
      <c r="AE21" s="204">
        <v>9</v>
      </c>
      <c r="AF21" s="204" t="str">
        <f t="shared" si="14"/>
        <v>Impression de modules d'éducation à la paix pour 180 participants principaux et 2 facilitateurs-formation des formateurs</v>
      </c>
      <c r="AG21" s="503">
        <f t="shared" si="2"/>
        <v>0.9</v>
      </c>
      <c r="AH21" s="503">
        <f t="shared" si="3"/>
        <v>0.1</v>
      </c>
      <c r="AI21" s="487">
        <f t="shared" si="15"/>
        <v>1629</v>
      </c>
      <c r="AJ21" s="487">
        <f t="shared" si="16"/>
        <v>0</v>
      </c>
      <c r="AK21" s="487">
        <f t="shared" si="17"/>
        <v>181</v>
      </c>
      <c r="AL21" s="487">
        <f t="shared" si="18"/>
        <v>1810</v>
      </c>
      <c r="AM21" s="316">
        <f t="shared" si="4"/>
        <v>819</v>
      </c>
      <c r="AN21" s="316">
        <f t="shared" si="5"/>
        <v>0</v>
      </c>
      <c r="AO21" s="316">
        <f t="shared" si="6"/>
        <v>810</v>
      </c>
      <c r="AP21" s="316">
        <f t="shared" si="7"/>
        <v>0</v>
      </c>
      <c r="AQ21" s="169" t="s">
        <v>350</v>
      </c>
      <c r="AR21" s="168" t="s">
        <v>349</v>
      </c>
    </row>
    <row r="22" spans="1:47" s="169" customFormat="1" ht="91" x14ac:dyDescent="0.3">
      <c r="A22" s="488"/>
      <c r="B22" s="489" t="s">
        <v>362</v>
      </c>
      <c r="C22" s="489"/>
      <c r="D22" s="490"/>
      <c r="E22" s="491"/>
      <c r="F22" s="492"/>
      <c r="G22" s="493"/>
      <c r="H22" s="493"/>
      <c r="I22" s="494"/>
      <c r="J22" s="495"/>
      <c r="K22" s="495"/>
      <c r="L22" s="495"/>
      <c r="M22" s="495"/>
      <c r="N22" s="494"/>
      <c r="O22" s="496"/>
      <c r="Q22" s="489"/>
      <c r="R22" s="490"/>
      <c r="S22" s="491"/>
      <c r="T22" s="492"/>
      <c r="U22" s="493"/>
      <c r="V22" s="493"/>
      <c r="W22" s="495"/>
      <c r="X22" s="495"/>
      <c r="Y22" s="495"/>
      <c r="Z22" s="495"/>
      <c r="AA22" s="495"/>
      <c r="AB22" s="494"/>
      <c r="AC22" s="498"/>
      <c r="AD22" s="182"/>
      <c r="AE22" s="204"/>
      <c r="AF22" s="204" t="str">
        <f t="shared" si="14"/>
        <v>Matériel d'assainissement pour les ecoles cibles</v>
      </c>
      <c r="AG22" s="493"/>
      <c r="AH22" s="493"/>
      <c r="AI22" s="495"/>
      <c r="AJ22" s="495"/>
      <c r="AK22" s="495"/>
      <c r="AL22" s="495">
        <f t="shared" si="18"/>
        <v>0</v>
      </c>
      <c r="AM22" s="317">
        <f t="shared" si="4"/>
        <v>0</v>
      </c>
      <c r="AN22" s="317">
        <f t="shared" si="5"/>
        <v>0</v>
      </c>
      <c r="AO22" s="317">
        <f t="shared" si="6"/>
        <v>0</v>
      </c>
      <c r="AP22" s="317">
        <f t="shared" si="7"/>
        <v>0</v>
      </c>
      <c r="AR22" s="168" t="s">
        <v>349</v>
      </c>
      <c r="AT22" s="283" t="s">
        <v>776</v>
      </c>
      <c r="AU22" s="169" t="s">
        <v>777</v>
      </c>
    </row>
    <row r="23" spans="1:47" s="169" customFormat="1" x14ac:dyDescent="0.3">
      <c r="A23" s="408">
        <v>10</v>
      </c>
      <c r="B23" s="500" t="s">
        <v>363</v>
      </c>
      <c r="C23" s="409" t="s">
        <v>360</v>
      </c>
      <c r="D23" s="501">
        <v>10</v>
      </c>
      <c r="E23" s="411">
        <v>20</v>
      </c>
      <c r="F23" s="502">
        <v>6</v>
      </c>
      <c r="G23" s="503">
        <v>0.9</v>
      </c>
      <c r="H23" s="503">
        <v>0.1</v>
      </c>
      <c r="I23" s="504">
        <f t="shared" ref="I23:I24" si="27">D23*E23*F23*G23</f>
        <v>1080</v>
      </c>
      <c r="J23" s="487">
        <f>D23*E23*F23*H23</f>
        <v>120</v>
      </c>
      <c r="K23" s="505">
        <f>I23*60%</f>
        <v>648</v>
      </c>
      <c r="L23" s="505">
        <f>I23*40%</f>
        <v>432</v>
      </c>
      <c r="M23" s="506"/>
      <c r="N23" s="416">
        <v>0</v>
      </c>
      <c r="O23" s="507" t="s">
        <v>778</v>
      </c>
      <c r="Q23" s="409" t="s">
        <v>360</v>
      </c>
      <c r="R23" s="501">
        <v>10</v>
      </c>
      <c r="S23" s="411">
        <v>20</v>
      </c>
      <c r="T23" s="502">
        <v>6</v>
      </c>
      <c r="U23" s="503">
        <v>0.9</v>
      </c>
      <c r="V23" s="503">
        <v>0.1</v>
      </c>
      <c r="W23" s="487">
        <f t="shared" si="23"/>
        <v>1080</v>
      </c>
      <c r="X23" s="487">
        <f t="shared" si="26"/>
        <v>120</v>
      </c>
      <c r="Y23" s="506">
        <f t="shared" si="25"/>
        <v>1080</v>
      </c>
      <c r="Z23" s="506"/>
      <c r="AA23" s="506"/>
      <c r="AB23" s="416">
        <v>0</v>
      </c>
      <c r="AC23" s="417" t="s">
        <v>779</v>
      </c>
      <c r="AD23" s="227"/>
      <c r="AE23" s="241">
        <v>10</v>
      </c>
      <c r="AF23" s="204" t="str">
        <f t="shared" si="14"/>
        <v xml:space="preserve">Achat de stations de lavage des mains mobiles </v>
      </c>
      <c r="AG23" s="503">
        <f t="shared" ref="AG23:AG31" si="28">AI23/($AI23+$AK23)</f>
        <v>0.9</v>
      </c>
      <c r="AH23" s="503">
        <f t="shared" ref="AH23:AH31" si="29">AK23/($AI23+$AK23)</f>
        <v>0.1</v>
      </c>
      <c r="AI23" s="487">
        <f t="shared" ref="AI23:AI31" si="30">I23+W23</f>
        <v>2160</v>
      </c>
      <c r="AJ23" s="487">
        <f t="shared" ref="AJ23:AJ31" si="31">N23+AB23</f>
        <v>0</v>
      </c>
      <c r="AK23" s="487">
        <f t="shared" ref="AK23:AK31" si="32">J23+X23</f>
        <v>240</v>
      </c>
      <c r="AL23" s="487">
        <f t="shared" si="18"/>
        <v>2400</v>
      </c>
      <c r="AM23" s="316">
        <f t="shared" si="4"/>
        <v>1080</v>
      </c>
      <c r="AN23" s="316">
        <f t="shared" si="5"/>
        <v>0</v>
      </c>
      <c r="AO23" s="316">
        <f t="shared" si="6"/>
        <v>1080</v>
      </c>
      <c r="AP23" s="316">
        <f t="shared" si="7"/>
        <v>0</v>
      </c>
      <c r="AQ23" s="169" t="s">
        <v>350</v>
      </c>
      <c r="AR23" s="168" t="s">
        <v>349</v>
      </c>
    </row>
    <row r="24" spans="1:47" s="169" customFormat="1" x14ac:dyDescent="0.3">
      <c r="A24" s="408">
        <v>11</v>
      </c>
      <c r="B24" s="500" t="s">
        <v>780</v>
      </c>
      <c r="C24" s="409" t="s">
        <v>360</v>
      </c>
      <c r="D24" s="501">
        <v>5</v>
      </c>
      <c r="E24" s="411">
        <v>20</v>
      </c>
      <c r="F24" s="502">
        <v>10</v>
      </c>
      <c r="G24" s="503">
        <v>0.9</v>
      </c>
      <c r="H24" s="503">
        <v>0.1</v>
      </c>
      <c r="I24" s="504">
        <f t="shared" si="27"/>
        <v>900</v>
      </c>
      <c r="J24" s="487">
        <f>D24*E24*F24*H24</f>
        <v>100</v>
      </c>
      <c r="K24" s="505">
        <f>I24*60%</f>
        <v>540</v>
      </c>
      <c r="L24" s="505">
        <f>I24*40%</f>
        <v>360</v>
      </c>
      <c r="M24" s="506"/>
      <c r="N24" s="416">
        <v>0</v>
      </c>
      <c r="O24" s="507" t="s">
        <v>781</v>
      </c>
      <c r="Q24" s="409" t="s">
        <v>360</v>
      </c>
      <c r="R24" s="501">
        <v>5</v>
      </c>
      <c r="S24" s="411">
        <v>20</v>
      </c>
      <c r="T24" s="502">
        <v>10</v>
      </c>
      <c r="U24" s="503">
        <v>0.9</v>
      </c>
      <c r="V24" s="503">
        <v>0.1</v>
      </c>
      <c r="W24" s="487">
        <f t="shared" si="23"/>
        <v>900</v>
      </c>
      <c r="X24" s="487">
        <f t="shared" si="26"/>
        <v>100</v>
      </c>
      <c r="Y24" s="506">
        <f t="shared" si="25"/>
        <v>900</v>
      </c>
      <c r="Z24" s="506"/>
      <c r="AA24" s="506"/>
      <c r="AB24" s="416">
        <v>0</v>
      </c>
      <c r="AC24" s="417" t="s">
        <v>782</v>
      </c>
      <c r="AD24" s="227"/>
      <c r="AE24" s="241">
        <v>11</v>
      </c>
      <c r="AF24" s="204" t="str">
        <f t="shared" si="14"/>
        <v xml:space="preserve">Achat de désinfectants ou/ et de savons pour le lavage des mains. </v>
      </c>
      <c r="AG24" s="503">
        <f t="shared" si="28"/>
        <v>0.9</v>
      </c>
      <c r="AH24" s="503">
        <f t="shared" si="29"/>
        <v>0.1</v>
      </c>
      <c r="AI24" s="487">
        <f t="shared" si="30"/>
        <v>1800</v>
      </c>
      <c r="AJ24" s="487">
        <f t="shared" si="31"/>
        <v>0</v>
      </c>
      <c r="AK24" s="487">
        <f t="shared" si="32"/>
        <v>200</v>
      </c>
      <c r="AL24" s="487">
        <f t="shared" si="18"/>
        <v>2000</v>
      </c>
      <c r="AM24" s="316">
        <f t="shared" si="4"/>
        <v>900</v>
      </c>
      <c r="AN24" s="316">
        <f t="shared" si="5"/>
        <v>0</v>
      </c>
      <c r="AO24" s="316">
        <f t="shared" si="6"/>
        <v>900</v>
      </c>
      <c r="AP24" s="316">
        <f t="shared" si="7"/>
        <v>0</v>
      </c>
      <c r="AQ24" s="169" t="s">
        <v>350</v>
      </c>
      <c r="AR24" s="168" t="s">
        <v>349</v>
      </c>
    </row>
    <row r="25" spans="1:47" s="169" customFormat="1" ht="26" x14ac:dyDescent="0.3">
      <c r="A25" s="408">
        <v>12</v>
      </c>
      <c r="B25" s="500" t="s">
        <v>364</v>
      </c>
      <c r="C25" s="409" t="s">
        <v>360</v>
      </c>
      <c r="D25" s="501">
        <v>10</v>
      </c>
      <c r="E25" s="411">
        <v>20</v>
      </c>
      <c r="F25" s="502">
        <v>1</v>
      </c>
      <c r="G25" s="503">
        <v>0.9</v>
      </c>
      <c r="H25" s="503">
        <v>0.1</v>
      </c>
      <c r="I25" s="504">
        <f t="shared" si="22"/>
        <v>180</v>
      </c>
      <c r="J25" s="487">
        <f>D25*E25*F25*H25</f>
        <v>20</v>
      </c>
      <c r="K25" s="505">
        <f>I25*60%</f>
        <v>108</v>
      </c>
      <c r="L25" s="505">
        <f>I25*40%</f>
        <v>72</v>
      </c>
      <c r="M25" s="506"/>
      <c r="N25" s="504">
        <v>0</v>
      </c>
      <c r="O25" s="507" t="s">
        <v>365</v>
      </c>
      <c r="Q25" s="409" t="s">
        <v>360</v>
      </c>
      <c r="R25" s="501">
        <v>10</v>
      </c>
      <c r="S25" s="411">
        <v>20</v>
      </c>
      <c r="T25" s="502">
        <v>1</v>
      </c>
      <c r="U25" s="503">
        <v>0.9</v>
      </c>
      <c r="V25" s="503">
        <v>0.1</v>
      </c>
      <c r="W25" s="487">
        <f t="shared" si="23"/>
        <v>180</v>
      </c>
      <c r="X25" s="487">
        <f t="shared" si="26"/>
        <v>20</v>
      </c>
      <c r="Y25" s="506">
        <f t="shared" si="25"/>
        <v>180</v>
      </c>
      <c r="Z25" s="506"/>
      <c r="AA25" s="506"/>
      <c r="AB25" s="504">
        <v>0</v>
      </c>
      <c r="AC25" s="417" t="s">
        <v>365</v>
      </c>
      <c r="AD25" s="227"/>
      <c r="AE25" s="241">
        <v>12</v>
      </c>
      <c r="AF25" s="204" t="str">
        <f t="shared" si="14"/>
        <v>Distribution de materiels  (frais de transport)</v>
      </c>
      <c r="AG25" s="503">
        <f t="shared" si="28"/>
        <v>0.9</v>
      </c>
      <c r="AH25" s="503">
        <f t="shared" si="29"/>
        <v>0.1</v>
      </c>
      <c r="AI25" s="487">
        <f t="shared" si="30"/>
        <v>360</v>
      </c>
      <c r="AJ25" s="487">
        <f t="shared" si="31"/>
        <v>0</v>
      </c>
      <c r="AK25" s="487">
        <f t="shared" si="32"/>
        <v>40</v>
      </c>
      <c r="AL25" s="487">
        <f t="shared" si="18"/>
        <v>400</v>
      </c>
      <c r="AM25" s="316">
        <f t="shared" si="4"/>
        <v>180</v>
      </c>
      <c r="AN25" s="316">
        <f t="shared" si="5"/>
        <v>0</v>
      </c>
      <c r="AO25" s="316">
        <f t="shared" si="6"/>
        <v>180</v>
      </c>
      <c r="AP25" s="316">
        <f t="shared" si="7"/>
        <v>0</v>
      </c>
      <c r="AQ25" s="169" t="s">
        <v>350</v>
      </c>
      <c r="AR25" s="168" t="s">
        <v>349</v>
      </c>
    </row>
    <row r="26" spans="1:47" ht="36" customHeight="1" x14ac:dyDescent="0.3">
      <c r="A26" s="480" t="s">
        <v>241</v>
      </c>
      <c r="B26" s="861" t="s">
        <v>300</v>
      </c>
      <c r="C26" s="862"/>
      <c r="D26" s="862"/>
      <c r="E26" s="862"/>
      <c r="F26" s="862"/>
      <c r="G26" s="862"/>
      <c r="H26" s="863"/>
      <c r="I26" s="481">
        <f t="shared" ref="I26:N26" si="33">SUM(I27:I33)</f>
        <v>1044</v>
      </c>
      <c r="J26" s="482">
        <f t="shared" si="33"/>
        <v>116</v>
      </c>
      <c r="K26" s="482">
        <f t="shared" si="33"/>
        <v>1044</v>
      </c>
      <c r="L26" s="482">
        <f t="shared" si="33"/>
        <v>0</v>
      </c>
      <c r="M26" s="482">
        <f t="shared" si="33"/>
        <v>0</v>
      </c>
      <c r="N26" s="481">
        <f t="shared" si="33"/>
        <v>0</v>
      </c>
      <c r="O26" s="508"/>
      <c r="Q26" s="484"/>
      <c r="R26" s="484"/>
      <c r="S26" s="484"/>
      <c r="T26" s="484"/>
      <c r="U26" s="484"/>
      <c r="V26" s="484"/>
      <c r="W26" s="482">
        <f>SUM(W27:W33)</f>
        <v>1044</v>
      </c>
      <c r="X26" s="482">
        <f t="shared" ref="X26:Y26" si="34">SUM(X27:X33)</f>
        <v>116</v>
      </c>
      <c r="Y26" s="482">
        <f t="shared" si="34"/>
        <v>1044</v>
      </c>
      <c r="Z26" s="482">
        <f t="shared" ref="Z26:AA26" si="35">SUM(Z27:Z33)</f>
        <v>0</v>
      </c>
      <c r="AA26" s="482">
        <f t="shared" si="35"/>
        <v>0</v>
      </c>
      <c r="AB26" s="481">
        <f>SUM(AB27:AB33)</f>
        <v>0</v>
      </c>
      <c r="AC26" s="508"/>
      <c r="AD26" s="234"/>
      <c r="AE26" s="247" t="s">
        <v>241</v>
      </c>
      <c r="AF26" s="204" t="str">
        <f t="shared" si="14"/>
        <v>Soutenir la formation de 320 membres des clubs de la paix (8 élèves / école et 40 écoles) et 80 superviseurs de clubs de paix (2 enseignants / école) sur l'éducation à la paix, la prévention des IST/VIH-SIDA, la prévention du COVID-19, le Genre et la prévention des VBG et AES, pour la sensibilisation d'autres élèves et enfants âgés de 6 à 11 ans et l'animation de clubs de paix</v>
      </c>
      <c r="AG26" s="485">
        <f t="shared" si="28"/>
        <v>0.9</v>
      </c>
      <c r="AH26" s="485">
        <f t="shared" si="29"/>
        <v>0.1</v>
      </c>
      <c r="AI26" s="482">
        <f t="shared" si="30"/>
        <v>2088</v>
      </c>
      <c r="AJ26" s="482">
        <f t="shared" si="31"/>
        <v>0</v>
      </c>
      <c r="AK26" s="482">
        <f t="shared" si="32"/>
        <v>232</v>
      </c>
      <c r="AL26" s="482">
        <f t="shared" si="18"/>
        <v>2320</v>
      </c>
      <c r="AM26" s="314">
        <f t="shared" si="4"/>
        <v>1044</v>
      </c>
      <c r="AN26" s="314">
        <f t="shared" si="5"/>
        <v>0</v>
      </c>
      <c r="AO26" s="314">
        <f t="shared" si="6"/>
        <v>1044</v>
      </c>
      <c r="AP26" s="314">
        <f t="shared" si="7"/>
        <v>0</v>
      </c>
    </row>
    <row r="27" spans="1:47" s="169" customFormat="1" ht="52" x14ac:dyDescent="0.3">
      <c r="A27" s="509">
        <v>1</v>
      </c>
      <c r="B27" s="510" t="s">
        <v>351</v>
      </c>
      <c r="C27" s="409" t="s">
        <v>355</v>
      </c>
      <c r="D27" s="511">
        <v>2</v>
      </c>
      <c r="E27" s="411">
        <v>40</v>
      </c>
      <c r="F27" s="512">
        <v>1</v>
      </c>
      <c r="G27" s="503">
        <v>0.9</v>
      </c>
      <c r="H27" s="503">
        <v>0.1</v>
      </c>
      <c r="I27" s="504">
        <f t="shared" ref="I27:I33" si="36">D27*E27*F27*G27</f>
        <v>72</v>
      </c>
      <c r="J27" s="487">
        <f>D27*E27*F27*H27</f>
        <v>8</v>
      </c>
      <c r="K27" s="487">
        <f>I27</f>
        <v>72</v>
      </c>
      <c r="L27" s="513"/>
      <c r="M27" s="487"/>
      <c r="N27" s="504">
        <v>0</v>
      </c>
      <c r="O27" s="507" t="s">
        <v>366</v>
      </c>
      <c r="Q27" s="409" t="s">
        <v>355</v>
      </c>
      <c r="R27" s="501">
        <v>2</v>
      </c>
      <c r="S27" s="411">
        <v>40</v>
      </c>
      <c r="T27" s="514">
        <v>1</v>
      </c>
      <c r="U27" s="503">
        <v>0.9</v>
      </c>
      <c r="V27" s="503">
        <v>0.1</v>
      </c>
      <c r="W27" s="487">
        <f t="shared" ref="W27:W33" si="37">R27*S27*T27*U27</f>
        <v>72</v>
      </c>
      <c r="X27" s="487">
        <f>R27*S27*T27*V27</f>
        <v>8</v>
      </c>
      <c r="Y27" s="487">
        <f t="shared" ref="Y27:Y33" si="38">W27</f>
        <v>72</v>
      </c>
      <c r="Z27" s="487"/>
      <c r="AA27" s="487"/>
      <c r="AB27" s="504">
        <v>0</v>
      </c>
      <c r="AC27" s="417" t="s">
        <v>366</v>
      </c>
      <c r="AD27" s="227"/>
      <c r="AE27" s="241">
        <v>1</v>
      </c>
      <c r="AF27" s="204" t="str">
        <f t="shared" si="14"/>
        <v xml:space="preserve">Pause Café </v>
      </c>
      <c r="AG27" s="503">
        <f t="shared" si="28"/>
        <v>0.9</v>
      </c>
      <c r="AH27" s="503">
        <f t="shared" si="29"/>
        <v>0.1</v>
      </c>
      <c r="AI27" s="487">
        <f t="shared" si="30"/>
        <v>144</v>
      </c>
      <c r="AJ27" s="487">
        <f t="shared" si="31"/>
        <v>0</v>
      </c>
      <c r="AK27" s="487">
        <f t="shared" si="32"/>
        <v>16</v>
      </c>
      <c r="AL27" s="487">
        <f t="shared" si="18"/>
        <v>160</v>
      </c>
      <c r="AM27" s="316">
        <f t="shared" si="4"/>
        <v>72</v>
      </c>
      <c r="AN27" s="316">
        <f t="shared" si="5"/>
        <v>0</v>
      </c>
      <c r="AO27" s="316">
        <f t="shared" si="6"/>
        <v>72</v>
      </c>
      <c r="AP27" s="316">
        <f t="shared" si="7"/>
        <v>0</v>
      </c>
      <c r="AQ27" s="169" t="s">
        <v>350</v>
      </c>
      <c r="AR27" s="168" t="s">
        <v>349</v>
      </c>
      <c r="AT27" s="283" t="s">
        <v>783</v>
      </c>
      <c r="AU27" s="169" t="s">
        <v>784</v>
      </c>
    </row>
    <row r="28" spans="1:47" s="169" customFormat="1" x14ac:dyDescent="0.3">
      <c r="A28" s="509">
        <v>2</v>
      </c>
      <c r="B28" s="510" t="s">
        <v>785</v>
      </c>
      <c r="C28" s="409" t="s">
        <v>355</v>
      </c>
      <c r="D28" s="511">
        <v>5</v>
      </c>
      <c r="E28" s="411">
        <v>40</v>
      </c>
      <c r="F28" s="512">
        <v>1</v>
      </c>
      <c r="G28" s="503">
        <v>0.9</v>
      </c>
      <c r="H28" s="503">
        <v>0.1</v>
      </c>
      <c r="I28" s="504">
        <f t="shared" si="36"/>
        <v>180</v>
      </c>
      <c r="J28" s="487">
        <f>D28*E28*F28*H28</f>
        <v>20</v>
      </c>
      <c r="K28" s="487">
        <f>I28</f>
        <v>180</v>
      </c>
      <c r="L28" s="487"/>
      <c r="M28" s="487"/>
      <c r="N28" s="504">
        <v>0</v>
      </c>
      <c r="O28" s="507" t="s">
        <v>366</v>
      </c>
      <c r="Q28" s="409" t="s">
        <v>355</v>
      </c>
      <c r="R28" s="501">
        <v>5</v>
      </c>
      <c r="S28" s="411">
        <v>40</v>
      </c>
      <c r="T28" s="514">
        <v>1</v>
      </c>
      <c r="U28" s="503">
        <v>0.9</v>
      </c>
      <c r="V28" s="503">
        <v>0.1</v>
      </c>
      <c r="W28" s="487">
        <f t="shared" si="37"/>
        <v>180</v>
      </c>
      <c r="X28" s="487">
        <f t="shared" ref="X28:X33" si="39">R28*S28*T28*V28</f>
        <v>20</v>
      </c>
      <c r="Y28" s="487">
        <f t="shared" si="38"/>
        <v>180</v>
      </c>
      <c r="Z28" s="487"/>
      <c r="AA28" s="487"/>
      <c r="AB28" s="504">
        <v>0</v>
      </c>
      <c r="AC28" s="417" t="s">
        <v>366</v>
      </c>
      <c r="AD28" s="227"/>
      <c r="AE28" s="241">
        <v>2</v>
      </c>
      <c r="AF28" s="204" t="str">
        <f t="shared" si="14"/>
        <v>Repas pour 40 participants</v>
      </c>
      <c r="AG28" s="503">
        <f t="shared" si="28"/>
        <v>0.9</v>
      </c>
      <c r="AH28" s="503">
        <f t="shared" si="29"/>
        <v>0.1</v>
      </c>
      <c r="AI28" s="487">
        <f t="shared" si="30"/>
        <v>360</v>
      </c>
      <c r="AJ28" s="487">
        <f t="shared" si="31"/>
        <v>0</v>
      </c>
      <c r="AK28" s="487">
        <f t="shared" si="32"/>
        <v>40</v>
      </c>
      <c r="AL28" s="487">
        <f t="shared" si="18"/>
        <v>400</v>
      </c>
      <c r="AM28" s="316">
        <f t="shared" si="4"/>
        <v>180</v>
      </c>
      <c r="AN28" s="316">
        <f t="shared" si="5"/>
        <v>0</v>
      </c>
      <c r="AO28" s="316">
        <f t="shared" si="6"/>
        <v>180</v>
      </c>
      <c r="AP28" s="316">
        <f t="shared" si="7"/>
        <v>0</v>
      </c>
      <c r="AQ28" s="169" t="s">
        <v>350</v>
      </c>
      <c r="AR28" s="168" t="s">
        <v>349</v>
      </c>
    </row>
    <row r="29" spans="1:47" s="169" customFormat="1" x14ac:dyDescent="0.3">
      <c r="A29" s="509">
        <v>3</v>
      </c>
      <c r="B29" s="510" t="s">
        <v>391</v>
      </c>
      <c r="C29" s="409" t="s">
        <v>355</v>
      </c>
      <c r="D29" s="616">
        <v>2.5</v>
      </c>
      <c r="E29" s="411">
        <v>40</v>
      </c>
      <c r="F29" s="512">
        <v>0.8</v>
      </c>
      <c r="G29" s="503">
        <v>0.9</v>
      </c>
      <c r="H29" s="503">
        <v>0.1</v>
      </c>
      <c r="I29" s="504">
        <f t="shared" si="36"/>
        <v>72</v>
      </c>
      <c r="J29" s="487">
        <f>D29*E29*F29*H29</f>
        <v>8</v>
      </c>
      <c r="K29" s="487">
        <f>I29</f>
        <v>72</v>
      </c>
      <c r="L29" s="487"/>
      <c r="M29" s="487"/>
      <c r="N29" s="504">
        <v>0</v>
      </c>
      <c r="O29" s="507" t="s">
        <v>354</v>
      </c>
      <c r="Q29" s="409" t="s">
        <v>355</v>
      </c>
      <c r="R29" s="520">
        <v>2.5</v>
      </c>
      <c r="S29" s="411">
        <v>40</v>
      </c>
      <c r="T29" s="514">
        <v>0.8</v>
      </c>
      <c r="U29" s="503">
        <v>0.9</v>
      </c>
      <c r="V29" s="503">
        <v>0.1</v>
      </c>
      <c r="W29" s="487">
        <f>R29*S29*T29*U29</f>
        <v>72</v>
      </c>
      <c r="X29" s="487">
        <f t="shared" si="39"/>
        <v>8</v>
      </c>
      <c r="Y29" s="487">
        <f t="shared" si="38"/>
        <v>72</v>
      </c>
      <c r="Z29" s="487"/>
      <c r="AA29" s="487"/>
      <c r="AB29" s="504">
        <v>0</v>
      </c>
      <c r="AC29" s="417" t="s">
        <v>354</v>
      </c>
      <c r="AD29" s="227"/>
      <c r="AE29" s="241">
        <v>3</v>
      </c>
      <c r="AF29" s="204" t="str">
        <f t="shared" si="14"/>
        <v xml:space="preserve">Matériel de formation pour les participants </v>
      </c>
      <c r="AG29" s="503">
        <f t="shared" si="28"/>
        <v>0.9</v>
      </c>
      <c r="AH29" s="503">
        <f t="shared" si="29"/>
        <v>0.1</v>
      </c>
      <c r="AI29" s="487">
        <f t="shared" si="30"/>
        <v>144</v>
      </c>
      <c r="AJ29" s="487">
        <f t="shared" si="31"/>
        <v>0</v>
      </c>
      <c r="AK29" s="487">
        <f t="shared" si="32"/>
        <v>16</v>
      </c>
      <c r="AL29" s="487">
        <f t="shared" si="18"/>
        <v>160</v>
      </c>
      <c r="AM29" s="316">
        <f t="shared" si="4"/>
        <v>72</v>
      </c>
      <c r="AN29" s="316">
        <f t="shared" si="5"/>
        <v>0</v>
      </c>
      <c r="AO29" s="316">
        <f t="shared" si="6"/>
        <v>72</v>
      </c>
      <c r="AP29" s="316">
        <f t="shared" si="7"/>
        <v>0</v>
      </c>
      <c r="AQ29" s="169" t="s">
        <v>350</v>
      </c>
      <c r="AR29" s="168" t="s">
        <v>349</v>
      </c>
    </row>
    <row r="30" spans="1:47" s="169" customFormat="1" x14ac:dyDescent="0.3">
      <c r="A30" s="509">
        <v>4</v>
      </c>
      <c r="B30" s="510" t="s">
        <v>367</v>
      </c>
      <c r="C30" s="409" t="s">
        <v>352</v>
      </c>
      <c r="D30" s="501">
        <v>5</v>
      </c>
      <c r="E30" s="411">
        <v>40</v>
      </c>
      <c r="F30" s="512">
        <v>1</v>
      </c>
      <c r="G30" s="503">
        <v>0.9</v>
      </c>
      <c r="H30" s="503">
        <v>0.1</v>
      </c>
      <c r="I30" s="504">
        <f t="shared" si="36"/>
        <v>180</v>
      </c>
      <c r="J30" s="487">
        <f>D30*E30*F30*H30</f>
        <v>20</v>
      </c>
      <c r="K30" s="487">
        <f>I30</f>
        <v>180</v>
      </c>
      <c r="L30" s="487"/>
      <c r="M30" s="487"/>
      <c r="N30" s="504">
        <v>0</v>
      </c>
      <c r="O30" s="507" t="s">
        <v>368</v>
      </c>
      <c r="Q30" s="409" t="s">
        <v>352</v>
      </c>
      <c r="R30" s="501">
        <v>5</v>
      </c>
      <c r="S30" s="411">
        <v>40</v>
      </c>
      <c r="T30" s="514">
        <v>1</v>
      </c>
      <c r="U30" s="503">
        <v>0.9</v>
      </c>
      <c r="V30" s="503">
        <v>0.1</v>
      </c>
      <c r="W30" s="487">
        <f t="shared" si="37"/>
        <v>180</v>
      </c>
      <c r="X30" s="487">
        <f t="shared" si="39"/>
        <v>20</v>
      </c>
      <c r="Y30" s="487">
        <f t="shared" si="38"/>
        <v>180</v>
      </c>
      <c r="Z30" s="487"/>
      <c r="AA30" s="487"/>
      <c r="AB30" s="504">
        <v>0</v>
      </c>
      <c r="AC30" s="417" t="s">
        <v>368</v>
      </c>
      <c r="AD30" s="227"/>
      <c r="AE30" s="241">
        <v>4</v>
      </c>
      <c r="AF30" s="204" t="str">
        <f t="shared" si="14"/>
        <v>Matériel pédagogique pour les formateurs formés</v>
      </c>
      <c r="AG30" s="503">
        <f t="shared" si="28"/>
        <v>0.9</v>
      </c>
      <c r="AH30" s="503">
        <f t="shared" si="29"/>
        <v>0.1</v>
      </c>
      <c r="AI30" s="487">
        <f t="shared" si="30"/>
        <v>360</v>
      </c>
      <c r="AJ30" s="487">
        <f t="shared" si="31"/>
        <v>0</v>
      </c>
      <c r="AK30" s="487">
        <f t="shared" si="32"/>
        <v>40</v>
      </c>
      <c r="AL30" s="487">
        <f t="shared" si="18"/>
        <v>400</v>
      </c>
      <c r="AM30" s="316">
        <f t="shared" si="4"/>
        <v>180</v>
      </c>
      <c r="AN30" s="316">
        <f t="shared" si="5"/>
        <v>0</v>
      </c>
      <c r="AO30" s="316">
        <f t="shared" si="6"/>
        <v>180</v>
      </c>
      <c r="AP30" s="316">
        <f t="shared" si="7"/>
        <v>0</v>
      </c>
      <c r="AQ30" s="169" t="s">
        <v>350</v>
      </c>
      <c r="AR30" s="168" t="s">
        <v>349</v>
      </c>
    </row>
    <row r="31" spans="1:47" s="169" customFormat="1" x14ac:dyDescent="0.3">
      <c r="A31" s="509">
        <v>5</v>
      </c>
      <c r="B31" s="510" t="s">
        <v>392</v>
      </c>
      <c r="C31" s="409" t="s">
        <v>355</v>
      </c>
      <c r="D31" s="501">
        <v>5</v>
      </c>
      <c r="E31" s="411">
        <v>40</v>
      </c>
      <c r="F31" s="512">
        <v>1</v>
      </c>
      <c r="G31" s="503">
        <v>0.9</v>
      </c>
      <c r="H31" s="503">
        <v>0.1</v>
      </c>
      <c r="I31" s="504">
        <f t="shared" si="36"/>
        <v>180</v>
      </c>
      <c r="J31" s="487">
        <f>D31*E31*F31*H31</f>
        <v>20</v>
      </c>
      <c r="K31" s="487">
        <f>I31</f>
        <v>180</v>
      </c>
      <c r="L31" s="487"/>
      <c r="M31" s="487"/>
      <c r="N31" s="504">
        <v>0</v>
      </c>
      <c r="O31" s="507" t="s">
        <v>366</v>
      </c>
      <c r="Q31" s="409" t="s">
        <v>355</v>
      </c>
      <c r="R31" s="501">
        <v>5</v>
      </c>
      <c r="S31" s="411">
        <v>40</v>
      </c>
      <c r="T31" s="514">
        <v>1</v>
      </c>
      <c r="U31" s="503">
        <v>0.9</v>
      </c>
      <c r="V31" s="503">
        <v>0.1</v>
      </c>
      <c r="W31" s="487">
        <f t="shared" si="37"/>
        <v>180</v>
      </c>
      <c r="X31" s="487">
        <f t="shared" si="39"/>
        <v>20</v>
      </c>
      <c r="Y31" s="487">
        <f t="shared" si="38"/>
        <v>180</v>
      </c>
      <c r="Z31" s="487"/>
      <c r="AA31" s="487"/>
      <c r="AB31" s="504">
        <v>0</v>
      </c>
      <c r="AC31" s="417" t="s">
        <v>366</v>
      </c>
      <c r="AD31" s="227"/>
      <c r="AE31" s="241">
        <v>5</v>
      </c>
      <c r="AF31" s="204" t="str">
        <f t="shared" si="14"/>
        <v xml:space="preserve">Frais de transport des participants </v>
      </c>
      <c r="AG31" s="503">
        <f t="shared" si="28"/>
        <v>0.9</v>
      </c>
      <c r="AH31" s="503">
        <f t="shared" si="29"/>
        <v>0.1</v>
      </c>
      <c r="AI31" s="487">
        <f t="shared" si="30"/>
        <v>360</v>
      </c>
      <c r="AJ31" s="487">
        <f t="shared" si="31"/>
        <v>0</v>
      </c>
      <c r="AK31" s="487">
        <f t="shared" si="32"/>
        <v>40</v>
      </c>
      <c r="AL31" s="487">
        <f t="shared" si="18"/>
        <v>400</v>
      </c>
      <c r="AM31" s="316">
        <f t="shared" si="4"/>
        <v>180</v>
      </c>
      <c r="AN31" s="316">
        <f t="shared" si="5"/>
        <v>0</v>
      </c>
      <c r="AO31" s="316">
        <f t="shared" si="6"/>
        <v>180</v>
      </c>
      <c r="AP31" s="316">
        <f t="shared" si="7"/>
        <v>0</v>
      </c>
      <c r="AQ31" s="169" t="s">
        <v>350</v>
      </c>
      <c r="AR31" s="168" t="s">
        <v>349</v>
      </c>
    </row>
    <row r="32" spans="1:47" s="169" customFormat="1" x14ac:dyDescent="0.3">
      <c r="A32" s="488"/>
      <c r="B32" s="489" t="s">
        <v>369</v>
      </c>
      <c r="C32" s="489"/>
      <c r="D32" s="490"/>
      <c r="E32" s="491"/>
      <c r="F32" s="492"/>
      <c r="G32" s="493"/>
      <c r="H32" s="493"/>
      <c r="I32" s="494"/>
      <c r="J32" s="495"/>
      <c r="K32" s="495"/>
      <c r="L32" s="495"/>
      <c r="M32" s="495"/>
      <c r="N32" s="494"/>
      <c r="O32" s="496"/>
      <c r="Q32" s="489"/>
      <c r="R32" s="490"/>
      <c r="S32" s="491"/>
      <c r="T32" s="492"/>
      <c r="U32" s="493"/>
      <c r="V32" s="493"/>
      <c r="W32" s="495"/>
      <c r="X32" s="495"/>
      <c r="Y32" s="495"/>
      <c r="Z32" s="495"/>
      <c r="AA32" s="495"/>
      <c r="AB32" s="494"/>
      <c r="AC32" s="498"/>
      <c r="AD32" s="182"/>
      <c r="AE32" s="204"/>
      <c r="AF32" s="204" t="str">
        <f t="shared" si="14"/>
        <v xml:space="preserve">Les 80 superviseurs de clubs  de paix forment 1 club de 8 membres dans leur ecoles. </v>
      </c>
      <c r="AG32" s="493"/>
      <c r="AH32" s="493"/>
      <c r="AI32" s="495"/>
      <c r="AJ32" s="495"/>
      <c r="AK32" s="495"/>
      <c r="AL32" s="495"/>
      <c r="AM32" s="317">
        <f t="shared" si="4"/>
        <v>0</v>
      </c>
      <c r="AN32" s="317">
        <f t="shared" si="5"/>
        <v>0</v>
      </c>
      <c r="AO32" s="317">
        <f t="shared" si="6"/>
        <v>0</v>
      </c>
      <c r="AP32" s="317">
        <f t="shared" si="7"/>
        <v>0</v>
      </c>
    </row>
    <row r="33" spans="1:47" s="169" customFormat="1" ht="26" x14ac:dyDescent="0.3">
      <c r="A33" s="509">
        <v>6</v>
      </c>
      <c r="B33" s="510" t="s">
        <v>370</v>
      </c>
      <c r="C33" s="409" t="s">
        <v>371</v>
      </c>
      <c r="D33" s="501">
        <v>10</v>
      </c>
      <c r="E33" s="411">
        <v>40</v>
      </c>
      <c r="F33" s="512">
        <v>1</v>
      </c>
      <c r="G33" s="503">
        <v>0.9</v>
      </c>
      <c r="H33" s="503">
        <v>0.1</v>
      </c>
      <c r="I33" s="504">
        <f t="shared" si="36"/>
        <v>360</v>
      </c>
      <c r="J33" s="487">
        <f>D33*E33*F33*H33</f>
        <v>40</v>
      </c>
      <c r="K33" s="487">
        <f>I33</f>
        <v>360</v>
      </c>
      <c r="L33" s="487"/>
      <c r="M33" s="487"/>
      <c r="N33" s="504">
        <v>0</v>
      </c>
      <c r="O33" s="507" t="s">
        <v>372</v>
      </c>
      <c r="Q33" s="409" t="s">
        <v>371</v>
      </c>
      <c r="R33" s="501">
        <v>10</v>
      </c>
      <c r="S33" s="411">
        <v>40</v>
      </c>
      <c r="T33" s="514">
        <v>1</v>
      </c>
      <c r="U33" s="503">
        <v>0.9</v>
      </c>
      <c r="V33" s="503">
        <v>0.1</v>
      </c>
      <c r="W33" s="487">
        <f t="shared" si="37"/>
        <v>360</v>
      </c>
      <c r="X33" s="487">
        <f t="shared" si="39"/>
        <v>40</v>
      </c>
      <c r="Y33" s="487">
        <f t="shared" si="38"/>
        <v>360</v>
      </c>
      <c r="Z33" s="487"/>
      <c r="AA33" s="487"/>
      <c r="AB33" s="504">
        <v>0</v>
      </c>
      <c r="AC33" s="417" t="s">
        <v>372</v>
      </c>
      <c r="AD33" s="227"/>
      <c r="AE33" s="241">
        <v>6</v>
      </c>
      <c r="AF33" s="204" t="str">
        <f t="shared" si="14"/>
        <v>Matériel de formation par école (Flip chart, Blocs notes, Boites de marqueurs, Stylos bleus, Modules….)</v>
      </c>
      <c r="AG33" s="503">
        <f>AI33/($AI33+$AK33)</f>
        <v>0.9</v>
      </c>
      <c r="AH33" s="503">
        <f>AK33/($AI33+$AK33)</f>
        <v>0.1</v>
      </c>
      <c r="AI33" s="487">
        <f>I33+W33</f>
        <v>720</v>
      </c>
      <c r="AJ33" s="487">
        <f>N33+AB33</f>
        <v>0</v>
      </c>
      <c r="AK33" s="487">
        <f>J33+X33</f>
        <v>80</v>
      </c>
      <c r="AL33" s="487">
        <f t="shared" si="18"/>
        <v>800</v>
      </c>
      <c r="AM33" s="316">
        <f t="shared" si="4"/>
        <v>360</v>
      </c>
      <c r="AN33" s="316">
        <f t="shared" si="5"/>
        <v>0</v>
      </c>
      <c r="AO33" s="316">
        <f t="shared" si="6"/>
        <v>360</v>
      </c>
      <c r="AP33" s="316">
        <f t="shared" si="7"/>
        <v>0</v>
      </c>
      <c r="AQ33" s="169" t="s">
        <v>350</v>
      </c>
      <c r="AR33" s="168" t="s">
        <v>349</v>
      </c>
    </row>
    <row r="34" spans="1:47" x14ac:dyDescent="0.3">
      <c r="A34" s="480" t="s">
        <v>242</v>
      </c>
      <c r="B34" s="861" t="s">
        <v>373</v>
      </c>
      <c r="C34" s="862"/>
      <c r="D34" s="862"/>
      <c r="E34" s="862"/>
      <c r="F34" s="862"/>
      <c r="G34" s="862"/>
      <c r="H34" s="863"/>
      <c r="I34" s="481">
        <f>SUM(I35:I40)</f>
        <v>8262</v>
      </c>
      <c r="J34" s="482">
        <f t="shared" ref="J34:L34" si="40">SUM(J35:J40)</f>
        <v>918</v>
      </c>
      <c r="K34" s="482">
        <f t="shared" si="40"/>
        <v>4131</v>
      </c>
      <c r="L34" s="482">
        <f t="shared" si="40"/>
        <v>4131</v>
      </c>
      <c r="M34" s="482">
        <f>SUM(M35:M40)</f>
        <v>0</v>
      </c>
      <c r="N34" s="481">
        <f>SUM(N35:N40)</f>
        <v>0</v>
      </c>
      <c r="O34" s="508"/>
      <c r="Q34" s="192"/>
      <c r="R34" s="193"/>
      <c r="S34" s="192"/>
      <c r="T34" s="193"/>
      <c r="U34" s="193"/>
      <c r="V34" s="484"/>
      <c r="W34" s="482">
        <f>SUM(W35:W40)</f>
        <v>8640</v>
      </c>
      <c r="X34" s="482">
        <f t="shared" ref="X34" si="41">SUM(X35:X40)</f>
        <v>960</v>
      </c>
      <c r="Y34" s="482">
        <f>SUM(Y35:Y40)</f>
        <v>8640</v>
      </c>
      <c r="Z34" s="482">
        <f t="shared" ref="Z34:AA34" si="42">SUM(Z35:Z40)</f>
        <v>0</v>
      </c>
      <c r="AA34" s="482">
        <f t="shared" si="42"/>
        <v>0</v>
      </c>
      <c r="AB34" s="481">
        <f>SUM(AB35:AB40)</f>
        <v>0</v>
      </c>
      <c r="AC34" s="508"/>
      <c r="AD34" s="234"/>
      <c r="AE34" s="247" t="s">
        <v>242</v>
      </c>
      <c r="AF34" s="204" t="str">
        <f t="shared" si="14"/>
        <v>Établir et soutenir le fonctionnement de 40 clubs de la paix dans 40 écoles cibles</v>
      </c>
      <c r="AG34" s="485">
        <f>AI34/($AI34+$AK34)</f>
        <v>0.9</v>
      </c>
      <c r="AH34" s="485">
        <f>AK34/($AI34+$AK34)</f>
        <v>0.1</v>
      </c>
      <c r="AI34" s="482">
        <f>I34+W34</f>
        <v>16902</v>
      </c>
      <c r="AJ34" s="482">
        <f>N34+AB34</f>
        <v>0</v>
      </c>
      <c r="AK34" s="482">
        <f>J34+X34</f>
        <v>1878</v>
      </c>
      <c r="AL34" s="482">
        <f t="shared" si="18"/>
        <v>18780</v>
      </c>
      <c r="AM34" s="314">
        <f t="shared" si="4"/>
        <v>8262</v>
      </c>
      <c r="AN34" s="314">
        <f t="shared" si="5"/>
        <v>0</v>
      </c>
      <c r="AO34" s="314">
        <f t="shared" si="6"/>
        <v>8640</v>
      </c>
      <c r="AP34" s="314">
        <f t="shared" si="7"/>
        <v>0</v>
      </c>
    </row>
    <row r="35" spans="1:47" s="169" customFormat="1" ht="26" x14ac:dyDescent="0.3">
      <c r="A35" s="509">
        <v>1</v>
      </c>
      <c r="B35" s="510" t="s">
        <v>374</v>
      </c>
      <c r="C35" s="409" t="s">
        <v>375</v>
      </c>
      <c r="D35" s="536">
        <v>100</v>
      </c>
      <c r="E35" s="411">
        <v>40</v>
      </c>
      <c r="F35" s="515">
        <v>1</v>
      </c>
      <c r="G35" s="503">
        <v>0.9</v>
      </c>
      <c r="H35" s="503">
        <v>0.1</v>
      </c>
      <c r="I35" s="504">
        <f t="shared" ref="I35:I40" si="43">D35*E35*F35*G35</f>
        <v>3600</v>
      </c>
      <c r="J35" s="487">
        <f>D35*E35*F35*H35</f>
        <v>400</v>
      </c>
      <c r="K35" s="487">
        <f>I35*50/100</f>
        <v>1800</v>
      </c>
      <c r="L35" s="487">
        <f>I35*50/100</f>
        <v>1800</v>
      </c>
      <c r="M35" s="487"/>
      <c r="N35" s="504">
        <v>0</v>
      </c>
      <c r="O35" s="507" t="s">
        <v>786</v>
      </c>
      <c r="Q35" s="409" t="s">
        <v>375</v>
      </c>
      <c r="R35" s="516">
        <v>100</v>
      </c>
      <c r="S35" s="411">
        <v>40</v>
      </c>
      <c r="T35" s="515">
        <v>1</v>
      </c>
      <c r="U35" s="503">
        <v>0.9</v>
      </c>
      <c r="V35" s="503">
        <v>0.1</v>
      </c>
      <c r="W35" s="487">
        <f t="shared" ref="W35:W40" si="44">R35*S35*T35*U35</f>
        <v>3600</v>
      </c>
      <c r="X35" s="487">
        <f t="shared" ref="X35:X40" si="45">R35*S35*T35*V35</f>
        <v>400</v>
      </c>
      <c r="Y35" s="487">
        <f t="shared" ref="Y35:Y40" si="46">W35</f>
        <v>3600</v>
      </c>
      <c r="Z35" s="487"/>
      <c r="AA35" s="487"/>
      <c r="AB35" s="504">
        <v>0</v>
      </c>
      <c r="AC35" s="417" t="s">
        <v>786</v>
      </c>
      <c r="AD35" s="227"/>
      <c r="AE35" s="241">
        <v>1</v>
      </c>
      <c r="AF35" s="204" t="str">
        <f t="shared" si="14"/>
        <v>Achat de kits de loisirs pour chaque école (Vareuses, Ballons football, volley ball,  Materiels locaux pour musique: Tam-tam, Maracasse…)</v>
      </c>
      <c r="AG35" s="486">
        <f>AI35/($AI35+$AK35)</f>
        <v>0.9</v>
      </c>
      <c r="AH35" s="486">
        <f>AK35/($AI35+$AK35)</f>
        <v>0.1</v>
      </c>
      <c r="AI35" s="487">
        <f>I35+W35</f>
        <v>7200</v>
      </c>
      <c r="AJ35" s="487">
        <f>N35+AB35</f>
        <v>0</v>
      </c>
      <c r="AK35" s="487">
        <f>J35+X35</f>
        <v>800</v>
      </c>
      <c r="AL35" s="487">
        <f t="shared" si="18"/>
        <v>8000</v>
      </c>
      <c r="AM35" s="316">
        <f t="shared" si="4"/>
        <v>3600</v>
      </c>
      <c r="AN35" s="316">
        <f t="shared" si="5"/>
        <v>0</v>
      </c>
      <c r="AO35" s="316">
        <f t="shared" si="6"/>
        <v>3600</v>
      </c>
      <c r="AP35" s="316">
        <f t="shared" si="7"/>
        <v>0</v>
      </c>
      <c r="AQ35" s="169" t="s">
        <v>350</v>
      </c>
      <c r="AR35" s="168" t="s">
        <v>349</v>
      </c>
    </row>
    <row r="36" spans="1:47" s="169" customFormat="1" x14ac:dyDescent="0.3">
      <c r="A36" s="488"/>
      <c r="B36" s="489" t="s">
        <v>376</v>
      </c>
      <c r="C36" s="489"/>
      <c r="D36" s="490"/>
      <c r="E36" s="491"/>
      <c r="F36" s="492"/>
      <c r="G36" s="493"/>
      <c r="H36" s="493"/>
      <c r="I36" s="494"/>
      <c r="J36" s="495"/>
      <c r="K36" s="495"/>
      <c r="L36" s="495"/>
      <c r="M36" s="495"/>
      <c r="N36" s="494"/>
      <c r="O36" s="496"/>
      <c r="Q36" s="489"/>
      <c r="R36" s="490"/>
      <c r="S36" s="491"/>
      <c r="T36" s="492"/>
      <c r="U36" s="493"/>
      <c r="V36" s="493"/>
      <c r="W36" s="495"/>
      <c r="X36" s="495"/>
      <c r="Y36" s="495"/>
      <c r="Z36" s="495"/>
      <c r="AA36" s="495"/>
      <c r="AB36" s="494"/>
      <c r="AC36" s="498"/>
      <c r="AD36" s="182"/>
      <c r="AE36" s="204"/>
      <c r="AF36" s="204" t="str">
        <f t="shared" si="14"/>
        <v>Soutenir les activités des 40 clubs de la paix</v>
      </c>
      <c r="AG36" s="493"/>
      <c r="AH36" s="493"/>
      <c r="AI36" s="495"/>
      <c r="AJ36" s="495"/>
      <c r="AK36" s="495"/>
      <c r="AL36" s="495"/>
      <c r="AM36" s="317">
        <f t="shared" si="4"/>
        <v>0</v>
      </c>
      <c r="AN36" s="317">
        <f t="shared" si="5"/>
        <v>0</v>
      </c>
      <c r="AO36" s="317">
        <f t="shared" si="6"/>
        <v>0</v>
      </c>
      <c r="AP36" s="317">
        <f t="shared" si="7"/>
        <v>0</v>
      </c>
    </row>
    <row r="37" spans="1:47" s="169" customFormat="1" x14ac:dyDescent="0.3">
      <c r="A37" s="509">
        <v>2</v>
      </c>
      <c r="B37" s="510" t="s">
        <v>787</v>
      </c>
      <c r="C37" s="409" t="s">
        <v>378</v>
      </c>
      <c r="D37" s="410">
        <v>3</v>
      </c>
      <c r="E37" s="411">
        <v>20</v>
      </c>
      <c r="F37" s="515">
        <v>3</v>
      </c>
      <c r="G37" s="503">
        <v>0.9</v>
      </c>
      <c r="H37" s="503">
        <v>0.1</v>
      </c>
      <c r="I37" s="504">
        <f t="shared" si="43"/>
        <v>162</v>
      </c>
      <c r="J37" s="487">
        <f>D37*E37*F37*H37</f>
        <v>18</v>
      </c>
      <c r="K37" s="487">
        <f>I37*50/100</f>
        <v>81</v>
      </c>
      <c r="L37" s="487">
        <f>I37*50/100</f>
        <v>81</v>
      </c>
      <c r="M37" s="487"/>
      <c r="N37" s="504">
        <v>0</v>
      </c>
      <c r="O37" s="507" t="s">
        <v>788</v>
      </c>
      <c r="Q37" s="409" t="s">
        <v>378</v>
      </c>
      <c r="R37" s="516">
        <v>5</v>
      </c>
      <c r="S37" s="411">
        <v>40</v>
      </c>
      <c r="T37" s="515">
        <v>3</v>
      </c>
      <c r="U37" s="503">
        <v>0.9</v>
      </c>
      <c r="V37" s="503">
        <v>0.1</v>
      </c>
      <c r="W37" s="487">
        <f t="shared" si="44"/>
        <v>540</v>
      </c>
      <c r="X37" s="487">
        <f t="shared" si="45"/>
        <v>60</v>
      </c>
      <c r="Y37" s="487">
        <f t="shared" si="46"/>
        <v>540</v>
      </c>
      <c r="Z37" s="487"/>
      <c r="AA37" s="487"/>
      <c r="AB37" s="504">
        <v>0</v>
      </c>
      <c r="AC37" s="417" t="s">
        <v>788</v>
      </c>
      <c r="AD37" s="227"/>
      <c r="AE37" s="241">
        <v>2</v>
      </c>
      <c r="AF37" s="204" t="str">
        <f t="shared" si="14"/>
        <v>Pièces de théâtre sur les questions de paix</v>
      </c>
      <c r="AG37" s="486">
        <f>AI37/($AI37+$AK37)</f>
        <v>0.9</v>
      </c>
      <c r="AH37" s="486">
        <f>AK37/($AI37+$AK37)</f>
        <v>0.1</v>
      </c>
      <c r="AI37" s="487">
        <f>I37+W37</f>
        <v>702</v>
      </c>
      <c r="AJ37" s="487">
        <f>N37+AB37</f>
        <v>0</v>
      </c>
      <c r="AK37" s="487">
        <f>J37+X37</f>
        <v>78</v>
      </c>
      <c r="AL37" s="487">
        <f t="shared" si="18"/>
        <v>780</v>
      </c>
      <c r="AM37" s="316">
        <f t="shared" si="4"/>
        <v>162</v>
      </c>
      <c r="AN37" s="316">
        <f t="shared" si="5"/>
        <v>0</v>
      </c>
      <c r="AO37" s="316">
        <f t="shared" si="6"/>
        <v>540</v>
      </c>
      <c r="AP37" s="316">
        <f t="shared" si="7"/>
        <v>0</v>
      </c>
      <c r="AQ37" s="169" t="s">
        <v>350</v>
      </c>
      <c r="AR37" s="168" t="s">
        <v>349</v>
      </c>
    </row>
    <row r="38" spans="1:47" s="169" customFormat="1" x14ac:dyDescent="0.3">
      <c r="A38" s="509">
        <v>3</v>
      </c>
      <c r="B38" s="510" t="s">
        <v>377</v>
      </c>
      <c r="C38" s="409" t="s">
        <v>378</v>
      </c>
      <c r="D38" s="536">
        <v>100</v>
      </c>
      <c r="E38" s="411">
        <v>20</v>
      </c>
      <c r="F38" s="515">
        <v>1</v>
      </c>
      <c r="G38" s="503">
        <v>0.9</v>
      </c>
      <c r="H38" s="503">
        <v>0.1</v>
      </c>
      <c r="I38" s="504">
        <f t="shared" si="43"/>
        <v>1800</v>
      </c>
      <c r="J38" s="487">
        <f>D38*E38*F38*H38</f>
        <v>200</v>
      </c>
      <c r="K38" s="487">
        <f>I38*50/100</f>
        <v>900</v>
      </c>
      <c r="L38" s="487">
        <f>I38*50/100</f>
        <v>900</v>
      </c>
      <c r="M38" s="487"/>
      <c r="N38" s="504">
        <v>0</v>
      </c>
      <c r="O38" s="507" t="s">
        <v>789</v>
      </c>
      <c r="Q38" s="409" t="s">
        <v>378</v>
      </c>
      <c r="R38" s="516">
        <v>100</v>
      </c>
      <c r="S38" s="411">
        <v>20</v>
      </c>
      <c r="T38" s="515">
        <v>1</v>
      </c>
      <c r="U38" s="503">
        <v>0.9</v>
      </c>
      <c r="V38" s="503">
        <v>0.1</v>
      </c>
      <c r="W38" s="487">
        <f t="shared" si="44"/>
        <v>1800</v>
      </c>
      <c r="X38" s="487">
        <f t="shared" si="45"/>
        <v>200</v>
      </c>
      <c r="Y38" s="487">
        <f t="shared" si="46"/>
        <v>1800</v>
      </c>
      <c r="Z38" s="487"/>
      <c r="AA38" s="487"/>
      <c r="AB38" s="504">
        <v>0</v>
      </c>
      <c r="AC38" s="417" t="s">
        <v>790</v>
      </c>
      <c r="AD38" s="227"/>
      <c r="AE38" s="241">
        <v>3</v>
      </c>
      <c r="AF38" s="204" t="str">
        <f t="shared" si="14"/>
        <v xml:space="preserve">Matchs de football amicaux </v>
      </c>
      <c r="AG38" s="486">
        <f>AI38/($AI38+$AK38)</f>
        <v>0.9</v>
      </c>
      <c r="AH38" s="486">
        <f>AK38/($AI38+$AK38)</f>
        <v>0.1</v>
      </c>
      <c r="AI38" s="487">
        <f>I38+W38</f>
        <v>3600</v>
      </c>
      <c r="AJ38" s="487">
        <f>N38+AB38</f>
        <v>0</v>
      </c>
      <c r="AK38" s="487">
        <f>J38+X38</f>
        <v>400</v>
      </c>
      <c r="AL38" s="487">
        <f t="shared" si="18"/>
        <v>4000</v>
      </c>
      <c r="AM38" s="316">
        <f t="shared" si="4"/>
        <v>1800</v>
      </c>
      <c r="AN38" s="316">
        <f t="shared" si="5"/>
        <v>0</v>
      </c>
      <c r="AO38" s="316">
        <f t="shared" si="6"/>
        <v>1800</v>
      </c>
      <c r="AP38" s="316">
        <f t="shared" si="7"/>
        <v>0</v>
      </c>
      <c r="AQ38" s="169" t="s">
        <v>350</v>
      </c>
      <c r="AR38" s="168" t="s">
        <v>349</v>
      </c>
    </row>
    <row r="39" spans="1:47" s="186" customFormat="1" ht="26" x14ac:dyDescent="0.3">
      <c r="A39" s="408">
        <v>4</v>
      </c>
      <c r="B39" s="409" t="s">
        <v>379</v>
      </c>
      <c r="C39" s="409" t="s">
        <v>378</v>
      </c>
      <c r="D39" s="410">
        <v>100</v>
      </c>
      <c r="E39" s="411">
        <v>20</v>
      </c>
      <c r="F39" s="515">
        <v>1</v>
      </c>
      <c r="G39" s="503">
        <v>0.9</v>
      </c>
      <c r="H39" s="503">
        <v>0.1</v>
      </c>
      <c r="I39" s="504">
        <f t="shared" si="43"/>
        <v>1800</v>
      </c>
      <c r="J39" s="487">
        <f>D39*E39*F39*H39</f>
        <v>200</v>
      </c>
      <c r="K39" s="487">
        <f>I39*50/100</f>
        <v>900</v>
      </c>
      <c r="L39" s="487">
        <f>I39*50/100</f>
        <v>900</v>
      </c>
      <c r="M39" s="487"/>
      <c r="N39" s="504">
        <v>0</v>
      </c>
      <c r="O39" s="417" t="s">
        <v>791</v>
      </c>
      <c r="Q39" s="409" t="s">
        <v>378</v>
      </c>
      <c r="R39" s="418">
        <v>100</v>
      </c>
      <c r="S39" s="411">
        <v>20</v>
      </c>
      <c r="T39" s="515">
        <v>1</v>
      </c>
      <c r="U39" s="503">
        <v>0.9</v>
      </c>
      <c r="V39" s="503">
        <v>0.1</v>
      </c>
      <c r="W39" s="487">
        <f t="shared" si="44"/>
        <v>1800</v>
      </c>
      <c r="X39" s="487">
        <f t="shared" si="45"/>
        <v>200</v>
      </c>
      <c r="Y39" s="487">
        <f t="shared" si="46"/>
        <v>1800</v>
      </c>
      <c r="Z39" s="487"/>
      <c r="AA39" s="487"/>
      <c r="AB39" s="504">
        <v>0</v>
      </c>
      <c r="AC39" s="417" t="s">
        <v>791</v>
      </c>
      <c r="AD39" s="227"/>
      <c r="AE39" s="241">
        <v>4</v>
      </c>
      <c r="AF39" s="204" t="str">
        <f t="shared" si="14"/>
        <v>Nettoyage solidaire des écoles</v>
      </c>
      <c r="AG39" s="486">
        <f>AI39/($AI39+$AK39)</f>
        <v>0.9</v>
      </c>
      <c r="AH39" s="486">
        <f>AK39/($AI39+$AK39)</f>
        <v>0.1</v>
      </c>
      <c r="AI39" s="487">
        <f>I39+W39</f>
        <v>3600</v>
      </c>
      <c r="AJ39" s="487">
        <f>N39+AB39</f>
        <v>0</v>
      </c>
      <c r="AK39" s="487">
        <f>J39+X39</f>
        <v>400</v>
      </c>
      <c r="AL39" s="487">
        <f t="shared" si="18"/>
        <v>4000</v>
      </c>
      <c r="AM39" s="316">
        <f t="shared" si="4"/>
        <v>1800</v>
      </c>
      <c r="AN39" s="316">
        <f t="shared" si="5"/>
        <v>0</v>
      </c>
      <c r="AO39" s="316">
        <f t="shared" si="6"/>
        <v>1800</v>
      </c>
      <c r="AP39" s="316">
        <f t="shared" si="7"/>
        <v>0</v>
      </c>
      <c r="AQ39" s="186" t="s">
        <v>350</v>
      </c>
      <c r="AR39" s="168" t="s">
        <v>349</v>
      </c>
    </row>
    <row r="40" spans="1:47" s="169" customFormat="1" x14ac:dyDescent="0.3">
      <c r="A40" s="509">
        <v>5</v>
      </c>
      <c r="B40" s="510" t="s">
        <v>792</v>
      </c>
      <c r="C40" s="409" t="s">
        <v>378</v>
      </c>
      <c r="D40" s="536">
        <v>50</v>
      </c>
      <c r="E40" s="411">
        <v>20</v>
      </c>
      <c r="F40" s="515">
        <v>1</v>
      </c>
      <c r="G40" s="503">
        <v>0.9</v>
      </c>
      <c r="H40" s="503">
        <v>0.1</v>
      </c>
      <c r="I40" s="504">
        <f t="shared" si="43"/>
        <v>900</v>
      </c>
      <c r="J40" s="487">
        <f>D40*E40*F40*H40</f>
        <v>100</v>
      </c>
      <c r="K40" s="487">
        <f>I40*50/100</f>
        <v>450</v>
      </c>
      <c r="L40" s="487">
        <f>I40*50/100</f>
        <v>450</v>
      </c>
      <c r="M40" s="487"/>
      <c r="N40" s="504">
        <v>0</v>
      </c>
      <c r="O40" s="507" t="s">
        <v>793</v>
      </c>
      <c r="Q40" s="409" t="s">
        <v>378</v>
      </c>
      <c r="R40" s="516">
        <v>50</v>
      </c>
      <c r="S40" s="411">
        <v>20</v>
      </c>
      <c r="T40" s="515">
        <v>1</v>
      </c>
      <c r="U40" s="503">
        <v>0.9</v>
      </c>
      <c r="V40" s="503">
        <v>0.1</v>
      </c>
      <c r="W40" s="487">
        <f t="shared" si="44"/>
        <v>900</v>
      </c>
      <c r="X40" s="487">
        <f t="shared" si="45"/>
        <v>100</v>
      </c>
      <c r="Y40" s="487">
        <f t="shared" si="46"/>
        <v>900</v>
      </c>
      <c r="Z40" s="487"/>
      <c r="AA40" s="487"/>
      <c r="AB40" s="504">
        <v>0</v>
      </c>
      <c r="AC40" s="417" t="s">
        <v>793</v>
      </c>
      <c r="AD40" s="227"/>
      <c r="AE40" s="241">
        <v>5</v>
      </c>
      <c r="AF40" s="204" t="str">
        <f t="shared" si="14"/>
        <v>Festivités annuelles des clubs de la paix</v>
      </c>
      <c r="AG40" s="486">
        <f>AI40/($AI40+$AK40)</f>
        <v>0.9</v>
      </c>
      <c r="AH40" s="486">
        <f>AK40/($AI40+$AK40)</f>
        <v>0.1</v>
      </c>
      <c r="AI40" s="487">
        <f>I40+W40</f>
        <v>1800</v>
      </c>
      <c r="AJ40" s="487">
        <f>N40+AB40</f>
        <v>0</v>
      </c>
      <c r="AK40" s="487">
        <f>J40+X40</f>
        <v>200</v>
      </c>
      <c r="AL40" s="487">
        <f t="shared" si="18"/>
        <v>2000</v>
      </c>
      <c r="AM40" s="316">
        <f t="shared" si="4"/>
        <v>900</v>
      </c>
      <c r="AN40" s="316">
        <f t="shared" si="5"/>
        <v>0</v>
      </c>
      <c r="AO40" s="316">
        <f t="shared" si="6"/>
        <v>900</v>
      </c>
      <c r="AP40" s="316">
        <f t="shared" si="7"/>
        <v>0</v>
      </c>
      <c r="AQ40" s="169" t="s">
        <v>350</v>
      </c>
      <c r="AR40" s="168" t="s">
        <v>349</v>
      </c>
    </row>
    <row r="41" spans="1:47" ht="30" customHeight="1" x14ac:dyDescent="0.3">
      <c r="A41" s="480" t="s">
        <v>243</v>
      </c>
      <c r="B41" s="861" t="s">
        <v>380</v>
      </c>
      <c r="C41" s="862"/>
      <c r="D41" s="862"/>
      <c r="E41" s="862"/>
      <c r="F41" s="862"/>
      <c r="G41" s="862"/>
      <c r="H41" s="863"/>
      <c r="I41" s="481">
        <f>SUM(I42:I53)</f>
        <v>6318</v>
      </c>
      <c r="J41" s="482">
        <f t="shared" ref="J41:N41" si="47">SUM(J42:J53)</f>
        <v>702</v>
      </c>
      <c r="K41" s="482">
        <f t="shared" si="47"/>
        <v>3159</v>
      </c>
      <c r="L41" s="482">
        <f t="shared" si="47"/>
        <v>3159</v>
      </c>
      <c r="M41" s="482">
        <f t="shared" si="47"/>
        <v>0</v>
      </c>
      <c r="N41" s="481">
        <f t="shared" si="47"/>
        <v>0</v>
      </c>
      <c r="O41" s="508"/>
      <c r="Q41" s="192"/>
      <c r="R41" s="193"/>
      <c r="S41" s="192"/>
      <c r="T41" s="193"/>
      <c r="U41" s="193"/>
      <c r="V41" s="484"/>
      <c r="W41" s="482">
        <f t="shared" ref="W41:AB41" si="48">SUM(W42:W53)</f>
        <v>7128</v>
      </c>
      <c r="X41" s="482">
        <f t="shared" si="48"/>
        <v>792</v>
      </c>
      <c r="Y41" s="482">
        <f t="shared" si="48"/>
        <v>3564</v>
      </c>
      <c r="Z41" s="482">
        <f t="shared" si="48"/>
        <v>3564</v>
      </c>
      <c r="AA41" s="482">
        <f t="shared" si="48"/>
        <v>0</v>
      </c>
      <c r="AB41" s="481">
        <f t="shared" si="48"/>
        <v>0</v>
      </c>
      <c r="AC41" s="508"/>
      <c r="AD41" s="234"/>
      <c r="AE41" s="247" t="s">
        <v>243</v>
      </c>
      <c r="AF41" s="204" t="str">
        <f t="shared" si="14"/>
        <v>Soutenir les capacités des membres des Comité de parents (COPA)/Comités de gestion (COGES) en matière d'éducation à la paix et de gestion/bonne gouvernance dans 40 écoles ciblées et le Genre et la prévention des VBG et AES</v>
      </c>
      <c r="AG41" s="485"/>
      <c r="AH41" s="485"/>
      <c r="AI41" s="482">
        <f t="shared" ref="AI41:AL41" si="49">SUM(AI42:AI53)</f>
        <v>13446</v>
      </c>
      <c r="AJ41" s="482">
        <f t="shared" si="49"/>
        <v>0</v>
      </c>
      <c r="AK41" s="482">
        <f t="shared" si="49"/>
        <v>1494</v>
      </c>
      <c r="AL41" s="482">
        <f t="shared" si="49"/>
        <v>14940</v>
      </c>
      <c r="AM41" s="314">
        <f t="shared" si="4"/>
        <v>6318</v>
      </c>
      <c r="AN41" s="314">
        <f t="shared" si="5"/>
        <v>0</v>
      </c>
      <c r="AO41" s="314">
        <f t="shared" si="6"/>
        <v>7128</v>
      </c>
      <c r="AP41" s="314">
        <f t="shared" si="7"/>
        <v>0</v>
      </c>
    </row>
    <row r="42" spans="1:47" s="169" customFormat="1" x14ac:dyDescent="0.3">
      <c r="A42" s="488"/>
      <c r="B42" s="489" t="s">
        <v>381</v>
      </c>
      <c r="C42" s="489"/>
      <c r="D42" s="490"/>
      <c r="E42" s="491"/>
      <c r="F42" s="492"/>
      <c r="G42" s="493"/>
      <c r="H42" s="493"/>
      <c r="I42" s="494"/>
      <c r="J42" s="495"/>
      <c r="K42" s="495"/>
      <c r="L42" s="495"/>
      <c r="M42" s="495"/>
      <c r="N42" s="494"/>
      <c r="O42" s="496"/>
      <c r="Q42" s="489"/>
      <c r="R42" s="490"/>
      <c r="S42" s="491"/>
      <c r="T42" s="492"/>
      <c r="U42" s="493"/>
      <c r="V42" s="493"/>
      <c r="W42" s="495"/>
      <c r="X42" s="495"/>
      <c r="Y42" s="495"/>
      <c r="Z42" s="495"/>
      <c r="AA42" s="495"/>
      <c r="AB42" s="494"/>
      <c r="AC42" s="498"/>
      <c r="AD42" s="182"/>
      <c r="AE42" s="204"/>
      <c r="AF42" s="204" t="str">
        <f t="shared" si="14"/>
        <v>Établir/revitaliser les COPA/COGES dans 40 écoles</v>
      </c>
      <c r="AG42" s="493"/>
      <c r="AH42" s="493"/>
      <c r="AI42" s="495"/>
      <c r="AJ42" s="495"/>
      <c r="AK42" s="495"/>
      <c r="AL42" s="495"/>
      <c r="AM42" s="317">
        <f t="shared" si="4"/>
        <v>0</v>
      </c>
      <c r="AN42" s="317">
        <f t="shared" si="5"/>
        <v>0</v>
      </c>
      <c r="AO42" s="317">
        <f t="shared" si="6"/>
        <v>0</v>
      </c>
      <c r="AP42" s="317">
        <f t="shared" si="7"/>
        <v>0</v>
      </c>
    </row>
    <row r="43" spans="1:47" s="186" customFormat="1" x14ac:dyDescent="0.3">
      <c r="A43" s="408">
        <v>1</v>
      </c>
      <c r="B43" s="517" t="s">
        <v>382</v>
      </c>
      <c r="C43" s="517" t="s">
        <v>383</v>
      </c>
      <c r="D43" s="501">
        <v>0</v>
      </c>
      <c r="E43" s="411">
        <v>20</v>
      </c>
      <c r="F43" s="412">
        <v>1</v>
      </c>
      <c r="G43" s="503">
        <v>0.9</v>
      </c>
      <c r="H43" s="503">
        <v>0.1</v>
      </c>
      <c r="I43" s="504">
        <f t="shared" ref="I43:I53" si="50">D43*E43*F43*G43</f>
        <v>0</v>
      </c>
      <c r="J43" s="487">
        <f>D43*E43*F43*H43</f>
        <v>0</v>
      </c>
      <c r="K43" s="487">
        <f>I43*50/100</f>
        <v>0</v>
      </c>
      <c r="L43" s="487">
        <f>I43*50/100</f>
        <v>0</v>
      </c>
      <c r="M43" s="487"/>
      <c r="N43" s="504">
        <v>0</v>
      </c>
      <c r="O43" s="518" t="s">
        <v>384</v>
      </c>
      <c r="Q43" s="517" t="s">
        <v>383</v>
      </c>
      <c r="R43" s="501">
        <v>0</v>
      </c>
      <c r="S43" s="411">
        <v>20</v>
      </c>
      <c r="T43" s="411">
        <v>1</v>
      </c>
      <c r="U43" s="503">
        <v>0.9</v>
      </c>
      <c r="V43" s="503">
        <v>0.1</v>
      </c>
      <c r="W43" s="487">
        <f t="shared" ref="W43:W53" si="51">R43*S43*T43*U43</f>
        <v>0</v>
      </c>
      <c r="X43" s="487">
        <f t="shared" ref="X43:X53" si="52">R43*S43*T43*V43</f>
        <v>0</v>
      </c>
      <c r="Y43" s="487">
        <f t="shared" ref="Y43:Y53" si="53">W43</f>
        <v>0</v>
      </c>
      <c r="Z43" s="487"/>
      <c r="AA43" s="487"/>
      <c r="AB43" s="504">
        <v>0</v>
      </c>
      <c r="AC43" s="518" t="s">
        <v>384</v>
      </c>
      <c r="AD43" s="235"/>
      <c r="AE43" s="237">
        <v>1</v>
      </c>
      <c r="AF43" s="204" t="str">
        <f t="shared" si="14"/>
        <v>Réunions avec les COPA/COGES</v>
      </c>
      <c r="AG43" s="486"/>
      <c r="AH43" s="486"/>
      <c r="AI43" s="487">
        <f>I43+W43</f>
        <v>0</v>
      </c>
      <c r="AJ43" s="487">
        <f>N43+AB43</f>
        <v>0</v>
      </c>
      <c r="AK43" s="487">
        <f>J43+X43</f>
        <v>0</v>
      </c>
      <c r="AL43" s="487">
        <f t="shared" si="18"/>
        <v>0</v>
      </c>
      <c r="AM43" s="316">
        <f t="shared" si="4"/>
        <v>0</v>
      </c>
      <c r="AN43" s="316">
        <f t="shared" si="5"/>
        <v>0</v>
      </c>
      <c r="AO43" s="316">
        <f t="shared" si="6"/>
        <v>0</v>
      </c>
      <c r="AP43" s="316">
        <f t="shared" si="7"/>
        <v>0</v>
      </c>
      <c r="AQ43" s="186" t="s">
        <v>350</v>
      </c>
      <c r="AR43" s="168" t="s">
        <v>349</v>
      </c>
    </row>
    <row r="44" spans="1:47" s="186" customFormat="1" ht="13.5" customHeight="1" x14ac:dyDescent="0.3">
      <c r="A44" s="488"/>
      <c r="B44" s="489" t="s">
        <v>385</v>
      </c>
      <c r="C44" s="489"/>
      <c r="D44" s="490"/>
      <c r="E44" s="491"/>
      <c r="F44" s="492"/>
      <c r="G44" s="493"/>
      <c r="H44" s="493"/>
      <c r="I44" s="494"/>
      <c r="J44" s="495"/>
      <c r="K44" s="495"/>
      <c r="L44" s="495"/>
      <c r="M44" s="495"/>
      <c r="N44" s="494"/>
      <c r="O44" s="496"/>
      <c r="P44" s="169"/>
      <c r="Q44" s="489"/>
      <c r="R44" s="490"/>
      <c r="S44" s="491"/>
      <c r="T44" s="492"/>
      <c r="U44" s="493"/>
      <c r="V44" s="493"/>
      <c r="W44" s="495"/>
      <c r="X44" s="495"/>
      <c r="Y44" s="495"/>
      <c r="Z44" s="495"/>
      <c r="AA44" s="495"/>
      <c r="AB44" s="494"/>
      <c r="AC44" s="498"/>
      <c r="AD44" s="182"/>
      <c r="AE44" s="204"/>
      <c r="AF44" s="204" t="str">
        <f t="shared" si="14"/>
        <v>Former les membres des COPA/COGES sur l'éducation à la paix, la gestion et la bonne gouvernance</v>
      </c>
      <c r="AG44" s="493"/>
      <c r="AH44" s="493"/>
      <c r="AI44" s="495"/>
      <c r="AJ44" s="495"/>
      <c r="AK44" s="495"/>
      <c r="AL44" s="495"/>
      <c r="AM44" s="317">
        <f t="shared" si="4"/>
        <v>0</v>
      </c>
      <c r="AN44" s="317">
        <f t="shared" si="5"/>
        <v>0</v>
      </c>
      <c r="AO44" s="317">
        <f t="shared" si="6"/>
        <v>0</v>
      </c>
      <c r="AP44" s="317">
        <f t="shared" si="7"/>
        <v>0</v>
      </c>
    </row>
    <row r="45" spans="1:47" s="186" customFormat="1" ht="52" x14ac:dyDescent="0.3">
      <c r="A45" s="408">
        <v>2</v>
      </c>
      <c r="B45" s="409" t="s">
        <v>386</v>
      </c>
      <c r="C45" s="409" t="s">
        <v>387</v>
      </c>
      <c r="D45" s="511">
        <v>50</v>
      </c>
      <c r="E45" s="411">
        <v>9</v>
      </c>
      <c r="F45" s="412">
        <v>2</v>
      </c>
      <c r="G45" s="503">
        <v>0.9</v>
      </c>
      <c r="H45" s="503">
        <v>0.1</v>
      </c>
      <c r="I45" s="504">
        <f t="shared" si="50"/>
        <v>810</v>
      </c>
      <c r="J45" s="487">
        <f>D45*E45*F45*H45</f>
        <v>90</v>
      </c>
      <c r="K45" s="487">
        <f>I45*50/100</f>
        <v>405</v>
      </c>
      <c r="L45" s="487">
        <f>I45*50/100</f>
        <v>405</v>
      </c>
      <c r="M45" s="487"/>
      <c r="N45" s="416">
        <v>0</v>
      </c>
      <c r="O45" s="417" t="s">
        <v>388</v>
      </c>
      <c r="Q45" s="409" t="s">
        <v>387</v>
      </c>
      <c r="R45" s="501">
        <v>50</v>
      </c>
      <c r="S45" s="411">
        <v>9</v>
      </c>
      <c r="T45" s="411">
        <v>2</v>
      </c>
      <c r="U45" s="503">
        <v>0.9</v>
      </c>
      <c r="V45" s="503">
        <v>0.1</v>
      </c>
      <c r="W45" s="487">
        <f t="shared" si="51"/>
        <v>810</v>
      </c>
      <c r="X45" s="487">
        <f t="shared" si="52"/>
        <v>90</v>
      </c>
      <c r="Y45" s="513">
        <f>W45*50/100</f>
        <v>405</v>
      </c>
      <c r="Z45" s="513">
        <f>W45*50/100</f>
        <v>405</v>
      </c>
      <c r="AA45" s="487"/>
      <c r="AB45" s="416">
        <v>0</v>
      </c>
      <c r="AC45" s="417" t="s">
        <v>388</v>
      </c>
      <c r="AD45" s="227"/>
      <c r="AE45" s="241">
        <v>2</v>
      </c>
      <c r="AF45" s="204" t="str">
        <f t="shared" si="14"/>
        <v>Lieux de formation (par lots en raison des règles COVID-19) pendant 2 jours (frais de contribution pour l'utilisation des salles de classe)</v>
      </c>
      <c r="AG45" s="486">
        <f>AI45/($AI45+$AK45)</f>
        <v>0.9</v>
      </c>
      <c r="AH45" s="486">
        <f>AK45/($AI45+$AK45)</f>
        <v>0.1</v>
      </c>
      <c r="AI45" s="487">
        <f>I45+W45</f>
        <v>1620</v>
      </c>
      <c r="AJ45" s="487">
        <f>N45+AB45</f>
        <v>0</v>
      </c>
      <c r="AK45" s="487">
        <f>J45+X45</f>
        <v>180</v>
      </c>
      <c r="AL45" s="487">
        <f t="shared" si="18"/>
        <v>1800</v>
      </c>
      <c r="AM45" s="316">
        <f t="shared" si="4"/>
        <v>810</v>
      </c>
      <c r="AN45" s="316">
        <f t="shared" si="5"/>
        <v>0</v>
      </c>
      <c r="AO45" s="316">
        <f t="shared" si="6"/>
        <v>810</v>
      </c>
      <c r="AP45" s="316">
        <f t="shared" si="7"/>
        <v>0</v>
      </c>
      <c r="AQ45" s="186" t="s">
        <v>350</v>
      </c>
      <c r="AR45" s="168" t="s">
        <v>349</v>
      </c>
      <c r="AT45" s="284" t="s">
        <v>794</v>
      </c>
      <c r="AU45" s="186" t="s">
        <v>795</v>
      </c>
    </row>
    <row r="46" spans="1:47" s="186" customFormat="1" x14ac:dyDescent="0.3">
      <c r="A46" s="408">
        <v>3</v>
      </c>
      <c r="B46" s="409" t="s">
        <v>389</v>
      </c>
      <c r="C46" s="409" t="s">
        <v>355</v>
      </c>
      <c r="D46" s="501">
        <v>2</v>
      </c>
      <c r="E46" s="411">
        <v>180</v>
      </c>
      <c r="F46" s="412">
        <v>2</v>
      </c>
      <c r="G46" s="503">
        <v>0.9</v>
      </c>
      <c r="H46" s="503">
        <v>0.1</v>
      </c>
      <c r="I46" s="504">
        <f t="shared" si="50"/>
        <v>648</v>
      </c>
      <c r="J46" s="487">
        <f>D46*E46*F46*H46</f>
        <v>72</v>
      </c>
      <c r="K46" s="487">
        <f>I46*50/100</f>
        <v>324</v>
      </c>
      <c r="L46" s="487">
        <f>I46*50/100</f>
        <v>324</v>
      </c>
      <c r="M46" s="487"/>
      <c r="N46" s="416">
        <v>0</v>
      </c>
      <c r="O46" s="417" t="s">
        <v>796</v>
      </c>
      <c r="Q46" s="409" t="s">
        <v>355</v>
      </c>
      <c r="R46" s="501">
        <v>2</v>
      </c>
      <c r="S46" s="411">
        <v>180</v>
      </c>
      <c r="T46" s="411">
        <v>2</v>
      </c>
      <c r="U46" s="503">
        <v>0.9</v>
      </c>
      <c r="V46" s="503">
        <v>0.1</v>
      </c>
      <c r="W46" s="487">
        <f t="shared" si="51"/>
        <v>648</v>
      </c>
      <c r="X46" s="487">
        <f t="shared" si="52"/>
        <v>72</v>
      </c>
      <c r="Y46" s="513">
        <f t="shared" ref="Y46:Y49" si="54">W46*50/100</f>
        <v>324</v>
      </c>
      <c r="Z46" s="513">
        <f t="shared" ref="Z46:Z49" si="55">W46*50/100</f>
        <v>324</v>
      </c>
      <c r="AA46" s="487"/>
      <c r="AB46" s="416">
        <v>0</v>
      </c>
      <c r="AC46" s="417" t="s">
        <v>796</v>
      </c>
      <c r="AD46" s="227"/>
      <c r="AE46" s="241">
        <v>3</v>
      </c>
      <c r="AF46" s="204" t="str">
        <f t="shared" si="14"/>
        <v>Pause Café</v>
      </c>
      <c r="AG46" s="486">
        <f>AI46/($AI46+$AK46)</f>
        <v>0.9</v>
      </c>
      <c r="AH46" s="486">
        <f>AK46/($AI46+$AK46)</f>
        <v>0.1</v>
      </c>
      <c r="AI46" s="487">
        <f>I46+W46</f>
        <v>1296</v>
      </c>
      <c r="AJ46" s="487">
        <f>N46+AB46</f>
        <v>0</v>
      </c>
      <c r="AK46" s="487">
        <f>J46+X46</f>
        <v>144</v>
      </c>
      <c r="AL46" s="487">
        <f t="shared" si="18"/>
        <v>1440</v>
      </c>
      <c r="AM46" s="316">
        <f t="shared" si="4"/>
        <v>648</v>
      </c>
      <c r="AN46" s="316">
        <f t="shared" si="5"/>
        <v>0</v>
      </c>
      <c r="AO46" s="316">
        <f t="shared" si="6"/>
        <v>648</v>
      </c>
      <c r="AP46" s="316">
        <f t="shared" si="7"/>
        <v>0</v>
      </c>
      <c r="AQ46" s="186" t="s">
        <v>350</v>
      </c>
      <c r="AR46" s="168" t="s">
        <v>349</v>
      </c>
    </row>
    <row r="47" spans="1:47" s="186" customFormat="1" x14ac:dyDescent="0.3">
      <c r="A47" s="408">
        <v>4</v>
      </c>
      <c r="B47" s="409" t="s">
        <v>390</v>
      </c>
      <c r="C47" s="409" t="s">
        <v>355</v>
      </c>
      <c r="D47" s="520">
        <v>2.5</v>
      </c>
      <c r="E47" s="411">
        <v>180</v>
      </c>
      <c r="F47" s="412">
        <v>2</v>
      </c>
      <c r="G47" s="503">
        <v>0.9</v>
      </c>
      <c r="H47" s="503">
        <v>0.1</v>
      </c>
      <c r="I47" s="504">
        <f t="shared" si="50"/>
        <v>810</v>
      </c>
      <c r="J47" s="487">
        <f>D47*E47*F47*H47</f>
        <v>90</v>
      </c>
      <c r="K47" s="487">
        <f>I47*50/100</f>
        <v>405</v>
      </c>
      <c r="L47" s="487">
        <f>I47*50/100</f>
        <v>405</v>
      </c>
      <c r="M47" s="487"/>
      <c r="N47" s="416">
        <v>0</v>
      </c>
      <c r="O47" s="417" t="s">
        <v>796</v>
      </c>
      <c r="Q47" s="409" t="s">
        <v>355</v>
      </c>
      <c r="R47" s="520">
        <v>2.5</v>
      </c>
      <c r="S47" s="411">
        <v>180</v>
      </c>
      <c r="T47" s="411">
        <v>2</v>
      </c>
      <c r="U47" s="503">
        <v>0.9</v>
      </c>
      <c r="V47" s="503">
        <v>0.1</v>
      </c>
      <c r="W47" s="487">
        <f t="shared" si="51"/>
        <v>810</v>
      </c>
      <c r="X47" s="487">
        <f t="shared" si="52"/>
        <v>90</v>
      </c>
      <c r="Y47" s="513">
        <f t="shared" si="54"/>
        <v>405</v>
      </c>
      <c r="Z47" s="513">
        <f t="shared" si="55"/>
        <v>405</v>
      </c>
      <c r="AA47" s="487"/>
      <c r="AB47" s="416">
        <v>0</v>
      </c>
      <c r="AC47" s="417" t="s">
        <v>796</v>
      </c>
      <c r="AD47" s="227"/>
      <c r="AE47" s="241">
        <v>4</v>
      </c>
      <c r="AF47" s="204" t="str">
        <f t="shared" si="14"/>
        <v>Repas pour participants</v>
      </c>
      <c r="AG47" s="486">
        <f>AI47/($AI47+$AK47)</f>
        <v>0.9</v>
      </c>
      <c r="AH47" s="486">
        <f>AK47/($AI47+$AK47)</f>
        <v>0.1</v>
      </c>
      <c r="AI47" s="487">
        <f>I47+W47</f>
        <v>1620</v>
      </c>
      <c r="AJ47" s="487">
        <f>N47+AB47</f>
        <v>0</v>
      </c>
      <c r="AK47" s="487">
        <f>J47+X47</f>
        <v>180</v>
      </c>
      <c r="AL47" s="487">
        <f t="shared" si="18"/>
        <v>1800</v>
      </c>
      <c r="AM47" s="316">
        <f t="shared" si="4"/>
        <v>810</v>
      </c>
      <c r="AN47" s="316">
        <f t="shared" si="5"/>
        <v>0</v>
      </c>
      <c r="AO47" s="316">
        <f t="shared" si="6"/>
        <v>810</v>
      </c>
      <c r="AP47" s="316">
        <f t="shared" si="7"/>
        <v>0</v>
      </c>
      <c r="AQ47" s="186" t="s">
        <v>350</v>
      </c>
      <c r="AR47" s="168" t="s">
        <v>349</v>
      </c>
    </row>
    <row r="48" spans="1:47" s="186" customFormat="1" x14ac:dyDescent="0.3">
      <c r="A48" s="408">
        <v>5</v>
      </c>
      <c r="B48" s="409" t="s">
        <v>391</v>
      </c>
      <c r="C48" s="409" t="s">
        <v>355</v>
      </c>
      <c r="D48" s="501">
        <v>5</v>
      </c>
      <c r="E48" s="411">
        <v>180</v>
      </c>
      <c r="F48" s="412">
        <v>2</v>
      </c>
      <c r="G48" s="503">
        <v>0.9</v>
      </c>
      <c r="H48" s="503">
        <v>0.1</v>
      </c>
      <c r="I48" s="504">
        <f t="shared" si="50"/>
        <v>1620</v>
      </c>
      <c r="J48" s="487">
        <f>D48*E48*F48*H48</f>
        <v>180</v>
      </c>
      <c r="K48" s="487">
        <f>I48*50/100</f>
        <v>810</v>
      </c>
      <c r="L48" s="487">
        <f>I48*50/100</f>
        <v>810</v>
      </c>
      <c r="M48" s="487"/>
      <c r="N48" s="416">
        <v>0</v>
      </c>
      <c r="O48" s="417" t="s">
        <v>354</v>
      </c>
      <c r="Q48" s="409" t="s">
        <v>355</v>
      </c>
      <c r="R48" s="501">
        <v>5</v>
      </c>
      <c r="S48" s="411">
        <v>180</v>
      </c>
      <c r="T48" s="411">
        <v>2</v>
      </c>
      <c r="U48" s="503">
        <v>0.9</v>
      </c>
      <c r="V48" s="503">
        <v>0.1</v>
      </c>
      <c r="W48" s="487">
        <f t="shared" si="51"/>
        <v>1620</v>
      </c>
      <c r="X48" s="487">
        <f t="shared" si="52"/>
        <v>180</v>
      </c>
      <c r="Y48" s="513">
        <f t="shared" si="54"/>
        <v>810</v>
      </c>
      <c r="Z48" s="513">
        <f t="shared" si="55"/>
        <v>810</v>
      </c>
      <c r="AA48" s="487"/>
      <c r="AB48" s="416">
        <v>0</v>
      </c>
      <c r="AC48" s="417" t="s">
        <v>354</v>
      </c>
      <c r="AD48" s="227"/>
      <c r="AE48" s="241">
        <v>5</v>
      </c>
      <c r="AF48" s="204" t="str">
        <f t="shared" si="14"/>
        <v xml:space="preserve">Matériel de formation pour les participants </v>
      </c>
      <c r="AG48" s="486">
        <f>AI48/($AI48+$AK48)</f>
        <v>0.9</v>
      </c>
      <c r="AH48" s="486">
        <f>AK48/($AI48+$AK48)</f>
        <v>0.1</v>
      </c>
      <c r="AI48" s="487">
        <f>I48+W48</f>
        <v>3240</v>
      </c>
      <c r="AJ48" s="487">
        <f>N48+AB48</f>
        <v>0</v>
      </c>
      <c r="AK48" s="487">
        <f>J48+X48</f>
        <v>360</v>
      </c>
      <c r="AL48" s="487">
        <f t="shared" si="18"/>
        <v>3600</v>
      </c>
      <c r="AM48" s="316">
        <f t="shared" si="4"/>
        <v>1620</v>
      </c>
      <c r="AN48" s="316">
        <f t="shared" si="5"/>
        <v>0</v>
      </c>
      <c r="AO48" s="316">
        <f t="shared" si="6"/>
        <v>1620</v>
      </c>
      <c r="AP48" s="316">
        <f t="shared" si="7"/>
        <v>0</v>
      </c>
      <c r="AQ48" s="186" t="s">
        <v>350</v>
      </c>
      <c r="AR48" s="168" t="s">
        <v>349</v>
      </c>
    </row>
    <row r="49" spans="1:47" s="186" customFormat="1" x14ac:dyDescent="0.3">
      <c r="A49" s="408">
        <v>6</v>
      </c>
      <c r="B49" s="409" t="s">
        <v>392</v>
      </c>
      <c r="C49" s="409" t="s">
        <v>352</v>
      </c>
      <c r="D49" s="501">
        <v>5</v>
      </c>
      <c r="E49" s="411">
        <v>180</v>
      </c>
      <c r="F49" s="412">
        <v>2</v>
      </c>
      <c r="G49" s="503">
        <v>0.9</v>
      </c>
      <c r="H49" s="503">
        <v>0.1</v>
      </c>
      <c r="I49" s="504">
        <f t="shared" si="50"/>
        <v>1620</v>
      </c>
      <c r="J49" s="487">
        <f>D49*E49*F49*H49</f>
        <v>180</v>
      </c>
      <c r="K49" s="487">
        <f>I49*50/100</f>
        <v>810</v>
      </c>
      <c r="L49" s="487">
        <f>I49*50/100</f>
        <v>810</v>
      </c>
      <c r="M49" s="487"/>
      <c r="N49" s="416">
        <v>0</v>
      </c>
      <c r="O49" s="417" t="s">
        <v>796</v>
      </c>
      <c r="Q49" s="409" t="s">
        <v>352</v>
      </c>
      <c r="R49" s="501">
        <v>5</v>
      </c>
      <c r="S49" s="411">
        <v>180</v>
      </c>
      <c r="T49" s="411">
        <v>2</v>
      </c>
      <c r="U49" s="503">
        <v>0.9</v>
      </c>
      <c r="V49" s="503">
        <v>0.1</v>
      </c>
      <c r="W49" s="487">
        <f t="shared" si="51"/>
        <v>1620</v>
      </c>
      <c r="X49" s="487">
        <f t="shared" si="52"/>
        <v>180</v>
      </c>
      <c r="Y49" s="513">
        <f t="shared" si="54"/>
        <v>810</v>
      </c>
      <c r="Z49" s="513">
        <f t="shared" si="55"/>
        <v>810</v>
      </c>
      <c r="AA49" s="487"/>
      <c r="AB49" s="416">
        <v>0</v>
      </c>
      <c r="AC49" s="417" t="s">
        <v>796</v>
      </c>
      <c r="AD49" s="227"/>
      <c r="AE49" s="241">
        <v>6</v>
      </c>
      <c r="AF49" s="204" t="str">
        <f t="shared" si="14"/>
        <v xml:space="preserve">Frais de transport des participants </v>
      </c>
      <c r="AG49" s="486">
        <f>AI49/($AI49+$AK49)</f>
        <v>0.9</v>
      </c>
      <c r="AH49" s="486">
        <f>AK49/($AI49+$AK49)</f>
        <v>0.1</v>
      </c>
      <c r="AI49" s="487">
        <f>I49+W49</f>
        <v>3240</v>
      </c>
      <c r="AJ49" s="487">
        <f>N49+AB49</f>
        <v>0</v>
      </c>
      <c r="AK49" s="487">
        <f>J49+X49</f>
        <v>360</v>
      </c>
      <c r="AL49" s="487">
        <f t="shared" si="18"/>
        <v>3600</v>
      </c>
      <c r="AM49" s="316">
        <f t="shared" si="4"/>
        <v>1620</v>
      </c>
      <c r="AN49" s="316">
        <f t="shared" si="5"/>
        <v>0</v>
      </c>
      <c r="AO49" s="316">
        <f t="shared" si="6"/>
        <v>1620</v>
      </c>
      <c r="AP49" s="316">
        <f t="shared" si="7"/>
        <v>0</v>
      </c>
      <c r="AQ49" s="186" t="s">
        <v>350</v>
      </c>
      <c r="AR49" s="168" t="s">
        <v>349</v>
      </c>
    </row>
    <row r="50" spans="1:47" s="169" customFormat="1" x14ac:dyDescent="0.3">
      <c r="A50" s="488"/>
      <c r="B50" s="489" t="s">
        <v>393</v>
      </c>
      <c r="C50" s="489"/>
      <c r="D50" s="490"/>
      <c r="E50" s="491"/>
      <c r="F50" s="492"/>
      <c r="G50" s="493"/>
      <c r="H50" s="493"/>
      <c r="I50" s="494"/>
      <c r="J50" s="495"/>
      <c r="K50" s="495"/>
      <c r="L50" s="495"/>
      <c r="M50" s="495"/>
      <c r="N50" s="494"/>
      <c r="O50" s="496"/>
      <c r="Q50" s="489"/>
      <c r="R50" s="490"/>
      <c r="S50" s="491"/>
      <c r="T50" s="492"/>
      <c r="U50" s="493"/>
      <c r="V50" s="493"/>
      <c r="W50" s="495"/>
      <c r="X50" s="495"/>
      <c r="Y50" s="495"/>
      <c r="Z50" s="495"/>
      <c r="AA50" s="495"/>
      <c r="AB50" s="494"/>
      <c r="AC50" s="498"/>
      <c r="AD50" s="182"/>
      <c r="AE50" s="204"/>
      <c r="AF50" s="204" t="str">
        <f t="shared" si="14"/>
        <v>Fournir aux COPA/COGES de 40 écoles des modules sur la paix</v>
      </c>
      <c r="AG50" s="493"/>
      <c r="AH50" s="493"/>
      <c r="AI50" s="495"/>
      <c r="AJ50" s="495"/>
      <c r="AK50" s="495"/>
      <c r="AL50" s="495"/>
      <c r="AM50" s="317">
        <f t="shared" si="4"/>
        <v>0</v>
      </c>
      <c r="AN50" s="317">
        <f t="shared" si="5"/>
        <v>0</v>
      </c>
      <c r="AO50" s="317">
        <f t="shared" si="6"/>
        <v>0</v>
      </c>
      <c r="AP50" s="317">
        <f t="shared" si="7"/>
        <v>0</v>
      </c>
    </row>
    <row r="51" spans="1:47" s="186" customFormat="1" x14ac:dyDescent="0.3">
      <c r="A51" s="408">
        <v>7</v>
      </c>
      <c r="B51" s="409" t="s">
        <v>394</v>
      </c>
      <c r="C51" s="409" t="s">
        <v>355</v>
      </c>
      <c r="D51" s="501">
        <v>5</v>
      </c>
      <c r="E51" s="411">
        <v>180</v>
      </c>
      <c r="F51" s="412">
        <v>1</v>
      </c>
      <c r="G51" s="503">
        <v>0.9</v>
      </c>
      <c r="H51" s="503">
        <v>0.1</v>
      </c>
      <c r="I51" s="504">
        <f t="shared" si="50"/>
        <v>810</v>
      </c>
      <c r="J51" s="487">
        <f>D51*E51*F51*H51</f>
        <v>90</v>
      </c>
      <c r="K51" s="487">
        <f>I51*50/100</f>
        <v>405</v>
      </c>
      <c r="L51" s="487">
        <f>I51*50/100</f>
        <v>405</v>
      </c>
      <c r="M51" s="487"/>
      <c r="N51" s="416">
        <v>0</v>
      </c>
      <c r="O51" s="417" t="s">
        <v>797</v>
      </c>
      <c r="Q51" s="409" t="s">
        <v>355</v>
      </c>
      <c r="R51" s="501">
        <v>5</v>
      </c>
      <c r="S51" s="411">
        <v>180</v>
      </c>
      <c r="T51" s="411">
        <v>2</v>
      </c>
      <c r="U51" s="503">
        <v>0.9</v>
      </c>
      <c r="V51" s="503">
        <v>0.1</v>
      </c>
      <c r="W51" s="487">
        <f t="shared" si="51"/>
        <v>1620</v>
      </c>
      <c r="X51" s="487">
        <f t="shared" si="52"/>
        <v>180</v>
      </c>
      <c r="Y51" s="513">
        <f t="shared" ref="Y51" si="56">W51*50/100</f>
        <v>810</v>
      </c>
      <c r="Z51" s="513">
        <f t="shared" ref="Z51" si="57">W51*50/100</f>
        <v>810</v>
      </c>
      <c r="AA51" s="487"/>
      <c r="AB51" s="416">
        <v>0</v>
      </c>
      <c r="AC51" s="417" t="s">
        <v>797</v>
      </c>
      <c r="AD51" s="227"/>
      <c r="AE51" s="241">
        <v>7</v>
      </c>
      <c r="AF51" s="204" t="str">
        <f t="shared" si="14"/>
        <v xml:space="preserve">Impression des modules d'éducation à la paix </v>
      </c>
      <c r="AG51" s="486">
        <f>AI51/($AI51+$AK51)</f>
        <v>0.9</v>
      </c>
      <c r="AH51" s="486">
        <f>AK51/($AI51+$AK51)</f>
        <v>0.1</v>
      </c>
      <c r="AI51" s="487">
        <f>I51+W51</f>
        <v>2430</v>
      </c>
      <c r="AJ51" s="487">
        <f>N51+AB51</f>
        <v>0</v>
      </c>
      <c r="AK51" s="487">
        <f>J51+X51</f>
        <v>270</v>
      </c>
      <c r="AL51" s="487">
        <f t="shared" si="18"/>
        <v>2700</v>
      </c>
      <c r="AM51" s="316">
        <f t="shared" si="4"/>
        <v>810</v>
      </c>
      <c r="AN51" s="316">
        <f t="shared" si="5"/>
        <v>0</v>
      </c>
      <c r="AO51" s="316">
        <f t="shared" si="6"/>
        <v>1620</v>
      </c>
      <c r="AP51" s="316">
        <f t="shared" si="7"/>
        <v>0</v>
      </c>
      <c r="AQ51" s="186" t="s">
        <v>350</v>
      </c>
      <c r="AR51" s="168" t="s">
        <v>349</v>
      </c>
    </row>
    <row r="52" spans="1:47" s="186" customFormat="1" x14ac:dyDescent="0.3">
      <c r="A52" s="488"/>
      <c r="B52" s="489" t="s">
        <v>395</v>
      </c>
      <c r="C52" s="489"/>
      <c r="D52" s="490"/>
      <c r="E52" s="491"/>
      <c r="F52" s="492"/>
      <c r="G52" s="493"/>
      <c r="H52" s="493"/>
      <c r="I52" s="494"/>
      <c r="J52" s="495"/>
      <c r="K52" s="495"/>
      <c r="L52" s="495"/>
      <c r="M52" s="495"/>
      <c r="N52" s="494"/>
      <c r="O52" s="496"/>
      <c r="P52" s="169"/>
      <c r="Q52" s="489"/>
      <c r="R52" s="490"/>
      <c r="S52" s="491"/>
      <c r="T52" s="492"/>
      <c r="U52" s="493"/>
      <c r="V52" s="493"/>
      <c r="W52" s="495"/>
      <c r="X52" s="495"/>
      <c r="Y52" s="495"/>
      <c r="Z52" s="495"/>
      <c r="AA52" s="495"/>
      <c r="AB52" s="494"/>
      <c r="AC52" s="498"/>
      <c r="AD52" s="182"/>
      <c r="AE52" s="204"/>
      <c r="AF52" s="204" t="str">
        <f t="shared" si="14"/>
        <v>Soutenir les activités des COPA/COGES en matière d'éducation à la paix</v>
      </c>
      <c r="AG52" s="493"/>
      <c r="AH52" s="493"/>
      <c r="AI52" s="495"/>
      <c r="AJ52" s="495"/>
      <c r="AK52" s="495"/>
      <c r="AL52" s="495"/>
      <c r="AM52" s="317">
        <f t="shared" si="4"/>
        <v>0</v>
      </c>
      <c r="AN52" s="317">
        <f t="shared" si="5"/>
        <v>0</v>
      </c>
      <c r="AO52" s="317">
        <f t="shared" si="6"/>
        <v>0</v>
      </c>
      <c r="AP52" s="317">
        <f t="shared" si="7"/>
        <v>0</v>
      </c>
    </row>
    <row r="53" spans="1:47" s="186" customFormat="1" x14ac:dyDescent="0.3">
      <c r="A53" s="408">
        <v>8</v>
      </c>
      <c r="B53" s="409" t="s">
        <v>396</v>
      </c>
      <c r="C53" s="409" t="s">
        <v>383</v>
      </c>
      <c r="D53" s="501">
        <v>0</v>
      </c>
      <c r="E53" s="411">
        <v>10</v>
      </c>
      <c r="F53" s="412">
        <v>20</v>
      </c>
      <c r="G53" s="503">
        <v>0.9</v>
      </c>
      <c r="H53" s="503">
        <v>0.1</v>
      </c>
      <c r="I53" s="504">
        <f t="shared" si="50"/>
        <v>0</v>
      </c>
      <c r="J53" s="487">
        <f>D53*E53*F53*H53</f>
        <v>0</v>
      </c>
      <c r="K53" s="487">
        <f>I53</f>
        <v>0</v>
      </c>
      <c r="L53" s="487"/>
      <c r="M53" s="487"/>
      <c r="N53" s="416">
        <v>0</v>
      </c>
      <c r="O53" s="417" t="s">
        <v>397</v>
      </c>
      <c r="Q53" s="409" t="s">
        <v>383</v>
      </c>
      <c r="R53" s="501"/>
      <c r="S53" s="411">
        <v>10</v>
      </c>
      <c r="T53" s="411">
        <v>20</v>
      </c>
      <c r="U53" s="503">
        <v>0.9</v>
      </c>
      <c r="V53" s="503">
        <v>0.1</v>
      </c>
      <c r="W53" s="487">
        <f t="shared" si="51"/>
        <v>0</v>
      </c>
      <c r="X53" s="487">
        <f t="shared" si="52"/>
        <v>0</v>
      </c>
      <c r="Y53" s="487">
        <f t="shared" si="53"/>
        <v>0</v>
      </c>
      <c r="Z53" s="487"/>
      <c r="AA53" s="487"/>
      <c r="AB53" s="416">
        <v>0</v>
      </c>
      <c r="AC53" s="417" t="s">
        <v>397</v>
      </c>
      <c r="AD53" s="227"/>
      <c r="AE53" s="241">
        <v>8</v>
      </c>
      <c r="AF53" s="204" t="str">
        <f t="shared" si="14"/>
        <v>Organiser des réunions mensuelles avec les COPA/COGES sur l'éducation à la paix</v>
      </c>
      <c r="AG53" s="486"/>
      <c r="AH53" s="486"/>
      <c r="AI53" s="487">
        <f>I53+W53</f>
        <v>0</v>
      </c>
      <c r="AJ53" s="487">
        <f>N53+AB53</f>
        <v>0</v>
      </c>
      <c r="AK53" s="487">
        <f>J53+X53</f>
        <v>0</v>
      </c>
      <c r="AL53" s="487">
        <f t="shared" si="18"/>
        <v>0</v>
      </c>
      <c r="AM53" s="316">
        <f t="shared" si="4"/>
        <v>0</v>
      </c>
      <c r="AN53" s="316">
        <f t="shared" si="5"/>
        <v>0</v>
      </c>
      <c r="AO53" s="316">
        <f t="shared" si="6"/>
        <v>0</v>
      </c>
      <c r="AP53" s="316">
        <f t="shared" si="7"/>
        <v>0</v>
      </c>
      <c r="AQ53" s="186" t="s">
        <v>350</v>
      </c>
      <c r="AR53" s="168" t="s">
        <v>349</v>
      </c>
    </row>
    <row r="54" spans="1:47" s="169" customFormat="1" x14ac:dyDescent="0.3">
      <c r="A54" s="480" t="s">
        <v>244</v>
      </c>
      <c r="B54" s="861" t="s">
        <v>400</v>
      </c>
      <c r="C54" s="862"/>
      <c r="D54" s="862"/>
      <c r="E54" s="862"/>
      <c r="F54" s="862"/>
      <c r="G54" s="862"/>
      <c r="H54" s="863"/>
      <c r="I54" s="481">
        <f>SUM(I55:I57)</f>
        <v>75240</v>
      </c>
      <c r="J54" s="482">
        <f t="shared" ref="J54:N54" si="58">SUM(J55:J57)</f>
        <v>88560</v>
      </c>
      <c r="K54" s="482">
        <f t="shared" si="58"/>
        <v>27359.999999999996</v>
      </c>
      <c r="L54" s="482">
        <f t="shared" si="58"/>
        <v>27359.999999999996</v>
      </c>
      <c r="M54" s="482">
        <f t="shared" si="58"/>
        <v>20520</v>
      </c>
      <c r="N54" s="481">
        <f t="shared" si="58"/>
        <v>0</v>
      </c>
      <c r="O54" s="508"/>
      <c r="P54" s="168"/>
      <c r="Q54" s="192"/>
      <c r="R54" s="193"/>
      <c r="S54" s="192"/>
      <c r="T54" s="193"/>
      <c r="U54" s="193"/>
      <c r="V54" s="484"/>
      <c r="W54" s="482">
        <f t="shared" ref="W54:AB54" si="59">SUM(W55:W57)</f>
        <v>75240</v>
      </c>
      <c r="X54" s="482">
        <f t="shared" si="59"/>
        <v>88560</v>
      </c>
      <c r="Y54" s="482">
        <f t="shared" si="59"/>
        <v>25080</v>
      </c>
      <c r="Z54" s="482">
        <f t="shared" si="59"/>
        <v>25080</v>
      </c>
      <c r="AA54" s="482">
        <f t="shared" si="59"/>
        <v>25080</v>
      </c>
      <c r="AB54" s="481">
        <f t="shared" si="59"/>
        <v>0</v>
      </c>
      <c r="AC54" s="508"/>
      <c r="AD54" s="234"/>
      <c r="AE54" s="247" t="str">
        <f>A54</f>
        <v>1.1.5</v>
      </c>
      <c r="AF54" s="204" t="str">
        <f t="shared" si="14"/>
        <v>Staff Education dans les Ecoles</v>
      </c>
      <c r="AG54" s="485"/>
      <c r="AH54" s="485"/>
      <c r="AI54" s="482">
        <f t="shared" ref="AI54:AL54" si="60">SUM(AI55:AI57)</f>
        <v>150480</v>
      </c>
      <c r="AJ54" s="482">
        <f t="shared" si="60"/>
        <v>0</v>
      </c>
      <c r="AK54" s="482">
        <f t="shared" si="60"/>
        <v>177120</v>
      </c>
      <c r="AL54" s="482">
        <f t="shared" si="60"/>
        <v>327600</v>
      </c>
      <c r="AM54" s="314">
        <f t="shared" si="4"/>
        <v>75240</v>
      </c>
      <c r="AN54" s="314">
        <f t="shared" si="5"/>
        <v>0</v>
      </c>
      <c r="AO54" s="314">
        <f t="shared" si="6"/>
        <v>75240</v>
      </c>
      <c r="AP54" s="314">
        <f t="shared" si="7"/>
        <v>0</v>
      </c>
    </row>
    <row r="55" spans="1:47" s="169" customFormat="1" ht="90" customHeight="1" x14ac:dyDescent="0.3">
      <c r="A55" s="408">
        <v>1</v>
      </c>
      <c r="B55" s="500" t="s">
        <v>798</v>
      </c>
      <c r="C55" s="409" t="s">
        <v>401</v>
      </c>
      <c r="D55" s="563">
        <v>9000</v>
      </c>
      <c r="E55" s="411">
        <v>1</v>
      </c>
      <c r="F55" s="502">
        <v>9</v>
      </c>
      <c r="G55" s="503">
        <f>I55/(I55+J55)</f>
        <v>0.55538888888888893</v>
      </c>
      <c r="H55" s="503">
        <f>J55/(I55+J55)</f>
        <v>0.44461111111111112</v>
      </c>
      <c r="I55" s="416">
        <f>F55*4998.5</f>
        <v>44986.5</v>
      </c>
      <c r="J55" s="506">
        <f>(D55*F55)-I55</f>
        <v>36013.5</v>
      </c>
      <c r="K55" s="505">
        <f>I55*4/11</f>
        <v>16358.727272727272</v>
      </c>
      <c r="L55" s="505">
        <f>I55*4/11</f>
        <v>16358.727272727272</v>
      </c>
      <c r="M55" s="506">
        <f>I55*3/11</f>
        <v>12269.045454545454</v>
      </c>
      <c r="N55" s="416">
        <v>0</v>
      </c>
      <c r="O55" s="617" t="s">
        <v>799</v>
      </c>
      <c r="Q55" s="409" t="s">
        <v>401</v>
      </c>
      <c r="R55" s="563">
        <v>9000</v>
      </c>
      <c r="S55" s="411">
        <v>1</v>
      </c>
      <c r="T55" s="502">
        <v>9</v>
      </c>
      <c r="U55" s="503">
        <f>W55/(W55+X55)</f>
        <v>0.55538888888888893</v>
      </c>
      <c r="V55" s="503">
        <f>X55/(W55+X55)</f>
        <v>0.44461111111111112</v>
      </c>
      <c r="W55" s="506">
        <f>T55*4998.5</f>
        <v>44986.5</v>
      </c>
      <c r="X55" s="506">
        <f>(R55*T55)-W55</f>
        <v>36013.5</v>
      </c>
      <c r="Y55" s="506">
        <f>W55*3/9</f>
        <v>14995.5</v>
      </c>
      <c r="Z55" s="506">
        <f>W55*3/9</f>
        <v>14995.5</v>
      </c>
      <c r="AA55" s="506">
        <f>W55*3/9</f>
        <v>14995.5</v>
      </c>
      <c r="AB55" s="416">
        <v>0</v>
      </c>
      <c r="AC55" s="420" t="s">
        <v>799</v>
      </c>
      <c r="AD55" s="182"/>
      <c r="AE55" s="204">
        <v>9</v>
      </c>
      <c r="AF55" s="204" t="str">
        <f t="shared" si="14"/>
        <v>1 Education Project Manager (100%)</v>
      </c>
      <c r="AG55" s="503">
        <f t="shared" ref="AG55:AG79" si="61">AI55/($AI55+$AK55)</f>
        <v>0.55538888888888893</v>
      </c>
      <c r="AH55" s="503">
        <f t="shared" ref="AH55:AH79" si="62">AK55/($AI55+$AK55)</f>
        <v>0.44461111111111112</v>
      </c>
      <c r="AI55" s="487">
        <f t="shared" ref="AI55:AI71" si="63">I55+W55</f>
        <v>89973</v>
      </c>
      <c r="AJ55" s="487">
        <f t="shared" ref="AJ55:AJ71" si="64">N55+AB55</f>
        <v>0</v>
      </c>
      <c r="AK55" s="487">
        <f t="shared" ref="AK55:AK71" si="65">J55+X55</f>
        <v>72027</v>
      </c>
      <c r="AL55" s="487">
        <f t="shared" si="18"/>
        <v>162000</v>
      </c>
      <c r="AM55" s="316">
        <f t="shared" si="4"/>
        <v>44986.5</v>
      </c>
      <c r="AN55" s="316">
        <f t="shared" si="5"/>
        <v>0</v>
      </c>
      <c r="AO55" s="316">
        <f t="shared" si="6"/>
        <v>44986.5</v>
      </c>
      <c r="AP55" s="316">
        <f t="shared" si="7"/>
        <v>0</v>
      </c>
      <c r="AQ55" s="169" t="s">
        <v>350</v>
      </c>
      <c r="AR55" s="169" t="s">
        <v>349</v>
      </c>
    </row>
    <row r="56" spans="1:47" s="169" customFormat="1" ht="101.25" customHeight="1" x14ac:dyDescent="0.3">
      <c r="A56" s="408">
        <v>2</v>
      </c>
      <c r="B56" s="500" t="s">
        <v>800</v>
      </c>
      <c r="C56" s="409" t="s">
        <v>401</v>
      </c>
      <c r="D56" s="563">
        <v>3000</v>
      </c>
      <c r="E56" s="411">
        <v>2</v>
      </c>
      <c r="F56" s="502">
        <v>9</v>
      </c>
      <c r="G56" s="503">
        <f>I56/(I56+J56)</f>
        <v>0.3735</v>
      </c>
      <c r="H56" s="503">
        <f>J56/(I56+J56)</f>
        <v>0.62649999999999995</v>
      </c>
      <c r="I56" s="416">
        <f>E56*F56*1120.5</f>
        <v>20169</v>
      </c>
      <c r="J56" s="506">
        <f>(D56*E56*F56)-I56</f>
        <v>33831</v>
      </c>
      <c r="K56" s="505">
        <f>I56*4/11</f>
        <v>7334.181818181818</v>
      </c>
      <c r="L56" s="505">
        <f>I56*4/11</f>
        <v>7334.181818181818</v>
      </c>
      <c r="M56" s="506">
        <f>I56*3/11</f>
        <v>5500.636363636364</v>
      </c>
      <c r="N56" s="416">
        <v>0</v>
      </c>
      <c r="O56" s="617" t="s">
        <v>402</v>
      </c>
      <c r="Q56" s="409" t="s">
        <v>401</v>
      </c>
      <c r="R56" s="563">
        <v>3000</v>
      </c>
      <c r="S56" s="411">
        <v>2</v>
      </c>
      <c r="T56" s="502">
        <v>9</v>
      </c>
      <c r="U56" s="503">
        <f>W56/(W56+X56)</f>
        <v>0.3735</v>
      </c>
      <c r="V56" s="503">
        <f>X56/(W56+X56)</f>
        <v>0.62649999999999995</v>
      </c>
      <c r="W56" s="506">
        <f>S56*T56*1120.5</f>
        <v>20169</v>
      </c>
      <c r="X56" s="506">
        <f>(R56*S56*T56)-W56</f>
        <v>33831</v>
      </c>
      <c r="Y56" s="506">
        <f t="shared" ref="Y56:Y57" si="66">W56*3/9</f>
        <v>6723</v>
      </c>
      <c r="Z56" s="506">
        <f t="shared" ref="Z56:Z57" si="67">W56*3/9</f>
        <v>6723</v>
      </c>
      <c r="AA56" s="506">
        <f t="shared" ref="AA56:AA57" si="68">W56*3/9</f>
        <v>6723</v>
      </c>
      <c r="AB56" s="416">
        <v>0</v>
      </c>
      <c r="AC56" s="420" t="s">
        <v>402</v>
      </c>
      <c r="AD56" s="182"/>
      <c r="AE56" s="204">
        <v>10</v>
      </c>
      <c r="AF56" s="204" t="str">
        <f t="shared" si="14"/>
        <v>2 Education Officers (100%)</v>
      </c>
      <c r="AG56" s="503">
        <f t="shared" si="61"/>
        <v>0.3735</v>
      </c>
      <c r="AH56" s="503">
        <f t="shared" si="62"/>
        <v>0.62649999999999995</v>
      </c>
      <c r="AI56" s="487">
        <f t="shared" si="63"/>
        <v>40338</v>
      </c>
      <c r="AJ56" s="487">
        <f t="shared" si="64"/>
        <v>0</v>
      </c>
      <c r="AK56" s="487">
        <f t="shared" si="65"/>
        <v>67662</v>
      </c>
      <c r="AL56" s="487">
        <f t="shared" si="18"/>
        <v>108000</v>
      </c>
      <c r="AM56" s="316">
        <f t="shared" si="4"/>
        <v>20169</v>
      </c>
      <c r="AN56" s="316">
        <f t="shared" si="5"/>
        <v>0</v>
      </c>
      <c r="AO56" s="316">
        <f t="shared" si="6"/>
        <v>20169</v>
      </c>
      <c r="AP56" s="316">
        <f t="shared" si="7"/>
        <v>0</v>
      </c>
      <c r="AQ56" s="169" t="s">
        <v>350</v>
      </c>
      <c r="AR56" s="169" t="s">
        <v>349</v>
      </c>
    </row>
    <row r="57" spans="1:47" s="169" customFormat="1" ht="39" x14ac:dyDescent="0.3">
      <c r="A57" s="408">
        <v>3</v>
      </c>
      <c r="B57" s="500" t="s">
        <v>801</v>
      </c>
      <c r="C57" s="409" t="s">
        <v>401</v>
      </c>
      <c r="D57" s="563">
        <v>3200</v>
      </c>
      <c r="E57" s="411">
        <v>1</v>
      </c>
      <c r="F57" s="502">
        <v>9</v>
      </c>
      <c r="G57" s="503">
        <f>I57/(I57+J57)</f>
        <v>0.35015625</v>
      </c>
      <c r="H57" s="503">
        <f>J57/(I57+J57)</f>
        <v>0.64984375000000005</v>
      </c>
      <c r="I57" s="416">
        <f>E57*F57*1120.5</f>
        <v>10084.5</v>
      </c>
      <c r="J57" s="506">
        <f>(D57*E57*F57)-I57</f>
        <v>18715.5</v>
      </c>
      <c r="K57" s="505">
        <f>I57*4/11</f>
        <v>3667.090909090909</v>
      </c>
      <c r="L57" s="505">
        <f>I57*4/11</f>
        <v>3667.090909090909</v>
      </c>
      <c r="M57" s="506">
        <f>I57*3/11</f>
        <v>2750.318181818182</v>
      </c>
      <c r="N57" s="416">
        <v>0</v>
      </c>
      <c r="O57" s="617" t="s">
        <v>802</v>
      </c>
      <c r="Q57" s="409" t="s">
        <v>401</v>
      </c>
      <c r="R57" s="563">
        <v>3200</v>
      </c>
      <c r="S57" s="411">
        <v>1</v>
      </c>
      <c r="T57" s="502">
        <v>9</v>
      </c>
      <c r="U57" s="503">
        <f>W57/(W57+X57)</f>
        <v>0.35015625</v>
      </c>
      <c r="V57" s="503">
        <f>X57/(W57+X57)</f>
        <v>0.64984375000000005</v>
      </c>
      <c r="W57" s="506">
        <f>S57*T57*1120.5</f>
        <v>10084.5</v>
      </c>
      <c r="X57" s="506">
        <f>(R57*S57*T57)-W57</f>
        <v>18715.5</v>
      </c>
      <c r="Y57" s="506">
        <f t="shared" si="66"/>
        <v>3361.5</v>
      </c>
      <c r="Z57" s="506">
        <f t="shared" si="67"/>
        <v>3361.5</v>
      </c>
      <c r="AA57" s="506">
        <f t="shared" si="68"/>
        <v>3361.5</v>
      </c>
      <c r="AB57" s="416">
        <v>0</v>
      </c>
      <c r="AC57" s="420" t="s">
        <v>802</v>
      </c>
      <c r="AD57" s="182"/>
      <c r="AE57" s="204">
        <v>11</v>
      </c>
      <c r="AF57" s="204" t="str">
        <f t="shared" si="14"/>
        <v>1 Comptable (100%) </v>
      </c>
      <c r="AG57" s="503">
        <f t="shared" si="61"/>
        <v>0.35015625</v>
      </c>
      <c r="AH57" s="503">
        <f t="shared" si="62"/>
        <v>0.64984375000000005</v>
      </c>
      <c r="AI57" s="487">
        <f t="shared" si="63"/>
        <v>20169</v>
      </c>
      <c r="AJ57" s="487">
        <f t="shared" si="64"/>
        <v>0</v>
      </c>
      <c r="AK57" s="487">
        <f t="shared" si="65"/>
        <v>37431</v>
      </c>
      <c r="AL57" s="487">
        <f t="shared" si="18"/>
        <v>57600</v>
      </c>
      <c r="AM57" s="316">
        <f t="shared" si="4"/>
        <v>10084.5</v>
      </c>
      <c r="AN57" s="316">
        <f t="shared" si="5"/>
        <v>0</v>
      </c>
      <c r="AO57" s="316">
        <f t="shared" si="6"/>
        <v>10084.5</v>
      </c>
      <c r="AP57" s="316">
        <f t="shared" si="7"/>
        <v>0</v>
      </c>
      <c r="AQ57" s="169" t="s">
        <v>350</v>
      </c>
      <c r="AR57" s="169" t="s">
        <v>349</v>
      </c>
    </row>
    <row r="58" spans="1:47" ht="18" customHeight="1" x14ac:dyDescent="0.3">
      <c r="A58" s="480" t="s">
        <v>245</v>
      </c>
      <c r="B58" s="861" t="s">
        <v>427</v>
      </c>
      <c r="C58" s="862"/>
      <c r="D58" s="862"/>
      <c r="E58" s="862"/>
      <c r="F58" s="862"/>
      <c r="G58" s="862"/>
      <c r="H58" s="863"/>
      <c r="I58" s="481">
        <f t="shared" ref="I58:N58" si="69">SUM(I59:I60)</f>
        <v>47100</v>
      </c>
      <c r="J58" s="482">
        <f t="shared" si="69"/>
        <v>0</v>
      </c>
      <c r="K58" s="482">
        <f t="shared" si="69"/>
        <v>32970</v>
      </c>
      <c r="L58" s="482">
        <f t="shared" si="69"/>
        <v>9420</v>
      </c>
      <c r="M58" s="482">
        <f t="shared" si="69"/>
        <v>4710</v>
      </c>
      <c r="N58" s="481">
        <f t="shared" si="69"/>
        <v>0</v>
      </c>
      <c r="O58" s="508"/>
      <c r="Q58" s="192"/>
      <c r="R58" s="193"/>
      <c r="S58" s="192"/>
      <c r="T58" s="193"/>
      <c r="U58" s="193"/>
      <c r="V58" s="484"/>
      <c r="W58" s="482">
        <f t="shared" ref="W58:Y58" si="70">SUM(W59:W60)</f>
        <v>31400</v>
      </c>
      <c r="X58" s="482">
        <f t="shared" si="70"/>
        <v>0</v>
      </c>
      <c r="Y58" s="482">
        <f t="shared" si="70"/>
        <v>21980</v>
      </c>
      <c r="Z58" s="482">
        <f t="shared" ref="Z58:AB58" si="71">SUM(Z59:Z60)</f>
        <v>6280</v>
      </c>
      <c r="AA58" s="482">
        <f t="shared" si="71"/>
        <v>3140</v>
      </c>
      <c r="AB58" s="481">
        <f t="shared" si="71"/>
        <v>0</v>
      </c>
      <c r="AC58" s="508"/>
      <c r="AD58" s="234"/>
      <c r="AE58" s="247" t="s">
        <v>245</v>
      </c>
      <c r="AF58" s="204" t="str">
        <f t="shared" si="14"/>
        <v>Assurer l'accès à l'eau potable dans les 25 écoles (branchements aux réseaux d'eaux existant, etc), prenant en compte les besoins spécifiques des femmes et des filles</v>
      </c>
      <c r="AG58" s="485">
        <f t="shared" si="61"/>
        <v>1</v>
      </c>
      <c r="AH58" s="485">
        <f t="shared" si="62"/>
        <v>0</v>
      </c>
      <c r="AI58" s="482">
        <f t="shared" si="63"/>
        <v>78500</v>
      </c>
      <c r="AJ58" s="482">
        <f t="shared" si="64"/>
        <v>0</v>
      </c>
      <c r="AK58" s="482">
        <f t="shared" si="65"/>
        <v>0</v>
      </c>
      <c r="AL58" s="482">
        <f t="shared" si="18"/>
        <v>78500</v>
      </c>
      <c r="AM58" s="314">
        <f t="shared" si="4"/>
        <v>47100</v>
      </c>
      <c r="AN58" s="314">
        <f t="shared" si="5"/>
        <v>0</v>
      </c>
      <c r="AO58" s="314">
        <f t="shared" si="6"/>
        <v>31400</v>
      </c>
      <c r="AP58" s="314">
        <f t="shared" si="7"/>
        <v>0</v>
      </c>
    </row>
    <row r="59" spans="1:47" s="195" customFormat="1" ht="39" x14ac:dyDescent="0.35">
      <c r="A59" s="509">
        <v>1</v>
      </c>
      <c r="B59" s="521" t="s">
        <v>803</v>
      </c>
      <c r="C59" s="510" t="s">
        <v>398</v>
      </c>
      <c r="D59" s="522">
        <v>1340</v>
      </c>
      <c r="E59" s="523">
        <v>15</v>
      </c>
      <c r="F59" s="524">
        <v>1</v>
      </c>
      <c r="G59" s="525">
        <v>1</v>
      </c>
      <c r="H59" s="525">
        <v>0</v>
      </c>
      <c r="I59" s="526">
        <f>D59*E59*F59*G59</f>
        <v>20100</v>
      </c>
      <c r="J59" s="527">
        <f>D59*E59*F59*H59</f>
        <v>0</v>
      </c>
      <c r="K59" s="527">
        <f>I59*70/100</f>
        <v>14070</v>
      </c>
      <c r="L59" s="527">
        <f>I59*20/100</f>
        <v>4020</v>
      </c>
      <c r="M59" s="527">
        <f>I59*10/100</f>
        <v>2010</v>
      </c>
      <c r="N59" s="416">
        <v>0</v>
      </c>
      <c r="O59" s="507" t="s">
        <v>804</v>
      </c>
      <c r="P59" s="194"/>
      <c r="Q59" s="510" t="s">
        <v>398</v>
      </c>
      <c r="R59" s="522">
        <v>1340</v>
      </c>
      <c r="S59" s="524">
        <v>10</v>
      </c>
      <c r="T59" s="524">
        <v>1</v>
      </c>
      <c r="U59" s="525">
        <v>1</v>
      </c>
      <c r="V59" s="525">
        <v>0</v>
      </c>
      <c r="W59" s="527">
        <f t="shared" ref="W59:W60" si="72">R59*S59*T59*U59</f>
        <v>13400</v>
      </c>
      <c r="X59" s="527">
        <f>R59*S59*T59*V59</f>
        <v>0</v>
      </c>
      <c r="Y59" s="527">
        <f>W59*70/100</f>
        <v>9380</v>
      </c>
      <c r="Z59" s="527">
        <f>W59*20/100</f>
        <v>2680</v>
      </c>
      <c r="AA59" s="527">
        <f>W59*10/100</f>
        <v>1340</v>
      </c>
      <c r="AB59" s="416">
        <v>0</v>
      </c>
      <c r="AC59" s="507" t="s">
        <v>805</v>
      </c>
      <c r="AD59" s="228"/>
      <c r="AE59" s="241">
        <v>1</v>
      </c>
      <c r="AF59" s="204" t="str">
        <f t="shared" si="14"/>
        <v xml:space="preserve">Assurer le branchement des écoles aux réseaux d'eaux existant </v>
      </c>
      <c r="AG59" s="525">
        <f t="shared" si="61"/>
        <v>1</v>
      </c>
      <c r="AH59" s="525">
        <f t="shared" si="62"/>
        <v>0</v>
      </c>
      <c r="AI59" s="527">
        <f t="shared" si="63"/>
        <v>33500</v>
      </c>
      <c r="AJ59" s="527">
        <f t="shared" si="64"/>
        <v>0</v>
      </c>
      <c r="AK59" s="527">
        <f t="shared" si="65"/>
        <v>0</v>
      </c>
      <c r="AL59" s="527">
        <f t="shared" si="18"/>
        <v>33500</v>
      </c>
      <c r="AM59" s="318">
        <f t="shared" si="4"/>
        <v>20100</v>
      </c>
      <c r="AN59" s="318">
        <f t="shared" si="5"/>
        <v>0</v>
      </c>
      <c r="AO59" s="318">
        <f t="shared" si="6"/>
        <v>13400</v>
      </c>
      <c r="AP59" s="318">
        <f t="shared" si="7"/>
        <v>0</v>
      </c>
      <c r="AQ59" s="196" t="s">
        <v>806</v>
      </c>
      <c r="AT59" s="285" t="s">
        <v>807</v>
      </c>
      <c r="AU59" s="195" t="s">
        <v>808</v>
      </c>
    </row>
    <row r="60" spans="1:47" s="195" customFormat="1" ht="39" x14ac:dyDescent="0.35">
      <c r="A60" s="509">
        <v>2</v>
      </c>
      <c r="B60" s="521" t="s">
        <v>809</v>
      </c>
      <c r="C60" s="510" t="s">
        <v>810</v>
      </c>
      <c r="D60" s="522">
        <v>1800</v>
      </c>
      <c r="E60" s="523">
        <v>15</v>
      </c>
      <c r="F60" s="524">
        <v>1</v>
      </c>
      <c r="G60" s="525">
        <v>1</v>
      </c>
      <c r="H60" s="525">
        <v>0</v>
      </c>
      <c r="I60" s="526">
        <f t="shared" ref="I60" si="73">D60*E60*F60*G60</f>
        <v>27000</v>
      </c>
      <c r="J60" s="527">
        <f>D60*E60*F60*H60</f>
        <v>0</v>
      </c>
      <c r="K60" s="527">
        <f>I60*70/100</f>
        <v>18900</v>
      </c>
      <c r="L60" s="527">
        <f>I60*20/100</f>
        <v>5400</v>
      </c>
      <c r="M60" s="527">
        <f>I60*10/100</f>
        <v>2700</v>
      </c>
      <c r="N60" s="416">
        <v>0</v>
      </c>
      <c r="O60" s="507" t="s">
        <v>811</v>
      </c>
      <c r="P60" s="194"/>
      <c r="Q60" s="510" t="s">
        <v>810</v>
      </c>
      <c r="R60" s="522">
        <v>1800</v>
      </c>
      <c r="S60" s="524">
        <v>10</v>
      </c>
      <c r="T60" s="524">
        <v>1</v>
      </c>
      <c r="U60" s="525">
        <v>1</v>
      </c>
      <c r="V60" s="525">
        <v>0</v>
      </c>
      <c r="W60" s="527">
        <f t="shared" si="72"/>
        <v>18000</v>
      </c>
      <c r="X60" s="527">
        <f t="shared" ref="X60" si="74">R60*S60*T60*V60</f>
        <v>0</v>
      </c>
      <c r="Y60" s="527">
        <f>W60*70/100</f>
        <v>12600</v>
      </c>
      <c r="Z60" s="527">
        <f>W60*20/100</f>
        <v>3600</v>
      </c>
      <c r="AA60" s="527">
        <f>W60*10/100</f>
        <v>1800</v>
      </c>
      <c r="AB60" s="416">
        <v>0</v>
      </c>
      <c r="AC60" s="507" t="s">
        <v>812</v>
      </c>
      <c r="AD60" s="228"/>
      <c r="AE60" s="241">
        <v>2</v>
      </c>
      <c r="AF60" s="204" t="str">
        <f t="shared" si="14"/>
        <v>Construction des système de collecte d'eau de pluie dans les écoles accompagnées par le projet</v>
      </c>
      <c r="AG60" s="525">
        <f t="shared" si="61"/>
        <v>1</v>
      </c>
      <c r="AH60" s="525">
        <f t="shared" si="62"/>
        <v>0</v>
      </c>
      <c r="AI60" s="527">
        <f t="shared" si="63"/>
        <v>45000</v>
      </c>
      <c r="AJ60" s="527">
        <f t="shared" si="64"/>
        <v>0</v>
      </c>
      <c r="AK60" s="527">
        <f t="shared" si="65"/>
        <v>0</v>
      </c>
      <c r="AL60" s="527">
        <f t="shared" si="18"/>
        <v>45000</v>
      </c>
      <c r="AM60" s="318">
        <f t="shared" si="4"/>
        <v>27000</v>
      </c>
      <c r="AN60" s="318">
        <f t="shared" si="5"/>
        <v>0</v>
      </c>
      <c r="AO60" s="318">
        <f t="shared" si="6"/>
        <v>18000</v>
      </c>
      <c r="AP60" s="318">
        <f t="shared" si="7"/>
        <v>0</v>
      </c>
      <c r="AQ60" s="196" t="s">
        <v>806</v>
      </c>
    </row>
    <row r="61" spans="1:47" ht="17.25" customHeight="1" x14ac:dyDescent="0.3">
      <c r="A61" s="480" t="s">
        <v>246</v>
      </c>
      <c r="B61" s="861" t="s">
        <v>301</v>
      </c>
      <c r="C61" s="862"/>
      <c r="D61" s="862"/>
      <c r="E61" s="862"/>
      <c r="F61" s="862"/>
      <c r="G61" s="862"/>
      <c r="H61" s="863"/>
      <c r="I61" s="481">
        <f>SUM(I62:I67)</f>
        <v>272958.14</v>
      </c>
      <c r="J61" s="482">
        <f>SUM(J62:J67)</f>
        <v>0</v>
      </c>
      <c r="K61" s="482">
        <f>SUM(K62:K67)</f>
        <v>191070.69799999997</v>
      </c>
      <c r="L61" s="482">
        <f t="shared" ref="L61" si="75">SUM(L62:L67)</f>
        <v>54591.628000000004</v>
      </c>
      <c r="M61" s="482">
        <f>SUM(M62:M67)</f>
        <v>27295.814000000002</v>
      </c>
      <c r="N61" s="481">
        <f>SUM(N62:N67)</f>
        <v>0</v>
      </c>
      <c r="O61" s="508"/>
      <c r="Q61" s="192"/>
      <c r="R61" s="193"/>
      <c r="S61" s="192"/>
      <c r="T61" s="193"/>
      <c r="U61" s="193"/>
      <c r="V61" s="484"/>
      <c r="W61" s="482">
        <f>SUM(W62:W67)</f>
        <v>144029.96</v>
      </c>
      <c r="X61" s="482">
        <f t="shared" ref="X61:Y61" si="76">SUM(X62:X67)</f>
        <v>0</v>
      </c>
      <c r="Y61" s="482">
        <f t="shared" si="76"/>
        <v>100820.97199999999</v>
      </c>
      <c r="Z61" s="482">
        <f t="shared" ref="Z61:AA61" si="77">SUM(Z62:Z67)</f>
        <v>28805.991999999998</v>
      </c>
      <c r="AA61" s="482">
        <f t="shared" si="77"/>
        <v>14402.995999999999</v>
      </c>
      <c r="AB61" s="481">
        <f>SUM(AB62:AB67)</f>
        <v>0</v>
      </c>
      <c r="AC61" s="508"/>
      <c r="AD61" s="234"/>
      <c r="AE61" s="247" t="s">
        <v>246</v>
      </c>
      <c r="AF61" s="204" t="str">
        <f t="shared" si="14"/>
        <v>Construire /réhabiliter les infrastructures d'assainissement au sein des écoles (latrines, trous à ordures), prenant en compte les besoins spécifiques des femmes et des filles</v>
      </c>
      <c r="AG61" s="485">
        <f t="shared" si="61"/>
        <v>1</v>
      </c>
      <c r="AH61" s="485">
        <f t="shared" si="62"/>
        <v>0</v>
      </c>
      <c r="AI61" s="482">
        <f t="shared" si="63"/>
        <v>416988.1</v>
      </c>
      <c r="AJ61" s="482">
        <f t="shared" si="64"/>
        <v>0</v>
      </c>
      <c r="AK61" s="482">
        <f t="shared" si="65"/>
        <v>0</v>
      </c>
      <c r="AL61" s="482">
        <f t="shared" si="18"/>
        <v>416988.1</v>
      </c>
      <c r="AM61" s="314">
        <f t="shared" si="4"/>
        <v>272958.14</v>
      </c>
      <c r="AN61" s="314">
        <f t="shared" si="5"/>
        <v>0</v>
      </c>
      <c r="AO61" s="314">
        <f t="shared" si="6"/>
        <v>144029.96</v>
      </c>
      <c r="AP61" s="314">
        <f t="shared" si="7"/>
        <v>0</v>
      </c>
    </row>
    <row r="62" spans="1:47" s="169" customFormat="1" ht="39" x14ac:dyDescent="0.3">
      <c r="A62" s="509">
        <v>1</v>
      </c>
      <c r="B62" s="521" t="s">
        <v>813</v>
      </c>
      <c r="C62" s="409" t="s">
        <v>814</v>
      </c>
      <c r="D62" s="501">
        <v>1479.08</v>
      </c>
      <c r="E62" s="515">
        <v>163</v>
      </c>
      <c r="F62" s="515">
        <v>1</v>
      </c>
      <c r="G62" s="528">
        <v>1</v>
      </c>
      <c r="H62" s="528">
        <v>0</v>
      </c>
      <c r="I62" s="504">
        <f t="shared" ref="I62:I67" si="78">D62*E62*F62*G62</f>
        <v>241090.03999999998</v>
      </c>
      <c r="J62" s="529">
        <f t="shared" ref="J62:J67" si="79">D62*E62*F62*H62</f>
        <v>0</v>
      </c>
      <c r="K62" s="529">
        <f t="shared" ref="K62:K67" si="80">I62*70/100</f>
        <v>168763.02799999996</v>
      </c>
      <c r="L62" s="529">
        <f t="shared" ref="L62:L67" si="81">I62*20/100</f>
        <v>48218.008000000002</v>
      </c>
      <c r="M62" s="529">
        <f t="shared" ref="M62:M67" si="82">I62*10/100</f>
        <v>24109.004000000001</v>
      </c>
      <c r="N62" s="416">
        <v>0</v>
      </c>
      <c r="O62" s="507" t="s">
        <v>815</v>
      </c>
      <c r="P62" s="170"/>
      <c r="Q62" s="409" t="s">
        <v>814</v>
      </c>
      <c r="R62" s="501">
        <v>1479.08</v>
      </c>
      <c r="S62" s="515">
        <v>82</v>
      </c>
      <c r="T62" s="515">
        <v>1</v>
      </c>
      <c r="U62" s="528">
        <v>1</v>
      </c>
      <c r="V62" s="528">
        <v>0</v>
      </c>
      <c r="W62" s="529">
        <f t="shared" ref="W62:W67" si="83">R62*S62*T62*U62</f>
        <v>121284.56</v>
      </c>
      <c r="X62" s="529">
        <f>R62*S62*T62*V62</f>
        <v>0</v>
      </c>
      <c r="Y62" s="529">
        <f>W62*70/100</f>
        <v>84899.191999999995</v>
      </c>
      <c r="Z62" s="529">
        <f>W62*20/100</f>
        <v>24256.912</v>
      </c>
      <c r="AA62" s="529">
        <f>W62*10/100</f>
        <v>12128.456</v>
      </c>
      <c r="AB62" s="416">
        <v>0</v>
      </c>
      <c r="AC62" s="417" t="s">
        <v>816</v>
      </c>
      <c r="AD62" s="227"/>
      <c r="AE62" s="241">
        <v>1</v>
      </c>
      <c r="AF62" s="204" t="str">
        <f t="shared" si="14"/>
        <v>Construction des portes de latrine double fosses vidangeables avec fosses alternées dans les écoles</v>
      </c>
      <c r="AG62" s="528">
        <f t="shared" si="61"/>
        <v>1</v>
      </c>
      <c r="AH62" s="528">
        <f t="shared" si="62"/>
        <v>0</v>
      </c>
      <c r="AI62" s="529">
        <f t="shared" si="63"/>
        <v>362374.6</v>
      </c>
      <c r="AJ62" s="529">
        <f t="shared" si="64"/>
        <v>0</v>
      </c>
      <c r="AK62" s="529">
        <f t="shared" si="65"/>
        <v>0</v>
      </c>
      <c r="AL62" s="529">
        <f t="shared" si="18"/>
        <v>362374.6</v>
      </c>
      <c r="AM62" s="319">
        <f t="shared" si="4"/>
        <v>241090.03999999998</v>
      </c>
      <c r="AN62" s="319">
        <f t="shared" si="5"/>
        <v>0</v>
      </c>
      <c r="AO62" s="319">
        <f t="shared" si="6"/>
        <v>121284.56</v>
      </c>
      <c r="AP62" s="319">
        <f t="shared" si="7"/>
        <v>0</v>
      </c>
      <c r="AQ62" s="168" t="s">
        <v>806</v>
      </c>
    </row>
    <row r="63" spans="1:47" s="169" customFormat="1" ht="26" x14ac:dyDescent="0.3">
      <c r="A63" s="509">
        <v>2</v>
      </c>
      <c r="B63" s="521" t="s">
        <v>817</v>
      </c>
      <c r="C63" s="409" t="s">
        <v>818</v>
      </c>
      <c r="D63" s="501">
        <v>739.54</v>
      </c>
      <c r="E63" s="515">
        <v>15</v>
      </c>
      <c r="F63" s="515">
        <v>1</v>
      </c>
      <c r="G63" s="528">
        <v>1</v>
      </c>
      <c r="H63" s="528">
        <v>0</v>
      </c>
      <c r="I63" s="504">
        <f t="shared" si="78"/>
        <v>11093.099999999999</v>
      </c>
      <c r="J63" s="529">
        <f t="shared" si="79"/>
        <v>0</v>
      </c>
      <c r="K63" s="529">
        <f t="shared" si="80"/>
        <v>7765.1699999999992</v>
      </c>
      <c r="L63" s="529">
        <f t="shared" si="81"/>
        <v>2218.62</v>
      </c>
      <c r="M63" s="529">
        <f t="shared" si="82"/>
        <v>1109.31</v>
      </c>
      <c r="N63" s="416">
        <v>0</v>
      </c>
      <c r="O63" s="507" t="s">
        <v>819</v>
      </c>
      <c r="P63" s="170"/>
      <c r="Q63" s="409" t="s">
        <v>818</v>
      </c>
      <c r="R63" s="501">
        <v>739.54</v>
      </c>
      <c r="S63" s="515">
        <v>10</v>
      </c>
      <c r="T63" s="515">
        <v>1</v>
      </c>
      <c r="U63" s="528">
        <v>1</v>
      </c>
      <c r="V63" s="528">
        <v>0</v>
      </c>
      <c r="W63" s="529">
        <f t="shared" si="83"/>
        <v>7395.4</v>
      </c>
      <c r="X63" s="529">
        <f t="shared" ref="X63:X67" si="84">R63*S63*T63*V63</f>
        <v>0</v>
      </c>
      <c r="Y63" s="529">
        <f t="shared" ref="Y63:Y67" si="85">W63*70/100</f>
        <v>5176.78</v>
      </c>
      <c r="Z63" s="529">
        <f t="shared" ref="Z63:Z67" si="86">W63*20/100</f>
        <v>1479.08</v>
      </c>
      <c r="AA63" s="529">
        <f t="shared" ref="AA63:AA67" si="87">W63*10/100</f>
        <v>739.54</v>
      </c>
      <c r="AB63" s="416">
        <v>0</v>
      </c>
      <c r="AC63" s="417" t="s">
        <v>820</v>
      </c>
      <c r="AD63" s="227"/>
      <c r="AE63" s="241">
        <v>2</v>
      </c>
      <c r="AF63" s="204" t="str">
        <f t="shared" si="14"/>
        <v>Construire une porte d'anti chambre  dansd le bloc des latrines filles  pour la gestion de l'Hygiene Menstruelle (GHM) dans les etablissements scolaire</v>
      </c>
      <c r="AG63" s="528">
        <f t="shared" si="61"/>
        <v>1</v>
      </c>
      <c r="AH63" s="528">
        <f t="shared" si="62"/>
        <v>0</v>
      </c>
      <c r="AI63" s="529">
        <f t="shared" si="63"/>
        <v>18488.5</v>
      </c>
      <c r="AJ63" s="529">
        <f t="shared" si="64"/>
        <v>0</v>
      </c>
      <c r="AK63" s="529">
        <f t="shared" si="65"/>
        <v>0</v>
      </c>
      <c r="AL63" s="529">
        <f t="shared" si="18"/>
        <v>18488.5</v>
      </c>
      <c r="AM63" s="319">
        <f t="shared" si="4"/>
        <v>11093.099999999999</v>
      </c>
      <c r="AN63" s="319">
        <f t="shared" si="5"/>
        <v>0</v>
      </c>
      <c r="AO63" s="319">
        <f t="shared" si="6"/>
        <v>7395.4</v>
      </c>
      <c r="AP63" s="319">
        <f t="shared" si="7"/>
        <v>0</v>
      </c>
      <c r="AQ63" s="168" t="s">
        <v>806</v>
      </c>
    </row>
    <row r="64" spans="1:47" s="169" customFormat="1" ht="26" x14ac:dyDescent="0.3">
      <c r="A64" s="509">
        <v>3</v>
      </c>
      <c r="B64" s="521" t="s">
        <v>821</v>
      </c>
      <c r="C64" s="409" t="s">
        <v>822</v>
      </c>
      <c r="D64" s="501">
        <v>127</v>
      </c>
      <c r="E64" s="515">
        <v>15</v>
      </c>
      <c r="F64" s="515">
        <v>1</v>
      </c>
      <c r="G64" s="528">
        <v>1</v>
      </c>
      <c r="H64" s="528">
        <v>0</v>
      </c>
      <c r="I64" s="504">
        <f t="shared" si="78"/>
        <v>1905</v>
      </c>
      <c r="J64" s="529">
        <f t="shared" si="79"/>
        <v>0</v>
      </c>
      <c r="K64" s="529">
        <f t="shared" si="80"/>
        <v>1333.5</v>
      </c>
      <c r="L64" s="529">
        <f t="shared" si="81"/>
        <v>381</v>
      </c>
      <c r="M64" s="529">
        <f t="shared" si="82"/>
        <v>190.5</v>
      </c>
      <c r="N64" s="416">
        <v>0</v>
      </c>
      <c r="O64" s="507" t="s">
        <v>823</v>
      </c>
      <c r="P64" s="170"/>
      <c r="Q64" s="409" t="s">
        <v>822</v>
      </c>
      <c r="R64" s="501">
        <v>127</v>
      </c>
      <c r="S64" s="515">
        <v>10</v>
      </c>
      <c r="T64" s="515">
        <v>1</v>
      </c>
      <c r="U64" s="528">
        <v>1</v>
      </c>
      <c r="V64" s="528">
        <v>0</v>
      </c>
      <c r="W64" s="529">
        <f t="shared" si="83"/>
        <v>1270</v>
      </c>
      <c r="X64" s="529">
        <f t="shared" si="84"/>
        <v>0</v>
      </c>
      <c r="Y64" s="529">
        <f t="shared" si="85"/>
        <v>889</v>
      </c>
      <c r="Z64" s="529">
        <f t="shared" si="86"/>
        <v>254</v>
      </c>
      <c r="AA64" s="529">
        <f t="shared" si="87"/>
        <v>127</v>
      </c>
      <c r="AB64" s="416">
        <v>0</v>
      </c>
      <c r="AC64" s="417" t="s">
        <v>824</v>
      </c>
      <c r="AD64" s="227"/>
      <c r="AE64" s="241">
        <v>3</v>
      </c>
      <c r="AF64" s="204" t="str">
        <f t="shared" si="14"/>
        <v>Construction des trous à ordures au sein des écoles</v>
      </c>
      <c r="AG64" s="528">
        <f t="shared" si="61"/>
        <v>1</v>
      </c>
      <c r="AH64" s="528">
        <f t="shared" si="62"/>
        <v>0</v>
      </c>
      <c r="AI64" s="529">
        <f t="shared" si="63"/>
        <v>3175</v>
      </c>
      <c r="AJ64" s="529">
        <f t="shared" si="64"/>
        <v>0</v>
      </c>
      <c r="AK64" s="529">
        <f t="shared" si="65"/>
        <v>0</v>
      </c>
      <c r="AL64" s="529">
        <f t="shared" si="18"/>
        <v>3175</v>
      </c>
      <c r="AM64" s="319">
        <f t="shared" si="4"/>
        <v>1905</v>
      </c>
      <c r="AN64" s="319">
        <f t="shared" si="5"/>
        <v>0</v>
      </c>
      <c r="AO64" s="319">
        <f t="shared" si="6"/>
        <v>1270</v>
      </c>
      <c r="AP64" s="319">
        <f t="shared" si="7"/>
        <v>0</v>
      </c>
      <c r="AQ64" s="168" t="s">
        <v>806</v>
      </c>
    </row>
    <row r="65" spans="1:47" s="169" customFormat="1" ht="39" x14ac:dyDescent="0.3">
      <c r="A65" s="509">
        <v>4</v>
      </c>
      <c r="B65" s="521" t="s">
        <v>825</v>
      </c>
      <c r="C65" s="409" t="s">
        <v>826</v>
      </c>
      <c r="D65" s="501">
        <v>568</v>
      </c>
      <c r="E65" s="515">
        <v>15</v>
      </c>
      <c r="F65" s="515">
        <v>1</v>
      </c>
      <c r="G65" s="528">
        <v>1</v>
      </c>
      <c r="H65" s="528">
        <v>0</v>
      </c>
      <c r="I65" s="504">
        <f t="shared" si="78"/>
        <v>8520</v>
      </c>
      <c r="J65" s="529">
        <f t="shared" si="79"/>
        <v>0</v>
      </c>
      <c r="K65" s="529">
        <f t="shared" si="80"/>
        <v>5964</v>
      </c>
      <c r="L65" s="529">
        <f t="shared" si="81"/>
        <v>1704</v>
      </c>
      <c r="M65" s="529">
        <f t="shared" si="82"/>
        <v>852</v>
      </c>
      <c r="N65" s="416">
        <v>0</v>
      </c>
      <c r="O65" s="507" t="s">
        <v>827</v>
      </c>
      <c r="P65" s="170"/>
      <c r="Q65" s="409" t="s">
        <v>826</v>
      </c>
      <c r="R65" s="501">
        <v>568</v>
      </c>
      <c r="S65" s="515">
        <v>10</v>
      </c>
      <c r="T65" s="515">
        <v>1</v>
      </c>
      <c r="U65" s="528">
        <v>1</v>
      </c>
      <c r="V65" s="528">
        <v>0</v>
      </c>
      <c r="W65" s="529">
        <f t="shared" si="83"/>
        <v>5680</v>
      </c>
      <c r="X65" s="529">
        <f t="shared" si="84"/>
        <v>0</v>
      </c>
      <c r="Y65" s="529">
        <f t="shared" si="85"/>
        <v>3976</v>
      </c>
      <c r="Z65" s="529">
        <f t="shared" si="86"/>
        <v>1136</v>
      </c>
      <c r="AA65" s="529">
        <f t="shared" si="87"/>
        <v>568</v>
      </c>
      <c r="AB65" s="416">
        <v>0</v>
      </c>
      <c r="AC65" s="417" t="s">
        <v>828</v>
      </c>
      <c r="AD65" s="227"/>
      <c r="AE65" s="241">
        <v>4</v>
      </c>
      <c r="AF65" s="204" t="str">
        <f t="shared" si="14"/>
        <v>Installation des dispositifs durables de lavage des mains dans les écoles accompagnées par le projet</v>
      </c>
      <c r="AG65" s="528">
        <f t="shared" si="61"/>
        <v>1</v>
      </c>
      <c r="AH65" s="528">
        <f t="shared" si="62"/>
        <v>0</v>
      </c>
      <c r="AI65" s="529">
        <f t="shared" si="63"/>
        <v>14200</v>
      </c>
      <c r="AJ65" s="529">
        <f t="shared" si="64"/>
        <v>0</v>
      </c>
      <c r="AK65" s="529">
        <f t="shared" si="65"/>
        <v>0</v>
      </c>
      <c r="AL65" s="529">
        <f t="shared" si="18"/>
        <v>14200</v>
      </c>
      <c r="AM65" s="319">
        <f t="shared" si="4"/>
        <v>8520</v>
      </c>
      <c r="AN65" s="319">
        <f t="shared" si="5"/>
        <v>0</v>
      </c>
      <c r="AO65" s="319">
        <f t="shared" si="6"/>
        <v>5680</v>
      </c>
      <c r="AP65" s="319">
        <f t="shared" si="7"/>
        <v>0</v>
      </c>
      <c r="AQ65" s="168" t="s">
        <v>806</v>
      </c>
    </row>
    <row r="66" spans="1:47" s="169" customFormat="1" ht="25.5" customHeight="1" x14ac:dyDescent="0.3">
      <c r="A66" s="509">
        <v>5</v>
      </c>
      <c r="B66" s="510" t="s">
        <v>829</v>
      </c>
      <c r="C66" s="409" t="s">
        <v>830</v>
      </c>
      <c r="D66" s="501">
        <v>1500</v>
      </c>
      <c r="E66" s="515">
        <v>6</v>
      </c>
      <c r="F66" s="515">
        <v>1</v>
      </c>
      <c r="G66" s="528">
        <v>1</v>
      </c>
      <c r="H66" s="528">
        <v>0</v>
      </c>
      <c r="I66" s="504">
        <f t="shared" si="78"/>
        <v>9000</v>
      </c>
      <c r="J66" s="529">
        <f t="shared" si="79"/>
        <v>0</v>
      </c>
      <c r="K66" s="529">
        <f t="shared" si="80"/>
        <v>6300</v>
      </c>
      <c r="L66" s="529">
        <f t="shared" si="81"/>
        <v>1800</v>
      </c>
      <c r="M66" s="529">
        <f t="shared" si="82"/>
        <v>900</v>
      </c>
      <c r="N66" s="416">
        <v>0</v>
      </c>
      <c r="O66" s="507" t="s">
        <v>831</v>
      </c>
      <c r="P66" s="170"/>
      <c r="Q66" s="409" t="s">
        <v>830</v>
      </c>
      <c r="R66" s="501">
        <v>1500</v>
      </c>
      <c r="S66" s="515">
        <v>5</v>
      </c>
      <c r="T66" s="515">
        <v>1</v>
      </c>
      <c r="U66" s="528">
        <v>1</v>
      </c>
      <c r="V66" s="528">
        <v>0</v>
      </c>
      <c r="W66" s="529">
        <f t="shared" si="83"/>
        <v>7500</v>
      </c>
      <c r="X66" s="529">
        <f t="shared" si="84"/>
        <v>0</v>
      </c>
      <c r="Y66" s="529">
        <f t="shared" si="85"/>
        <v>5250</v>
      </c>
      <c r="Z66" s="529">
        <f t="shared" si="86"/>
        <v>1500</v>
      </c>
      <c r="AA66" s="529">
        <f t="shared" si="87"/>
        <v>750</v>
      </c>
      <c r="AB66" s="416">
        <v>0</v>
      </c>
      <c r="AC66" s="417" t="s">
        <v>832</v>
      </c>
      <c r="AD66" s="227"/>
      <c r="AE66" s="241">
        <v>5</v>
      </c>
      <c r="AF66" s="204" t="str">
        <f t="shared" si="14"/>
        <v>Location Camion pour transport des mariels et matériaux</v>
      </c>
      <c r="AG66" s="528">
        <f t="shared" si="61"/>
        <v>1</v>
      </c>
      <c r="AH66" s="528">
        <f t="shared" si="62"/>
        <v>0</v>
      </c>
      <c r="AI66" s="529">
        <f t="shared" si="63"/>
        <v>16500</v>
      </c>
      <c r="AJ66" s="529">
        <f t="shared" si="64"/>
        <v>0</v>
      </c>
      <c r="AK66" s="529">
        <f t="shared" si="65"/>
        <v>0</v>
      </c>
      <c r="AL66" s="529">
        <f t="shared" si="18"/>
        <v>16500</v>
      </c>
      <c r="AM66" s="319">
        <f t="shared" si="4"/>
        <v>9000</v>
      </c>
      <c r="AN66" s="319">
        <f t="shared" si="5"/>
        <v>0</v>
      </c>
      <c r="AO66" s="319">
        <f t="shared" si="6"/>
        <v>7500</v>
      </c>
      <c r="AP66" s="319">
        <f t="shared" si="7"/>
        <v>0</v>
      </c>
      <c r="AQ66" s="168" t="s">
        <v>806</v>
      </c>
    </row>
    <row r="67" spans="1:47" s="169" customFormat="1" ht="26" x14ac:dyDescent="0.3">
      <c r="A67" s="509">
        <v>6</v>
      </c>
      <c r="B67" s="510" t="s">
        <v>833</v>
      </c>
      <c r="C67" s="409" t="s">
        <v>419</v>
      </c>
      <c r="D67" s="501">
        <v>90</v>
      </c>
      <c r="E67" s="515">
        <v>15</v>
      </c>
      <c r="F67" s="515">
        <v>1</v>
      </c>
      <c r="G67" s="528">
        <v>1</v>
      </c>
      <c r="H67" s="528">
        <v>0</v>
      </c>
      <c r="I67" s="504">
        <f t="shared" si="78"/>
        <v>1350</v>
      </c>
      <c r="J67" s="529">
        <f t="shared" si="79"/>
        <v>0</v>
      </c>
      <c r="K67" s="529">
        <f t="shared" si="80"/>
        <v>945</v>
      </c>
      <c r="L67" s="529">
        <f t="shared" si="81"/>
        <v>270</v>
      </c>
      <c r="M67" s="529">
        <f t="shared" si="82"/>
        <v>135</v>
      </c>
      <c r="N67" s="416">
        <v>0</v>
      </c>
      <c r="O67" s="507" t="s">
        <v>834</v>
      </c>
      <c r="P67" s="170"/>
      <c r="Q67" s="409" t="s">
        <v>419</v>
      </c>
      <c r="R67" s="501">
        <v>90</v>
      </c>
      <c r="S67" s="515">
        <v>10</v>
      </c>
      <c r="T67" s="515">
        <v>1</v>
      </c>
      <c r="U67" s="528">
        <v>1</v>
      </c>
      <c r="V67" s="528">
        <v>0</v>
      </c>
      <c r="W67" s="529">
        <f t="shared" si="83"/>
        <v>900</v>
      </c>
      <c r="X67" s="529">
        <f t="shared" si="84"/>
        <v>0</v>
      </c>
      <c r="Y67" s="529">
        <f t="shared" si="85"/>
        <v>630</v>
      </c>
      <c r="Z67" s="529">
        <f t="shared" si="86"/>
        <v>180</v>
      </c>
      <c r="AA67" s="529">
        <f t="shared" si="87"/>
        <v>90</v>
      </c>
      <c r="AB67" s="416">
        <v>0</v>
      </c>
      <c r="AC67" s="417" t="s">
        <v>835</v>
      </c>
      <c r="AD67" s="227"/>
      <c r="AE67" s="241">
        <v>6</v>
      </c>
      <c r="AF67" s="204" t="str">
        <f t="shared" si="14"/>
        <v>Manutention  chargement et déchargement</v>
      </c>
      <c r="AG67" s="528">
        <f t="shared" si="61"/>
        <v>1</v>
      </c>
      <c r="AH67" s="528">
        <f t="shared" si="62"/>
        <v>0</v>
      </c>
      <c r="AI67" s="529">
        <f t="shared" si="63"/>
        <v>2250</v>
      </c>
      <c r="AJ67" s="529">
        <f t="shared" si="64"/>
        <v>0</v>
      </c>
      <c r="AK67" s="529">
        <f t="shared" si="65"/>
        <v>0</v>
      </c>
      <c r="AL67" s="529">
        <f t="shared" si="18"/>
        <v>2250</v>
      </c>
      <c r="AM67" s="319">
        <f t="shared" si="4"/>
        <v>1350</v>
      </c>
      <c r="AN67" s="319">
        <f t="shared" si="5"/>
        <v>0</v>
      </c>
      <c r="AO67" s="319">
        <f t="shared" si="6"/>
        <v>900</v>
      </c>
      <c r="AP67" s="319">
        <f t="shared" si="7"/>
        <v>0</v>
      </c>
      <c r="AQ67" s="168" t="s">
        <v>806</v>
      </c>
    </row>
    <row r="68" spans="1:47" ht="27.75" customHeight="1" x14ac:dyDescent="0.3">
      <c r="A68" s="480" t="s">
        <v>247</v>
      </c>
      <c r="B68" s="861" t="s">
        <v>302</v>
      </c>
      <c r="C68" s="862"/>
      <c r="D68" s="862"/>
      <c r="E68" s="862"/>
      <c r="F68" s="862"/>
      <c r="G68" s="862"/>
      <c r="H68" s="863"/>
      <c r="I68" s="481">
        <f t="shared" ref="I68:N68" si="88">SUM(I69:I71)</f>
        <v>4515</v>
      </c>
      <c r="J68" s="482">
        <f t="shared" si="88"/>
        <v>0</v>
      </c>
      <c r="K68" s="482">
        <f t="shared" si="88"/>
        <v>4515</v>
      </c>
      <c r="L68" s="482">
        <f t="shared" si="88"/>
        <v>0</v>
      </c>
      <c r="M68" s="482">
        <f t="shared" si="88"/>
        <v>0</v>
      </c>
      <c r="N68" s="481">
        <f t="shared" si="88"/>
        <v>0</v>
      </c>
      <c r="O68" s="508"/>
      <c r="Q68" s="192"/>
      <c r="R68" s="193"/>
      <c r="S68" s="192"/>
      <c r="T68" s="193"/>
      <c r="U68" s="193"/>
      <c r="V68" s="484"/>
      <c r="W68" s="482">
        <f>SUM(W69:W71)</f>
        <v>3025</v>
      </c>
      <c r="X68" s="482">
        <f t="shared" ref="X68:Y68" si="89">SUM(X69:X71)</f>
        <v>0</v>
      </c>
      <c r="Y68" s="482">
        <f t="shared" si="89"/>
        <v>3025</v>
      </c>
      <c r="Z68" s="482">
        <f t="shared" ref="Z68:AA68" si="90">SUM(Z69:Z71)</f>
        <v>0</v>
      </c>
      <c r="AA68" s="482">
        <f t="shared" si="90"/>
        <v>0</v>
      </c>
      <c r="AB68" s="481">
        <f>SUM(AB69:AB71)</f>
        <v>0</v>
      </c>
      <c r="AC68" s="508"/>
      <c r="AD68" s="234"/>
      <c r="AE68" s="247" t="s">
        <v>247</v>
      </c>
      <c r="AF68" s="204" t="str">
        <f t="shared" si="14"/>
        <v>Constituer de façon paritaire (filles/garçons) et assurer la formation des brigades scolaires pour la gestion des activités EHA, gestion de l'hygiène menstruelle (GHM), le Genre et la prévention des VBG et AES et doter les écoles des kits de maintenance</v>
      </c>
      <c r="AG68" s="485">
        <f t="shared" si="61"/>
        <v>1</v>
      </c>
      <c r="AH68" s="485">
        <f t="shared" si="62"/>
        <v>0</v>
      </c>
      <c r="AI68" s="482">
        <f t="shared" si="63"/>
        <v>7540</v>
      </c>
      <c r="AJ68" s="482">
        <f t="shared" si="64"/>
        <v>0</v>
      </c>
      <c r="AK68" s="482">
        <f t="shared" si="65"/>
        <v>0</v>
      </c>
      <c r="AL68" s="482">
        <f t="shared" si="18"/>
        <v>7540</v>
      </c>
      <c r="AM68" s="314">
        <f t="shared" si="4"/>
        <v>4515</v>
      </c>
      <c r="AN68" s="314">
        <f t="shared" si="5"/>
        <v>0</v>
      </c>
      <c r="AO68" s="314">
        <f t="shared" si="6"/>
        <v>3025</v>
      </c>
      <c r="AP68" s="314">
        <f t="shared" si="7"/>
        <v>0</v>
      </c>
    </row>
    <row r="69" spans="1:47" s="169" customFormat="1" ht="39" x14ac:dyDescent="0.3">
      <c r="A69" s="509">
        <v>1</v>
      </c>
      <c r="B69" s="510" t="s">
        <v>836</v>
      </c>
      <c r="C69" s="409" t="s">
        <v>837</v>
      </c>
      <c r="D69" s="501">
        <v>2</v>
      </c>
      <c r="E69" s="515">
        <v>120</v>
      </c>
      <c r="F69" s="515">
        <v>1</v>
      </c>
      <c r="G69" s="528">
        <v>1</v>
      </c>
      <c r="H69" s="528">
        <v>0</v>
      </c>
      <c r="I69" s="504">
        <f t="shared" ref="I69:I71" si="91">D69*E69*F69*G69</f>
        <v>240</v>
      </c>
      <c r="J69" s="529">
        <f>D69*E69*F69*H69</f>
        <v>0</v>
      </c>
      <c r="K69" s="529">
        <f>I69</f>
        <v>240</v>
      </c>
      <c r="L69" s="529"/>
      <c r="M69" s="529"/>
      <c r="N69" s="416">
        <v>0</v>
      </c>
      <c r="O69" s="507" t="s">
        <v>838</v>
      </c>
      <c r="P69" s="170"/>
      <c r="Q69" s="409" t="s">
        <v>837</v>
      </c>
      <c r="R69" s="501">
        <v>2</v>
      </c>
      <c r="S69" s="515">
        <v>80</v>
      </c>
      <c r="T69" s="515">
        <v>1</v>
      </c>
      <c r="U69" s="528">
        <v>1</v>
      </c>
      <c r="V69" s="528">
        <v>0</v>
      </c>
      <c r="W69" s="529">
        <f t="shared" ref="W69:W71" si="92">R69*S69*T69*U69</f>
        <v>160</v>
      </c>
      <c r="X69" s="529">
        <f t="shared" ref="X69" si="93">R69*S69*T69*V69</f>
        <v>0</v>
      </c>
      <c r="Y69" s="529">
        <f t="shared" ref="Y69:Y71" si="94">W69</f>
        <v>160</v>
      </c>
      <c r="Z69" s="529"/>
      <c r="AA69" s="529"/>
      <c r="AB69" s="416">
        <v>0</v>
      </c>
      <c r="AC69" s="417" t="s">
        <v>839</v>
      </c>
      <c r="AD69" s="227"/>
      <c r="AE69" s="241">
        <v>1</v>
      </c>
      <c r="AF69" s="204" t="str">
        <f t="shared" si="14"/>
        <v>Reproduction des dépliants sur la gestion de la brigade scolaire, BSSE au sein des écoles</v>
      </c>
      <c r="AG69" s="528">
        <f t="shared" si="61"/>
        <v>1</v>
      </c>
      <c r="AH69" s="528">
        <f t="shared" si="62"/>
        <v>0</v>
      </c>
      <c r="AI69" s="529">
        <f t="shared" si="63"/>
        <v>400</v>
      </c>
      <c r="AJ69" s="529">
        <f t="shared" si="64"/>
        <v>0</v>
      </c>
      <c r="AK69" s="529">
        <f t="shared" si="65"/>
        <v>0</v>
      </c>
      <c r="AL69" s="529">
        <f t="shared" si="18"/>
        <v>400</v>
      </c>
      <c r="AM69" s="319">
        <f t="shared" si="4"/>
        <v>240</v>
      </c>
      <c r="AN69" s="319">
        <f t="shared" si="5"/>
        <v>0</v>
      </c>
      <c r="AO69" s="319">
        <f t="shared" si="6"/>
        <v>160</v>
      </c>
      <c r="AP69" s="319">
        <f t="shared" si="7"/>
        <v>0</v>
      </c>
      <c r="AQ69" s="168" t="s">
        <v>806</v>
      </c>
    </row>
    <row r="70" spans="1:47" s="169" customFormat="1" ht="26" x14ac:dyDescent="0.3">
      <c r="A70" s="509">
        <v>2</v>
      </c>
      <c r="B70" s="510" t="s">
        <v>840</v>
      </c>
      <c r="C70" s="409" t="s">
        <v>425</v>
      </c>
      <c r="D70" s="501">
        <v>162</v>
      </c>
      <c r="E70" s="515">
        <v>15</v>
      </c>
      <c r="F70" s="515">
        <v>1</v>
      </c>
      <c r="G70" s="528">
        <v>1</v>
      </c>
      <c r="H70" s="528">
        <v>0</v>
      </c>
      <c r="I70" s="504">
        <f t="shared" si="91"/>
        <v>2430</v>
      </c>
      <c r="J70" s="529">
        <f>D70*E70*F70*H70</f>
        <v>0</v>
      </c>
      <c r="K70" s="529">
        <f>I70</f>
        <v>2430</v>
      </c>
      <c r="L70" s="529"/>
      <c r="M70" s="529"/>
      <c r="N70" s="416">
        <v>0</v>
      </c>
      <c r="O70" s="507" t="s">
        <v>841</v>
      </c>
      <c r="P70" s="170"/>
      <c r="Q70" s="409" t="s">
        <v>425</v>
      </c>
      <c r="R70" s="501">
        <v>162</v>
      </c>
      <c r="S70" s="515">
        <v>10</v>
      </c>
      <c r="T70" s="515">
        <v>1</v>
      </c>
      <c r="U70" s="528">
        <v>1</v>
      </c>
      <c r="V70" s="528">
        <v>0</v>
      </c>
      <c r="W70" s="529">
        <f t="shared" si="92"/>
        <v>1620</v>
      </c>
      <c r="X70" s="529">
        <f>R70*S70*T70*V70</f>
        <v>0</v>
      </c>
      <c r="Y70" s="529">
        <f t="shared" si="94"/>
        <v>1620</v>
      </c>
      <c r="Z70" s="529"/>
      <c r="AA70" s="529"/>
      <c r="AB70" s="416">
        <v>0</v>
      </c>
      <c r="AC70" s="417" t="s">
        <v>842</v>
      </c>
      <c r="AD70" s="227"/>
      <c r="AE70" s="241">
        <v>2</v>
      </c>
      <c r="AF70" s="204" t="str">
        <f t="shared" si="14"/>
        <v xml:space="preserve">Dotation des écoles des kits de maintenance des infrastructures d'eau et d'assainissement </v>
      </c>
      <c r="AG70" s="528">
        <f t="shared" si="61"/>
        <v>1</v>
      </c>
      <c r="AH70" s="528">
        <f t="shared" si="62"/>
        <v>0</v>
      </c>
      <c r="AI70" s="529">
        <f t="shared" si="63"/>
        <v>4050</v>
      </c>
      <c r="AJ70" s="529">
        <f t="shared" si="64"/>
        <v>0</v>
      </c>
      <c r="AK70" s="529">
        <f t="shared" si="65"/>
        <v>0</v>
      </c>
      <c r="AL70" s="529">
        <f t="shared" si="18"/>
        <v>4050</v>
      </c>
      <c r="AM70" s="319">
        <f t="shared" si="4"/>
        <v>2430</v>
      </c>
      <c r="AN70" s="319">
        <f t="shared" si="5"/>
        <v>0</v>
      </c>
      <c r="AO70" s="319">
        <f t="shared" si="6"/>
        <v>1620</v>
      </c>
      <c r="AP70" s="319">
        <f t="shared" si="7"/>
        <v>0</v>
      </c>
      <c r="AQ70" s="168" t="s">
        <v>806</v>
      </c>
    </row>
    <row r="71" spans="1:47" s="169" customFormat="1" ht="26" x14ac:dyDescent="0.3">
      <c r="A71" s="509">
        <v>3</v>
      </c>
      <c r="B71" s="510" t="s">
        <v>843</v>
      </c>
      <c r="C71" s="409" t="s">
        <v>419</v>
      </c>
      <c r="D71" s="511">
        <v>5</v>
      </c>
      <c r="E71" s="515">
        <v>123</v>
      </c>
      <c r="F71" s="515">
        <v>3</v>
      </c>
      <c r="G71" s="528">
        <v>1</v>
      </c>
      <c r="H71" s="528">
        <v>0</v>
      </c>
      <c r="I71" s="504">
        <f t="shared" si="91"/>
        <v>1845</v>
      </c>
      <c r="J71" s="529">
        <f>D71*E71*F71*H71</f>
        <v>0</v>
      </c>
      <c r="K71" s="529">
        <f>I71</f>
        <v>1845</v>
      </c>
      <c r="L71" s="529"/>
      <c r="M71" s="529"/>
      <c r="N71" s="416">
        <v>0</v>
      </c>
      <c r="O71" s="507" t="s">
        <v>844</v>
      </c>
      <c r="P71" s="170"/>
      <c r="Q71" s="409" t="s">
        <v>419</v>
      </c>
      <c r="R71" s="501">
        <v>5</v>
      </c>
      <c r="S71" s="515">
        <v>83</v>
      </c>
      <c r="T71" s="515">
        <v>3</v>
      </c>
      <c r="U71" s="528">
        <v>1</v>
      </c>
      <c r="V71" s="528">
        <v>0</v>
      </c>
      <c r="W71" s="529">
        <f t="shared" si="92"/>
        <v>1245</v>
      </c>
      <c r="X71" s="529">
        <f t="shared" ref="X71" si="95">R71*S71*T71*V71</f>
        <v>0</v>
      </c>
      <c r="Y71" s="529">
        <f t="shared" si="94"/>
        <v>1245</v>
      </c>
      <c r="Z71" s="529"/>
      <c r="AA71" s="529"/>
      <c r="AB71" s="416">
        <v>0</v>
      </c>
      <c r="AC71" s="417" t="s">
        <v>845</v>
      </c>
      <c r="AD71" s="227"/>
      <c r="AE71" s="241">
        <v>3</v>
      </c>
      <c r="AF71" s="204" t="str">
        <f t="shared" si="14"/>
        <v xml:space="preserve">Restauration des brigades scolaires pendant la formation </v>
      </c>
      <c r="AG71" s="528">
        <f t="shared" si="61"/>
        <v>1</v>
      </c>
      <c r="AH71" s="528">
        <f t="shared" si="62"/>
        <v>0</v>
      </c>
      <c r="AI71" s="529">
        <f t="shared" si="63"/>
        <v>3090</v>
      </c>
      <c r="AJ71" s="529">
        <f t="shared" si="64"/>
        <v>0</v>
      </c>
      <c r="AK71" s="529">
        <f t="shared" si="65"/>
        <v>0</v>
      </c>
      <c r="AL71" s="529">
        <f t="shared" si="18"/>
        <v>3090</v>
      </c>
      <c r="AM71" s="319">
        <f t="shared" si="4"/>
        <v>1845</v>
      </c>
      <c r="AN71" s="319">
        <f t="shared" si="5"/>
        <v>0</v>
      </c>
      <c r="AO71" s="319">
        <f t="shared" si="6"/>
        <v>1245</v>
      </c>
      <c r="AP71" s="319">
        <f t="shared" si="7"/>
        <v>0</v>
      </c>
      <c r="AQ71" s="168" t="s">
        <v>806</v>
      </c>
    </row>
    <row r="72" spans="1:47" ht="30.75" customHeight="1" x14ac:dyDescent="0.3">
      <c r="A72" s="480" t="s">
        <v>248</v>
      </c>
      <c r="B72" s="861" t="s">
        <v>303</v>
      </c>
      <c r="C72" s="862"/>
      <c r="D72" s="862"/>
      <c r="E72" s="862"/>
      <c r="F72" s="862"/>
      <c r="G72" s="862"/>
      <c r="H72" s="863"/>
      <c r="I72" s="481">
        <f>SUM(I73:I79)</f>
        <v>26807.5</v>
      </c>
      <c r="J72" s="481">
        <f t="shared" ref="J72:N72" si="96">SUM(J73:J79)</f>
        <v>0</v>
      </c>
      <c r="K72" s="481">
        <f t="shared" si="96"/>
        <v>14135.5</v>
      </c>
      <c r="L72" s="481">
        <f t="shared" si="96"/>
        <v>6336</v>
      </c>
      <c r="M72" s="481">
        <f t="shared" si="96"/>
        <v>6336</v>
      </c>
      <c r="N72" s="481">
        <f t="shared" si="96"/>
        <v>0</v>
      </c>
      <c r="O72" s="508"/>
      <c r="Q72" s="192"/>
      <c r="R72" s="193"/>
      <c r="S72" s="192"/>
      <c r="T72" s="193"/>
      <c r="U72" s="193"/>
      <c r="V72" s="484"/>
      <c r="W72" s="481">
        <f>SUM(W73:W79)</f>
        <v>26705</v>
      </c>
      <c r="X72" s="481">
        <f t="shared" ref="X72:AA72" si="97">SUM(X73:X79)</f>
        <v>0</v>
      </c>
      <c r="Y72" s="481">
        <f t="shared" si="97"/>
        <v>12977</v>
      </c>
      <c r="Z72" s="481">
        <f t="shared" si="97"/>
        <v>6864</v>
      </c>
      <c r="AA72" s="481">
        <f t="shared" si="97"/>
        <v>6864</v>
      </c>
      <c r="AB72" s="481">
        <f>SUM(AB73:AB79)</f>
        <v>0</v>
      </c>
      <c r="AC72" s="508"/>
      <c r="AD72" s="234"/>
      <c r="AE72" s="247" t="s">
        <v>248</v>
      </c>
      <c r="AF72" s="204" t="str">
        <f t="shared" si="14"/>
        <v>Former des élèves sur la gestion de l'hygiène menstruelles et avoir des discussions ciblées avec les filles pour bien prendre en compte leurs perspectives et leurs éventuels besoins spécifiques dans la mise en œuvre des services WASH</v>
      </c>
      <c r="AG72" s="485"/>
      <c r="AH72" s="485"/>
      <c r="AI72" s="482">
        <f>SUM(AI73:AI79)</f>
        <v>53512.5</v>
      </c>
      <c r="AJ72" s="482">
        <f t="shared" ref="AJ72:AK72" si="98">SUM(AJ73:AJ79)</f>
        <v>0</v>
      </c>
      <c r="AK72" s="482">
        <f t="shared" si="98"/>
        <v>0</v>
      </c>
      <c r="AL72" s="482">
        <f>SUM(AL73:AL79)</f>
        <v>53512.5</v>
      </c>
      <c r="AM72" s="314">
        <f t="shared" si="4"/>
        <v>26807.5</v>
      </c>
      <c r="AN72" s="314">
        <f t="shared" si="5"/>
        <v>0</v>
      </c>
      <c r="AO72" s="314">
        <f t="shared" si="6"/>
        <v>26705</v>
      </c>
      <c r="AP72" s="314">
        <f t="shared" si="7"/>
        <v>0</v>
      </c>
    </row>
    <row r="73" spans="1:47" s="169" customFormat="1" ht="26" x14ac:dyDescent="0.3">
      <c r="A73" s="509">
        <v>1</v>
      </c>
      <c r="B73" s="510" t="s">
        <v>846</v>
      </c>
      <c r="C73" s="409" t="s">
        <v>93</v>
      </c>
      <c r="D73" s="501">
        <v>5</v>
      </c>
      <c r="E73" s="515">
        <v>165</v>
      </c>
      <c r="F73" s="515">
        <v>3</v>
      </c>
      <c r="G73" s="528">
        <v>1</v>
      </c>
      <c r="H73" s="528">
        <v>0</v>
      </c>
      <c r="I73" s="504">
        <f t="shared" ref="I73:I79" si="99">D73*E73*F73*G73</f>
        <v>2475</v>
      </c>
      <c r="J73" s="529">
        <f t="shared" ref="J73:J79" si="100">D73*E73*F73*H73</f>
        <v>0</v>
      </c>
      <c r="K73" s="529">
        <f>I73</f>
        <v>2475</v>
      </c>
      <c r="L73" s="529"/>
      <c r="M73" s="529"/>
      <c r="N73" s="416">
        <v>0</v>
      </c>
      <c r="O73" s="507" t="s">
        <v>847</v>
      </c>
      <c r="P73" s="170"/>
      <c r="Q73" s="409" t="s">
        <v>93</v>
      </c>
      <c r="R73" s="501">
        <v>5</v>
      </c>
      <c r="S73" s="515">
        <v>110</v>
      </c>
      <c r="T73" s="515">
        <v>3</v>
      </c>
      <c r="U73" s="528">
        <v>1</v>
      </c>
      <c r="V73" s="528">
        <v>0</v>
      </c>
      <c r="W73" s="529">
        <f t="shared" ref="W73" si="101">R73*S73*T73*U73</f>
        <v>1650</v>
      </c>
      <c r="X73" s="529">
        <f t="shared" ref="X73:X79" si="102">R73*S73*T73*V73</f>
        <v>0</v>
      </c>
      <c r="Y73" s="529">
        <f t="shared" ref="Y73:Y75" si="103">W73</f>
        <v>1650</v>
      </c>
      <c r="Z73" s="529"/>
      <c r="AA73" s="529"/>
      <c r="AB73" s="416">
        <v>0</v>
      </c>
      <c r="AC73" s="417" t="s">
        <v>848</v>
      </c>
      <c r="AD73" s="227"/>
      <c r="AE73" s="241">
        <v>1</v>
      </c>
      <c r="AF73" s="204" t="str">
        <f t="shared" si="14"/>
        <v xml:space="preserve">Restauration des participants à la formation </v>
      </c>
      <c r="AG73" s="528">
        <f t="shared" si="61"/>
        <v>1</v>
      </c>
      <c r="AH73" s="528">
        <f t="shared" si="62"/>
        <v>0</v>
      </c>
      <c r="AI73" s="529">
        <f t="shared" ref="AI73:AI79" si="104">I73+W73</f>
        <v>4125</v>
      </c>
      <c r="AJ73" s="529">
        <f t="shared" ref="AJ73:AJ79" si="105">N73+AB73</f>
        <v>0</v>
      </c>
      <c r="AK73" s="529">
        <f t="shared" ref="AK73:AK79" si="106">J73+X73</f>
        <v>0</v>
      </c>
      <c r="AL73" s="529">
        <f t="shared" si="18"/>
        <v>4125</v>
      </c>
      <c r="AM73" s="319">
        <f t="shared" si="4"/>
        <v>2475</v>
      </c>
      <c r="AN73" s="319">
        <f t="shared" si="5"/>
        <v>0</v>
      </c>
      <c r="AO73" s="319">
        <f t="shared" si="6"/>
        <v>1650</v>
      </c>
      <c r="AP73" s="319">
        <f t="shared" si="7"/>
        <v>0</v>
      </c>
      <c r="AQ73" s="168" t="s">
        <v>806</v>
      </c>
    </row>
    <row r="74" spans="1:47" s="169" customFormat="1" ht="26" x14ac:dyDescent="0.3">
      <c r="A74" s="509">
        <v>2</v>
      </c>
      <c r="B74" s="510" t="s">
        <v>849</v>
      </c>
      <c r="C74" s="409" t="s">
        <v>850</v>
      </c>
      <c r="D74" s="501">
        <v>5</v>
      </c>
      <c r="E74" s="515">
        <v>180</v>
      </c>
      <c r="F74" s="515">
        <v>3</v>
      </c>
      <c r="G74" s="528">
        <v>1</v>
      </c>
      <c r="H74" s="528">
        <v>0</v>
      </c>
      <c r="I74" s="504">
        <f>D74*E74*F74*G74+100</f>
        <v>2800</v>
      </c>
      <c r="J74" s="529">
        <f t="shared" si="100"/>
        <v>0</v>
      </c>
      <c r="K74" s="529">
        <f>I74</f>
        <v>2800</v>
      </c>
      <c r="L74" s="529"/>
      <c r="M74" s="529"/>
      <c r="N74" s="416">
        <v>0</v>
      </c>
      <c r="O74" s="507" t="s">
        <v>851</v>
      </c>
      <c r="P74" s="170"/>
      <c r="Q74" s="409" t="s">
        <v>850</v>
      </c>
      <c r="R74" s="501">
        <v>5</v>
      </c>
      <c r="S74" s="515">
        <v>120</v>
      </c>
      <c r="T74" s="515">
        <v>3</v>
      </c>
      <c r="U74" s="528">
        <v>1</v>
      </c>
      <c r="V74" s="528">
        <v>0</v>
      </c>
      <c r="W74" s="529">
        <f>R74*S74*T74*U74+100</f>
        <v>1900</v>
      </c>
      <c r="X74" s="529">
        <f t="shared" si="102"/>
        <v>0</v>
      </c>
      <c r="Y74" s="529">
        <f t="shared" si="103"/>
        <v>1900</v>
      </c>
      <c r="Z74" s="529"/>
      <c r="AA74" s="529"/>
      <c r="AB74" s="416">
        <v>0</v>
      </c>
      <c r="AC74" s="417" t="s">
        <v>852</v>
      </c>
      <c r="AD74" s="227"/>
      <c r="AE74" s="241">
        <v>2</v>
      </c>
      <c r="AF74" s="204" t="str">
        <f t="shared" si="14"/>
        <v>Collation trimenstrielles pour les filles participantes aux focus groupes</v>
      </c>
      <c r="AG74" s="528">
        <f t="shared" si="61"/>
        <v>1</v>
      </c>
      <c r="AH74" s="528">
        <f t="shared" si="62"/>
        <v>0</v>
      </c>
      <c r="AI74" s="529">
        <f t="shared" si="104"/>
        <v>4700</v>
      </c>
      <c r="AJ74" s="529">
        <f t="shared" si="105"/>
        <v>0</v>
      </c>
      <c r="AK74" s="529">
        <f t="shared" si="106"/>
        <v>0</v>
      </c>
      <c r="AL74" s="529">
        <f t="shared" si="18"/>
        <v>4700</v>
      </c>
      <c r="AM74" s="319">
        <f t="shared" ref="AM74:AM137" si="107">I74</f>
        <v>2800</v>
      </c>
      <c r="AN74" s="319">
        <f t="shared" ref="AN74:AN137" si="108">N74</f>
        <v>0</v>
      </c>
      <c r="AO74" s="319">
        <f t="shared" ref="AO74:AO137" si="109">W74</f>
        <v>1900</v>
      </c>
      <c r="AP74" s="319">
        <f t="shared" ref="AP74:AP137" si="110">AB74</f>
        <v>0</v>
      </c>
      <c r="AQ74" s="168" t="s">
        <v>806</v>
      </c>
    </row>
    <row r="75" spans="1:47" s="169" customFormat="1" x14ac:dyDescent="0.3">
      <c r="A75" s="509">
        <v>3</v>
      </c>
      <c r="B75" s="510" t="s">
        <v>429</v>
      </c>
      <c r="C75" s="409" t="s">
        <v>853</v>
      </c>
      <c r="D75" s="501">
        <v>2.5</v>
      </c>
      <c r="E75" s="515">
        <v>165</v>
      </c>
      <c r="F75" s="515">
        <v>1</v>
      </c>
      <c r="G75" s="528">
        <v>1</v>
      </c>
      <c r="H75" s="528">
        <v>0</v>
      </c>
      <c r="I75" s="504">
        <f t="shared" si="99"/>
        <v>412.5</v>
      </c>
      <c r="J75" s="529">
        <f t="shared" si="100"/>
        <v>0</v>
      </c>
      <c r="K75" s="529">
        <f>I75</f>
        <v>412.5</v>
      </c>
      <c r="L75" s="529"/>
      <c r="M75" s="529"/>
      <c r="N75" s="416">
        <v>0</v>
      </c>
      <c r="O75" s="507" t="s">
        <v>854</v>
      </c>
      <c r="P75" s="170"/>
      <c r="Q75" s="409" t="s">
        <v>853</v>
      </c>
      <c r="R75" s="501">
        <v>2.5</v>
      </c>
      <c r="S75" s="515">
        <v>110</v>
      </c>
      <c r="T75" s="515">
        <v>1</v>
      </c>
      <c r="U75" s="528">
        <v>1</v>
      </c>
      <c r="V75" s="528">
        <v>0</v>
      </c>
      <c r="W75" s="529">
        <f t="shared" ref="W75:W79" si="111">R75*S75*T75*U75</f>
        <v>275</v>
      </c>
      <c r="X75" s="529">
        <f t="shared" si="102"/>
        <v>0</v>
      </c>
      <c r="Y75" s="529">
        <f t="shared" si="103"/>
        <v>275</v>
      </c>
      <c r="Z75" s="529"/>
      <c r="AA75" s="529"/>
      <c r="AB75" s="416">
        <v>0</v>
      </c>
      <c r="AC75" s="417" t="s">
        <v>855</v>
      </c>
      <c r="AD75" s="227"/>
      <c r="AE75" s="241">
        <v>3</v>
      </c>
      <c r="AF75" s="204" t="str">
        <f t="shared" si="14"/>
        <v>Fourniture de  formation</v>
      </c>
      <c r="AG75" s="528">
        <f t="shared" si="61"/>
        <v>1</v>
      </c>
      <c r="AH75" s="528">
        <f t="shared" si="62"/>
        <v>0</v>
      </c>
      <c r="AI75" s="529">
        <f t="shared" si="104"/>
        <v>687.5</v>
      </c>
      <c r="AJ75" s="529">
        <f t="shared" si="105"/>
        <v>0</v>
      </c>
      <c r="AK75" s="529">
        <f t="shared" si="106"/>
        <v>0</v>
      </c>
      <c r="AL75" s="529">
        <f t="shared" ref="AL75:AL136" si="112">AI75+AJ75+AK75</f>
        <v>687.5</v>
      </c>
      <c r="AM75" s="319">
        <f t="shared" si="107"/>
        <v>412.5</v>
      </c>
      <c r="AN75" s="319">
        <f t="shared" si="108"/>
        <v>0</v>
      </c>
      <c r="AO75" s="319">
        <f t="shared" si="109"/>
        <v>275</v>
      </c>
      <c r="AP75" s="319">
        <f t="shared" si="110"/>
        <v>0</v>
      </c>
      <c r="AQ75" s="168" t="s">
        <v>806</v>
      </c>
    </row>
    <row r="76" spans="1:47" s="169" customFormat="1" ht="39" x14ac:dyDescent="0.3">
      <c r="A76" s="509">
        <v>4</v>
      </c>
      <c r="B76" s="510" t="s">
        <v>856</v>
      </c>
      <c r="C76" s="409" t="s">
        <v>857</v>
      </c>
      <c r="D76" s="501">
        <v>45</v>
      </c>
      <c r="E76" s="515">
        <v>20</v>
      </c>
      <c r="F76" s="515">
        <v>4</v>
      </c>
      <c r="G76" s="528">
        <v>1</v>
      </c>
      <c r="H76" s="528">
        <v>0</v>
      </c>
      <c r="I76" s="504">
        <f t="shared" si="99"/>
        <v>3600</v>
      </c>
      <c r="J76" s="529">
        <f t="shared" si="100"/>
        <v>0</v>
      </c>
      <c r="K76" s="529">
        <f>I76*40/100</f>
        <v>1440</v>
      </c>
      <c r="L76" s="529">
        <f>I76*30/100</f>
        <v>1080</v>
      </c>
      <c r="M76" s="529">
        <f>I76*30/100</f>
        <v>1080</v>
      </c>
      <c r="N76" s="416">
        <v>0</v>
      </c>
      <c r="O76" s="507" t="s">
        <v>858</v>
      </c>
      <c r="P76" s="170"/>
      <c r="Q76" s="409" t="s">
        <v>857</v>
      </c>
      <c r="R76" s="501">
        <v>45</v>
      </c>
      <c r="S76" s="515">
        <v>20</v>
      </c>
      <c r="T76" s="515">
        <v>4</v>
      </c>
      <c r="U76" s="528">
        <v>1</v>
      </c>
      <c r="V76" s="528">
        <v>0</v>
      </c>
      <c r="W76" s="529">
        <f t="shared" si="111"/>
        <v>3600</v>
      </c>
      <c r="X76" s="529">
        <f t="shared" si="102"/>
        <v>0</v>
      </c>
      <c r="Y76" s="529">
        <f>W76*40/100</f>
        <v>1440</v>
      </c>
      <c r="Z76" s="529">
        <f>W76*30/100</f>
        <v>1080</v>
      </c>
      <c r="AA76" s="529">
        <f>W76*30/100</f>
        <v>1080</v>
      </c>
      <c r="AB76" s="416">
        <v>0</v>
      </c>
      <c r="AC76" s="417" t="s">
        <v>859</v>
      </c>
      <c r="AD76" s="227"/>
      <c r="AE76" s="241">
        <v>4</v>
      </c>
      <c r="AF76" s="204" t="str">
        <f t="shared" ref="AF76:AF139" si="113">B76</f>
        <v>Mission de suivi-Supervision et coordination par les equipes de EPST NK1</v>
      </c>
      <c r="AG76" s="528">
        <f t="shared" si="61"/>
        <v>1</v>
      </c>
      <c r="AH76" s="528">
        <f t="shared" si="62"/>
        <v>0</v>
      </c>
      <c r="AI76" s="529">
        <f t="shared" si="104"/>
        <v>7200</v>
      </c>
      <c r="AJ76" s="529">
        <f t="shared" si="105"/>
        <v>0</v>
      </c>
      <c r="AK76" s="529">
        <f t="shared" si="106"/>
        <v>0</v>
      </c>
      <c r="AL76" s="529">
        <f t="shared" si="112"/>
        <v>7200</v>
      </c>
      <c r="AM76" s="319">
        <f t="shared" si="107"/>
        <v>3600</v>
      </c>
      <c r="AN76" s="319">
        <f t="shared" si="108"/>
        <v>0</v>
      </c>
      <c r="AO76" s="319">
        <f t="shared" si="109"/>
        <v>3600</v>
      </c>
      <c r="AP76" s="319">
        <f t="shared" si="110"/>
        <v>0</v>
      </c>
      <c r="AQ76" s="168" t="s">
        <v>806</v>
      </c>
    </row>
    <row r="77" spans="1:47" s="169" customFormat="1" ht="33.65" customHeight="1" x14ac:dyDescent="0.3">
      <c r="A77" s="509">
        <v>5</v>
      </c>
      <c r="B77" s="510" t="s">
        <v>860</v>
      </c>
      <c r="C77" s="409" t="s">
        <v>857</v>
      </c>
      <c r="D77" s="501">
        <v>45</v>
      </c>
      <c r="E77" s="515">
        <v>36</v>
      </c>
      <c r="F77" s="502">
        <v>9</v>
      </c>
      <c r="G77" s="528">
        <v>1</v>
      </c>
      <c r="H77" s="528">
        <v>0</v>
      </c>
      <c r="I77" s="504">
        <f t="shared" si="99"/>
        <v>14580</v>
      </c>
      <c r="J77" s="529">
        <f t="shared" si="100"/>
        <v>0</v>
      </c>
      <c r="K77" s="529">
        <f>I77*40/100</f>
        <v>5832</v>
      </c>
      <c r="L77" s="529">
        <f>I77*30/100</f>
        <v>4374</v>
      </c>
      <c r="M77" s="529">
        <f>I77*30/100</f>
        <v>4374</v>
      </c>
      <c r="N77" s="416">
        <v>0</v>
      </c>
      <c r="O77" s="507" t="s">
        <v>861</v>
      </c>
      <c r="P77" s="170"/>
      <c r="Q77" s="409" t="s">
        <v>857</v>
      </c>
      <c r="R77" s="501">
        <v>45</v>
      </c>
      <c r="S77" s="515">
        <v>36</v>
      </c>
      <c r="T77" s="515">
        <v>10</v>
      </c>
      <c r="U77" s="528">
        <v>1</v>
      </c>
      <c r="V77" s="528">
        <v>0</v>
      </c>
      <c r="W77" s="529">
        <f t="shared" si="111"/>
        <v>16200</v>
      </c>
      <c r="X77" s="529">
        <f t="shared" si="102"/>
        <v>0</v>
      </c>
      <c r="Y77" s="529">
        <f t="shared" ref="Y77:Y79" si="114">W77*40/100</f>
        <v>6480</v>
      </c>
      <c r="Z77" s="529">
        <f t="shared" ref="Z77:Z79" si="115">W77*30/100</f>
        <v>4860</v>
      </c>
      <c r="AA77" s="529">
        <f t="shared" ref="AA77:AA79" si="116">W77*30/100</f>
        <v>4860</v>
      </c>
      <c r="AB77" s="416">
        <v>0</v>
      </c>
      <c r="AC77" s="417" t="s">
        <v>862</v>
      </c>
      <c r="AD77" s="227"/>
      <c r="AE77" s="241">
        <v>5</v>
      </c>
      <c r="AF77" s="204" t="str">
        <f t="shared" si="113"/>
        <v>Mission de suivi-Supervision et coordination par les equipes  des sous divisions educatinelles de Rutshuru1, Nyiragongo 1 et 2</v>
      </c>
      <c r="AG77" s="528">
        <f t="shared" si="61"/>
        <v>1</v>
      </c>
      <c r="AH77" s="528">
        <f t="shared" si="62"/>
        <v>0</v>
      </c>
      <c r="AI77" s="529">
        <f t="shared" si="104"/>
        <v>30780</v>
      </c>
      <c r="AJ77" s="529">
        <f t="shared" si="105"/>
        <v>0</v>
      </c>
      <c r="AK77" s="529">
        <f t="shared" si="106"/>
        <v>0</v>
      </c>
      <c r="AL77" s="529">
        <f t="shared" si="112"/>
        <v>30780</v>
      </c>
      <c r="AM77" s="319">
        <f t="shared" si="107"/>
        <v>14580</v>
      </c>
      <c r="AN77" s="319">
        <f t="shared" si="108"/>
        <v>0</v>
      </c>
      <c r="AO77" s="319">
        <f t="shared" si="109"/>
        <v>16200</v>
      </c>
      <c r="AP77" s="319">
        <f t="shared" si="110"/>
        <v>0</v>
      </c>
      <c r="AQ77" s="168" t="s">
        <v>806</v>
      </c>
      <c r="AT77" s="283" t="s">
        <v>863</v>
      </c>
      <c r="AU77" s="169" t="s">
        <v>864</v>
      </c>
    </row>
    <row r="78" spans="1:47" s="169" customFormat="1" ht="26" x14ac:dyDescent="0.3">
      <c r="A78" s="509">
        <v>6</v>
      </c>
      <c r="B78" s="510" t="s">
        <v>865</v>
      </c>
      <c r="C78" s="409" t="s">
        <v>469</v>
      </c>
      <c r="D78" s="501">
        <v>1.4</v>
      </c>
      <c r="E78" s="515">
        <v>300</v>
      </c>
      <c r="F78" s="515">
        <v>4</v>
      </c>
      <c r="G78" s="528">
        <v>1</v>
      </c>
      <c r="H78" s="528">
        <v>0</v>
      </c>
      <c r="I78" s="504">
        <f t="shared" si="99"/>
        <v>1680</v>
      </c>
      <c r="J78" s="529">
        <f t="shared" si="100"/>
        <v>0</v>
      </c>
      <c r="K78" s="529">
        <f>I78*40/100</f>
        <v>672</v>
      </c>
      <c r="L78" s="529">
        <f>I78*30/100</f>
        <v>504</v>
      </c>
      <c r="M78" s="529">
        <f>I78*30/100</f>
        <v>504</v>
      </c>
      <c r="N78" s="416">
        <v>0</v>
      </c>
      <c r="O78" s="507" t="s">
        <v>866</v>
      </c>
      <c r="P78" s="170"/>
      <c r="Q78" s="409" t="s">
        <v>469</v>
      </c>
      <c r="R78" s="501">
        <v>1.4</v>
      </c>
      <c r="S78" s="515">
        <v>300</v>
      </c>
      <c r="T78" s="515">
        <v>4</v>
      </c>
      <c r="U78" s="528">
        <v>1</v>
      </c>
      <c r="V78" s="528">
        <v>0</v>
      </c>
      <c r="W78" s="529">
        <f t="shared" si="111"/>
        <v>1680</v>
      </c>
      <c r="X78" s="529">
        <f t="shared" si="102"/>
        <v>0</v>
      </c>
      <c r="Y78" s="529">
        <f t="shared" si="114"/>
        <v>672</v>
      </c>
      <c r="Z78" s="529">
        <f t="shared" si="115"/>
        <v>504</v>
      </c>
      <c r="AA78" s="529">
        <f t="shared" si="116"/>
        <v>504</v>
      </c>
      <c r="AB78" s="416">
        <v>0</v>
      </c>
      <c r="AC78" s="417" t="s">
        <v>867</v>
      </c>
      <c r="AD78" s="227"/>
      <c r="AE78" s="241">
        <v>6</v>
      </c>
      <c r="AF78" s="204" t="str">
        <f t="shared" si="113"/>
        <v>Carburant pour le vehicule de l'EPST NK1 lors des missions dans la SDE Rutsuru 1</v>
      </c>
      <c r="AG78" s="528">
        <f t="shared" si="61"/>
        <v>1</v>
      </c>
      <c r="AH78" s="528">
        <f t="shared" si="62"/>
        <v>0</v>
      </c>
      <c r="AI78" s="529">
        <f t="shared" si="104"/>
        <v>3360</v>
      </c>
      <c r="AJ78" s="529">
        <f t="shared" si="105"/>
        <v>0</v>
      </c>
      <c r="AK78" s="529">
        <f t="shared" si="106"/>
        <v>0</v>
      </c>
      <c r="AL78" s="529">
        <f t="shared" si="112"/>
        <v>3360</v>
      </c>
      <c r="AM78" s="319">
        <f t="shared" si="107"/>
        <v>1680</v>
      </c>
      <c r="AN78" s="319">
        <f t="shared" si="108"/>
        <v>0</v>
      </c>
      <c r="AO78" s="319">
        <f t="shared" si="109"/>
        <v>1680</v>
      </c>
      <c r="AP78" s="319">
        <f t="shared" si="110"/>
        <v>0</v>
      </c>
      <c r="AQ78" s="168" t="s">
        <v>806</v>
      </c>
    </row>
    <row r="79" spans="1:47" s="169" customFormat="1" x14ac:dyDescent="0.3">
      <c r="A79" s="509">
        <v>7</v>
      </c>
      <c r="B79" s="510" t="s">
        <v>868</v>
      </c>
      <c r="C79" s="409" t="s">
        <v>469</v>
      </c>
      <c r="D79" s="501">
        <v>1.4</v>
      </c>
      <c r="E79" s="515">
        <v>100</v>
      </c>
      <c r="F79" s="502">
        <v>9</v>
      </c>
      <c r="G79" s="528">
        <v>1</v>
      </c>
      <c r="H79" s="528">
        <v>0</v>
      </c>
      <c r="I79" s="504">
        <f t="shared" si="99"/>
        <v>1260</v>
      </c>
      <c r="J79" s="529">
        <f t="shared" si="100"/>
        <v>0</v>
      </c>
      <c r="K79" s="529">
        <f>I79*40/100</f>
        <v>504</v>
      </c>
      <c r="L79" s="529">
        <f>I79*30/100</f>
        <v>378</v>
      </c>
      <c r="M79" s="529">
        <f>I79*30/100</f>
        <v>378</v>
      </c>
      <c r="N79" s="416">
        <v>0</v>
      </c>
      <c r="O79" s="507" t="s">
        <v>869</v>
      </c>
      <c r="P79" s="170"/>
      <c r="Q79" s="409" t="s">
        <v>469</v>
      </c>
      <c r="R79" s="501">
        <v>1.4</v>
      </c>
      <c r="S79" s="515">
        <v>100</v>
      </c>
      <c r="T79" s="515">
        <v>10</v>
      </c>
      <c r="U79" s="528">
        <v>1</v>
      </c>
      <c r="V79" s="528">
        <v>0</v>
      </c>
      <c r="W79" s="529">
        <f t="shared" si="111"/>
        <v>1400</v>
      </c>
      <c r="X79" s="529">
        <f t="shared" si="102"/>
        <v>0</v>
      </c>
      <c r="Y79" s="529">
        <f t="shared" si="114"/>
        <v>560</v>
      </c>
      <c r="Z79" s="529">
        <f t="shared" si="115"/>
        <v>420</v>
      </c>
      <c r="AA79" s="529">
        <f t="shared" si="116"/>
        <v>420</v>
      </c>
      <c r="AB79" s="416">
        <v>0</v>
      </c>
      <c r="AC79" s="417" t="s">
        <v>870</v>
      </c>
      <c r="AD79" s="227"/>
      <c r="AE79" s="241">
        <v>7</v>
      </c>
      <c r="AF79" s="204" t="str">
        <f t="shared" si="113"/>
        <v>Carburant pour la Moto de la SDE  Rutshuru  1  lors des mission dans les ecoles</v>
      </c>
      <c r="AG79" s="528">
        <f t="shared" si="61"/>
        <v>1</v>
      </c>
      <c r="AH79" s="528">
        <f t="shared" si="62"/>
        <v>0</v>
      </c>
      <c r="AI79" s="529">
        <f t="shared" si="104"/>
        <v>2660</v>
      </c>
      <c r="AJ79" s="529">
        <f t="shared" si="105"/>
        <v>0</v>
      </c>
      <c r="AK79" s="529">
        <f t="shared" si="106"/>
        <v>0</v>
      </c>
      <c r="AL79" s="529">
        <f t="shared" si="112"/>
        <v>2660</v>
      </c>
      <c r="AM79" s="319">
        <f t="shared" si="107"/>
        <v>1260</v>
      </c>
      <c r="AN79" s="319">
        <f t="shared" si="108"/>
        <v>0</v>
      </c>
      <c r="AO79" s="319">
        <f t="shared" si="109"/>
        <v>1400</v>
      </c>
      <c r="AP79" s="319">
        <f t="shared" si="110"/>
        <v>0</v>
      </c>
      <c r="AQ79" s="168" t="s">
        <v>806</v>
      </c>
    </row>
    <row r="80" spans="1:47" s="310" customFormat="1" ht="27" customHeight="1" x14ac:dyDescent="0.3">
      <c r="A80" s="480" t="s">
        <v>249</v>
      </c>
      <c r="B80" s="861" t="s">
        <v>304</v>
      </c>
      <c r="C80" s="862"/>
      <c r="D80" s="862"/>
      <c r="E80" s="862"/>
      <c r="F80" s="862"/>
      <c r="G80" s="862"/>
      <c r="H80" s="863"/>
      <c r="I80" s="481">
        <f t="shared" ref="I80:N80" si="117">SUM(I81:I94)</f>
        <v>179649</v>
      </c>
      <c r="J80" s="481">
        <f t="shared" si="117"/>
        <v>4986</v>
      </c>
      <c r="K80" s="481">
        <f t="shared" si="117"/>
        <v>71859.599999999991</v>
      </c>
      <c r="L80" s="481">
        <f t="shared" si="117"/>
        <v>53894.700000000004</v>
      </c>
      <c r="M80" s="481">
        <f t="shared" si="117"/>
        <v>53894.700000000004</v>
      </c>
      <c r="N80" s="481">
        <f t="shared" si="117"/>
        <v>0</v>
      </c>
      <c r="O80" s="508"/>
      <c r="P80" s="168"/>
      <c r="Q80" s="192"/>
      <c r="R80" s="193"/>
      <c r="S80" s="192"/>
      <c r="T80" s="193"/>
      <c r="U80" s="193"/>
      <c r="V80" s="484"/>
      <c r="W80" s="481">
        <f t="shared" ref="W80:AB80" si="118">SUM(W81:W94)</f>
        <v>192969</v>
      </c>
      <c r="X80" s="481">
        <f t="shared" si="118"/>
        <v>4986</v>
      </c>
      <c r="Y80" s="481">
        <f t="shared" si="118"/>
        <v>77187.600000000006</v>
      </c>
      <c r="Z80" s="481">
        <f t="shared" si="118"/>
        <v>57890.7</v>
      </c>
      <c r="AA80" s="481">
        <f t="shared" si="118"/>
        <v>57890.7</v>
      </c>
      <c r="AB80" s="481">
        <f t="shared" si="118"/>
        <v>0</v>
      </c>
      <c r="AC80" s="508"/>
      <c r="AD80" s="234"/>
      <c r="AE80" s="247" t="str">
        <f>A80</f>
        <v>1.2.5</v>
      </c>
      <c r="AF80" s="242" t="str">
        <f t="shared" si="113"/>
        <v>Supervision technique et coordination du programme dans les ecoles</v>
      </c>
      <c r="AG80" s="485"/>
      <c r="AH80" s="485"/>
      <c r="AI80" s="482">
        <f>SUM(AI81:AI94)</f>
        <v>372618</v>
      </c>
      <c r="AJ80" s="482">
        <f>SUM(AJ81:AJ94)</f>
        <v>0</v>
      </c>
      <c r="AK80" s="482">
        <f>SUM(AK81:AK94)</f>
        <v>9972</v>
      </c>
      <c r="AL80" s="482">
        <f>SUM(AL81:AL94)</f>
        <v>382590</v>
      </c>
      <c r="AM80" s="314">
        <f t="shared" si="107"/>
        <v>179649</v>
      </c>
      <c r="AN80" s="314">
        <f t="shared" si="108"/>
        <v>0</v>
      </c>
      <c r="AO80" s="314">
        <f t="shared" si="109"/>
        <v>192969</v>
      </c>
      <c r="AP80" s="314">
        <f t="shared" si="110"/>
        <v>0</v>
      </c>
      <c r="AQ80" s="206"/>
    </row>
    <row r="81" spans="1:43" ht="45.65" customHeight="1" x14ac:dyDescent="0.3">
      <c r="A81" s="530">
        <v>1</v>
      </c>
      <c r="B81" s="510" t="s">
        <v>871</v>
      </c>
      <c r="C81" s="409" t="s">
        <v>419</v>
      </c>
      <c r="D81" s="511">
        <v>1813</v>
      </c>
      <c r="E81" s="502">
        <v>1</v>
      </c>
      <c r="F81" s="502">
        <v>9</v>
      </c>
      <c r="G81" s="503">
        <f>I81/(I81+J81)</f>
        <v>0.6944291230005516</v>
      </c>
      <c r="H81" s="503">
        <f>J81/(I81+J81)</f>
        <v>0.3055708769994484</v>
      </c>
      <c r="I81" s="416">
        <f>E81*F81*1259</f>
        <v>11331</v>
      </c>
      <c r="J81" s="506">
        <f>(D81*E81*F81)-I81</f>
        <v>4986</v>
      </c>
      <c r="K81" s="531">
        <f t="shared" ref="K81:K94" si="119">I81*40/100</f>
        <v>4532.3999999999996</v>
      </c>
      <c r="L81" s="531">
        <f t="shared" ref="L81:L94" si="120">I81*30/100</f>
        <v>3399.3</v>
      </c>
      <c r="M81" s="531">
        <f t="shared" ref="M81:M94" si="121">I81*30/100</f>
        <v>3399.3</v>
      </c>
      <c r="N81" s="416">
        <v>0</v>
      </c>
      <c r="O81" s="507" t="s">
        <v>872</v>
      </c>
      <c r="P81" s="176"/>
      <c r="Q81" s="409" t="s">
        <v>419</v>
      </c>
      <c r="R81" s="511">
        <v>1813</v>
      </c>
      <c r="S81" s="502">
        <v>1</v>
      </c>
      <c r="T81" s="502">
        <v>9</v>
      </c>
      <c r="U81" s="503">
        <f>W81/(W81+X81)</f>
        <v>0.6944291230005516</v>
      </c>
      <c r="V81" s="503">
        <f>X81/(W81+X81)</f>
        <v>0.3055708769994484</v>
      </c>
      <c r="W81" s="416">
        <f>S81*T81*1259</f>
        <v>11331</v>
      </c>
      <c r="X81" s="506">
        <f>(R81*S81*T81)-W81</f>
        <v>4986</v>
      </c>
      <c r="Y81" s="531">
        <f>W81*40/100</f>
        <v>4532.3999999999996</v>
      </c>
      <c r="Z81" s="531">
        <f>W81*30/100</f>
        <v>3399.3</v>
      </c>
      <c r="AA81" s="531">
        <f>W81*30/100</f>
        <v>3399.3</v>
      </c>
      <c r="AB81" s="416">
        <v>0</v>
      </c>
      <c r="AC81" s="417" t="s">
        <v>873</v>
      </c>
      <c r="AD81" s="227"/>
      <c r="AE81" s="241">
        <v>3</v>
      </c>
      <c r="AF81" s="204" t="str">
        <f t="shared" si="113"/>
        <v>Coordinateur des interventions Wash</v>
      </c>
      <c r="AG81" s="532">
        <f t="shared" ref="AG81:AG94" si="122">AI81/($AI81+$AK81)</f>
        <v>0.6944291230005516</v>
      </c>
      <c r="AH81" s="532">
        <f t="shared" ref="AH81:AH94" si="123">AK81/($AI81+$AK81)</f>
        <v>0.3055708769994484</v>
      </c>
      <c r="AI81" s="531">
        <f t="shared" ref="AI81:AI94" si="124">I81+W81</f>
        <v>22662</v>
      </c>
      <c r="AJ81" s="531">
        <f t="shared" ref="AJ81:AJ94" si="125">N81+AB81</f>
        <v>0</v>
      </c>
      <c r="AK81" s="531">
        <f t="shared" ref="AK81:AK94" si="126">J81+X81</f>
        <v>9972</v>
      </c>
      <c r="AL81" s="531">
        <f t="shared" si="112"/>
        <v>32634</v>
      </c>
      <c r="AM81" s="320">
        <f t="shared" si="107"/>
        <v>11331</v>
      </c>
      <c r="AN81" s="320">
        <f t="shared" si="108"/>
        <v>0</v>
      </c>
      <c r="AO81" s="320">
        <f t="shared" si="109"/>
        <v>11331</v>
      </c>
      <c r="AP81" s="320">
        <f t="shared" si="110"/>
        <v>0</v>
      </c>
      <c r="AQ81" s="168" t="s">
        <v>806</v>
      </c>
    </row>
    <row r="82" spans="1:43" s="169" customFormat="1" ht="45.65" customHeight="1" x14ac:dyDescent="0.3">
      <c r="A82" s="530">
        <v>2</v>
      </c>
      <c r="B82" s="510" t="s">
        <v>874</v>
      </c>
      <c r="C82" s="409" t="s">
        <v>90</v>
      </c>
      <c r="D82" s="501">
        <v>1121</v>
      </c>
      <c r="E82" s="515">
        <v>1</v>
      </c>
      <c r="F82" s="515">
        <v>9</v>
      </c>
      <c r="G82" s="528">
        <v>1</v>
      </c>
      <c r="H82" s="528">
        <v>0</v>
      </c>
      <c r="I82" s="504">
        <f t="shared" ref="I82" si="127">D82*E82*F82*G82</f>
        <v>10089</v>
      </c>
      <c r="J82" s="529">
        <f t="shared" ref="J82" si="128">D82*E82*F82*H82</f>
        <v>0</v>
      </c>
      <c r="K82" s="529">
        <f t="shared" si="119"/>
        <v>4035.6</v>
      </c>
      <c r="L82" s="529">
        <f t="shared" si="120"/>
        <v>3026.7</v>
      </c>
      <c r="M82" s="529">
        <f t="shared" si="121"/>
        <v>3026.7</v>
      </c>
      <c r="N82" s="416">
        <v>0</v>
      </c>
      <c r="O82" s="507" t="s">
        <v>875</v>
      </c>
      <c r="P82" s="170"/>
      <c r="Q82" s="409" t="s">
        <v>90</v>
      </c>
      <c r="R82" s="501">
        <v>1121</v>
      </c>
      <c r="S82" s="515">
        <v>1</v>
      </c>
      <c r="T82" s="515">
        <v>9</v>
      </c>
      <c r="U82" s="528">
        <v>1</v>
      </c>
      <c r="V82" s="528">
        <v>0</v>
      </c>
      <c r="W82" s="529">
        <f t="shared" ref="W82" si="129">R82*S82*T82*U82</f>
        <v>10089</v>
      </c>
      <c r="X82" s="529">
        <f t="shared" ref="X82" si="130">R82*S82*T82*V82</f>
        <v>0</v>
      </c>
      <c r="Y82" s="529">
        <f t="shared" ref="Y82" si="131">W82*40/100</f>
        <v>4035.6</v>
      </c>
      <c r="Z82" s="529">
        <f t="shared" ref="Z82" si="132">W82*30/100</f>
        <v>3026.7</v>
      </c>
      <c r="AA82" s="529">
        <f t="shared" ref="AA82" si="133">W82*30/100</f>
        <v>3026.7</v>
      </c>
      <c r="AB82" s="416">
        <v>0</v>
      </c>
      <c r="AC82" s="507" t="s">
        <v>876</v>
      </c>
      <c r="AD82" s="228"/>
      <c r="AE82" s="241">
        <v>4</v>
      </c>
      <c r="AF82" s="204" t="str">
        <f t="shared" si="113"/>
        <v>Comptable du projet</v>
      </c>
      <c r="AG82" s="528">
        <f t="shared" si="122"/>
        <v>1</v>
      </c>
      <c r="AH82" s="528">
        <f t="shared" si="123"/>
        <v>0</v>
      </c>
      <c r="AI82" s="529">
        <f t="shared" si="124"/>
        <v>20178</v>
      </c>
      <c r="AJ82" s="529">
        <f t="shared" si="125"/>
        <v>0</v>
      </c>
      <c r="AK82" s="529">
        <f t="shared" si="126"/>
        <v>0</v>
      </c>
      <c r="AL82" s="529">
        <f t="shared" si="112"/>
        <v>20178</v>
      </c>
      <c r="AM82" s="319">
        <f t="shared" si="107"/>
        <v>10089</v>
      </c>
      <c r="AN82" s="319">
        <f t="shared" si="108"/>
        <v>0</v>
      </c>
      <c r="AO82" s="319">
        <f t="shared" si="109"/>
        <v>10089</v>
      </c>
      <c r="AP82" s="319">
        <f t="shared" si="110"/>
        <v>0</v>
      </c>
      <c r="AQ82" s="168" t="s">
        <v>806</v>
      </c>
    </row>
    <row r="83" spans="1:43" s="169" customFormat="1" ht="39" x14ac:dyDescent="0.3">
      <c r="A83" s="530">
        <v>3</v>
      </c>
      <c r="B83" s="510" t="s">
        <v>877</v>
      </c>
      <c r="C83" s="409" t="s">
        <v>419</v>
      </c>
      <c r="D83" s="501">
        <v>1121</v>
      </c>
      <c r="E83" s="515">
        <v>2</v>
      </c>
      <c r="F83" s="515">
        <v>9</v>
      </c>
      <c r="G83" s="528">
        <v>1</v>
      </c>
      <c r="H83" s="528">
        <v>0</v>
      </c>
      <c r="I83" s="504">
        <f t="shared" ref="I83:I94" si="134">D83*E83*F83*G83</f>
        <v>20178</v>
      </c>
      <c r="J83" s="529">
        <f t="shared" ref="J83:J94" si="135">D83*E83*F83*H83</f>
        <v>0</v>
      </c>
      <c r="K83" s="529">
        <f t="shared" si="119"/>
        <v>8071.2</v>
      </c>
      <c r="L83" s="529">
        <f t="shared" si="120"/>
        <v>6053.4</v>
      </c>
      <c r="M83" s="529">
        <f t="shared" si="121"/>
        <v>6053.4</v>
      </c>
      <c r="N83" s="416">
        <v>0</v>
      </c>
      <c r="O83" s="507" t="s">
        <v>430</v>
      </c>
      <c r="P83" s="170"/>
      <c r="Q83" s="409" t="s">
        <v>419</v>
      </c>
      <c r="R83" s="501">
        <v>1121</v>
      </c>
      <c r="S83" s="515">
        <v>3</v>
      </c>
      <c r="T83" s="515">
        <v>9</v>
      </c>
      <c r="U83" s="528">
        <v>1</v>
      </c>
      <c r="V83" s="528">
        <v>0</v>
      </c>
      <c r="W83" s="529">
        <f t="shared" ref="W83:W94" si="136">R83*S83*T83*U83</f>
        <v>30267</v>
      </c>
      <c r="X83" s="529">
        <f t="shared" ref="X83:X94" si="137">R83*S83*T83*V83</f>
        <v>0</v>
      </c>
      <c r="Y83" s="529">
        <f t="shared" ref="Y83:Y94" si="138">W83*40/100</f>
        <v>12106.8</v>
      </c>
      <c r="Z83" s="529">
        <f t="shared" ref="Z83:Z94" si="139">W83*30/100</f>
        <v>9080.1</v>
      </c>
      <c r="AA83" s="529">
        <f t="shared" ref="AA83:AA94" si="140">W83*30/100</f>
        <v>9080.1</v>
      </c>
      <c r="AB83" s="416">
        <v>0</v>
      </c>
      <c r="AC83" s="507" t="s">
        <v>430</v>
      </c>
      <c r="AD83" s="227"/>
      <c r="AE83" s="241">
        <v>5</v>
      </c>
      <c r="AF83" s="204" t="str">
        <f t="shared" si="113"/>
        <v>Superviseurs  Techniques (Wash)</v>
      </c>
      <c r="AG83" s="528">
        <f t="shared" si="122"/>
        <v>1</v>
      </c>
      <c r="AH83" s="528">
        <f t="shared" si="123"/>
        <v>0</v>
      </c>
      <c r="AI83" s="529">
        <f t="shared" si="124"/>
        <v>50445</v>
      </c>
      <c r="AJ83" s="529">
        <f t="shared" si="125"/>
        <v>0</v>
      </c>
      <c r="AK83" s="529">
        <f t="shared" si="126"/>
        <v>0</v>
      </c>
      <c r="AL83" s="529">
        <f t="shared" si="112"/>
        <v>50445</v>
      </c>
      <c r="AM83" s="319">
        <f t="shared" si="107"/>
        <v>20178</v>
      </c>
      <c r="AN83" s="319">
        <f t="shared" si="108"/>
        <v>0</v>
      </c>
      <c r="AO83" s="319">
        <f t="shared" si="109"/>
        <v>30267</v>
      </c>
      <c r="AP83" s="319">
        <f t="shared" si="110"/>
        <v>0</v>
      </c>
      <c r="AQ83" s="168" t="s">
        <v>806</v>
      </c>
    </row>
    <row r="84" spans="1:43" s="169" customFormat="1" ht="44.15" customHeight="1" x14ac:dyDescent="0.3">
      <c r="A84" s="509">
        <v>4</v>
      </c>
      <c r="B84" s="510" t="s">
        <v>878</v>
      </c>
      <c r="C84" s="409" t="s">
        <v>93</v>
      </c>
      <c r="D84" s="501">
        <v>1050</v>
      </c>
      <c r="E84" s="515">
        <v>1</v>
      </c>
      <c r="F84" s="515">
        <v>9</v>
      </c>
      <c r="G84" s="528">
        <v>1</v>
      </c>
      <c r="H84" s="528">
        <v>0</v>
      </c>
      <c r="I84" s="504">
        <f t="shared" si="134"/>
        <v>9450</v>
      </c>
      <c r="J84" s="529">
        <f t="shared" si="135"/>
        <v>0</v>
      </c>
      <c r="K84" s="529">
        <f t="shared" si="119"/>
        <v>3780</v>
      </c>
      <c r="L84" s="529">
        <f t="shared" si="120"/>
        <v>2835</v>
      </c>
      <c r="M84" s="529">
        <f t="shared" si="121"/>
        <v>2835</v>
      </c>
      <c r="N84" s="416">
        <v>0</v>
      </c>
      <c r="O84" s="507" t="s">
        <v>431</v>
      </c>
      <c r="P84" s="170"/>
      <c r="Q84" s="409" t="s">
        <v>93</v>
      </c>
      <c r="R84" s="501">
        <v>1050</v>
      </c>
      <c r="S84" s="515">
        <v>1</v>
      </c>
      <c r="T84" s="515">
        <v>9</v>
      </c>
      <c r="U84" s="528">
        <v>1</v>
      </c>
      <c r="V84" s="528">
        <v>0</v>
      </c>
      <c r="W84" s="529">
        <f t="shared" si="136"/>
        <v>9450</v>
      </c>
      <c r="X84" s="529">
        <f t="shared" si="137"/>
        <v>0</v>
      </c>
      <c r="Y84" s="529">
        <f t="shared" si="138"/>
        <v>3780</v>
      </c>
      <c r="Z84" s="529">
        <f t="shared" si="139"/>
        <v>2835</v>
      </c>
      <c r="AA84" s="529">
        <f t="shared" si="140"/>
        <v>2835</v>
      </c>
      <c r="AB84" s="416">
        <v>0</v>
      </c>
      <c r="AC84" s="417" t="s">
        <v>879</v>
      </c>
      <c r="AD84" s="227"/>
      <c r="AE84" s="241">
        <v>7</v>
      </c>
      <c r="AF84" s="204" t="str">
        <f t="shared" si="113"/>
        <v xml:space="preserve">Ingenieur chargé des ouvrages hydrauliques et sanitaires </v>
      </c>
      <c r="AG84" s="528">
        <f t="shared" si="122"/>
        <v>1</v>
      </c>
      <c r="AH84" s="528">
        <f t="shared" si="123"/>
        <v>0</v>
      </c>
      <c r="AI84" s="529">
        <f t="shared" si="124"/>
        <v>18900</v>
      </c>
      <c r="AJ84" s="529">
        <f t="shared" si="125"/>
        <v>0</v>
      </c>
      <c r="AK84" s="529">
        <f t="shared" si="126"/>
        <v>0</v>
      </c>
      <c r="AL84" s="529">
        <f t="shared" si="112"/>
        <v>18900</v>
      </c>
      <c r="AM84" s="319">
        <f t="shared" si="107"/>
        <v>9450</v>
      </c>
      <c r="AN84" s="319">
        <f t="shared" si="108"/>
        <v>0</v>
      </c>
      <c r="AO84" s="319">
        <f t="shared" si="109"/>
        <v>9450</v>
      </c>
      <c r="AP84" s="319">
        <f t="shared" si="110"/>
        <v>0</v>
      </c>
      <c r="AQ84" s="168" t="s">
        <v>806</v>
      </c>
    </row>
    <row r="85" spans="1:43" s="169" customFormat="1" ht="47.15" customHeight="1" x14ac:dyDescent="0.3">
      <c r="A85" s="530">
        <v>5</v>
      </c>
      <c r="B85" s="510" t="s">
        <v>880</v>
      </c>
      <c r="C85" s="409" t="s">
        <v>419</v>
      </c>
      <c r="D85" s="501">
        <v>1000</v>
      </c>
      <c r="E85" s="515">
        <v>1</v>
      </c>
      <c r="F85" s="515">
        <v>9</v>
      </c>
      <c r="G85" s="528">
        <v>1</v>
      </c>
      <c r="H85" s="528">
        <v>0</v>
      </c>
      <c r="I85" s="504">
        <f t="shared" si="134"/>
        <v>9000</v>
      </c>
      <c r="J85" s="529">
        <f t="shared" si="135"/>
        <v>0</v>
      </c>
      <c r="K85" s="529">
        <f t="shared" si="119"/>
        <v>3600</v>
      </c>
      <c r="L85" s="529">
        <f t="shared" si="120"/>
        <v>2700</v>
      </c>
      <c r="M85" s="529">
        <f t="shared" si="121"/>
        <v>2700</v>
      </c>
      <c r="N85" s="416">
        <v>0</v>
      </c>
      <c r="O85" s="507" t="s">
        <v>432</v>
      </c>
      <c r="P85" s="170"/>
      <c r="Q85" s="409" t="s">
        <v>419</v>
      </c>
      <c r="R85" s="501">
        <v>1000</v>
      </c>
      <c r="S85" s="515">
        <v>1</v>
      </c>
      <c r="T85" s="515">
        <v>9</v>
      </c>
      <c r="U85" s="528">
        <v>1</v>
      </c>
      <c r="V85" s="528">
        <v>0</v>
      </c>
      <c r="W85" s="529">
        <f t="shared" si="136"/>
        <v>9000</v>
      </c>
      <c r="X85" s="529">
        <f t="shared" si="137"/>
        <v>0</v>
      </c>
      <c r="Y85" s="529">
        <f t="shared" si="138"/>
        <v>3600</v>
      </c>
      <c r="Z85" s="529">
        <f t="shared" si="139"/>
        <v>2700</v>
      </c>
      <c r="AA85" s="529">
        <f t="shared" si="140"/>
        <v>2700</v>
      </c>
      <c r="AB85" s="416">
        <v>0</v>
      </c>
      <c r="AC85" s="417" t="s">
        <v>881</v>
      </c>
      <c r="AD85" s="227"/>
      <c r="AE85" s="241">
        <v>8</v>
      </c>
      <c r="AF85" s="204" t="str">
        <f t="shared" si="113"/>
        <v>Assistant Chargé de suivi et evaluation (Meal Manager)</v>
      </c>
      <c r="AG85" s="528">
        <f t="shared" si="122"/>
        <v>1</v>
      </c>
      <c r="AH85" s="528">
        <f t="shared" si="123"/>
        <v>0</v>
      </c>
      <c r="AI85" s="529">
        <f t="shared" si="124"/>
        <v>18000</v>
      </c>
      <c r="AJ85" s="529">
        <f t="shared" si="125"/>
        <v>0</v>
      </c>
      <c r="AK85" s="529">
        <f t="shared" si="126"/>
        <v>0</v>
      </c>
      <c r="AL85" s="529">
        <f t="shared" si="112"/>
        <v>18000</v>
      </c>
      <c r="AM85" s="319">
        <f t="shared" si="107"/>
        <v>9000</v>
      </c>
      <c r="AN85" s="319">
        <f t="shared" si="108"/>
        <v>0</v>
      </c>
      <c r="AO85" s="319">
        <f t="shared" si="109"/>
        <v>9000</v>
      </c>
      <c r="AP85" s="319">
        <f t="shared" si="110"/>
        <v>0</v>
      </c>
      <c r="AQ85" s="168" t="s">
        <v>806</v>
      </c>
    </row>
    <row r="86" spans="1:43" s="169" customFormat="1" ht="52.4" customHeight="1" x14ac:dyDescent="0.3">
      <c r="A86" s="530">
        <v>6</v>
      </c>
      <c r="B86" s="510" t="s">
        <v>882</v>
      </c>
      <c r="C86" s="409" t="s">
        <v>883</v>
      </c>
      <c r="D86" s="501">
        <v>800</v>
      </c>
      <c r="E86" s="515">
        <v>3</v>
      </c>
      <c r="F86" s="515">
        <v>9</v>
      </c>
      <c r="G86" s="528">
        <v>1</v>
      </c>
      <c r="H86" s="528">
        <v>0</v>
      </c>
      <c r="I86" s="504">
        <f t="shared" si="134"/>
        <v>21600</v>
      </c>
      <c r="J86" s="529">
        <f t="shared" si="135"/>
        <v>0</v>
      </c>
      <c r="K86" s="529">
        <f t="shared" si="119"/>
        <v>8640</v>
      </c>
      <c r="L86" s="529">
        <f t="shared" si="120"/>
        <v>6480</v>
      </c>
      <c r="M86" s="529">
        <f t="shared" si="121"/>
        <v>6480</v>
      </c>
      <c r="N86" s="416">
        <v>0</v>
      </c>
      <c r="O86" s="507" t="s">
        <v>884</v>
      </c>
      <c r="P86" s="170"/>
      <c r="Q86" s="409" t="s">
        <v>883</v>
      </c>
      <c r="R86" s="501">
        <v>800</v>
      </c>
      <c r="S86" s="515">
        <v>3</v>
      </c>
      <c r="T86" s="515">
        <v>9</v>
      </c>
      <c r="U86" s="528">
        <v>1</v>
      </c>
      <c r="V86" s="528">
        <v>0</v>
      </c>
      <c r="W86" s="529">
        <f t="shared" si="136"/>
        <v>21600</v>
      </c>
      <c r="X86" s="529">
        <f t="shared" si="137"/>
        <v>0</v>
      </c>
      <c r="Y86" s="529">
        <f t="shared" si="138"/>
        <v>8640</v>
      </c>
      <c r="Z86" s="529">
        <f t="shared" si="139"/>
        <v>6480</v>
      </c>
      <c r="AA86" s="529">
        <f t="shared" si="140"/>
        <v>6480</v>
      </c>
      <c r="AB86" s="416">
        <v>0</v>
      </c>
      <c r="AC86" s="417" t="s">
        <v>885</v>
      </c>
      <c r="AD86" s="227"/>
      <c r="AE86" s="241">
        <v>9</v>
      </c>
      <c r="AF86" s="204" t="str">
        <f t="shared" si="113"/>
        <v>Superviseur de promotion d'hygiene (Wash)</v>
      </c>
      <c r="AG86" s="528">
        <f t="shared" si="122"/>
        <v>1</v>
      </c>
      <c r="AH86" s="528">
        <f t="shared" si="123"/>
        <v>0</v>
      </c>
      <c r="AI86" s="529">
        <f t="shared" si="124"/>
        <v>43200</v>
      </c>
      <c r="AJ86" s="529">
        <f t="shared" si="125"/>
        <v>0</v>
      </c>
      <c r="AK86" s="529">
        <f t="shared" si="126"/>
        <v>0</v>
      </c>
      <c r="AL86" s="529">
        <f t="shared" si="112"/>
        <v>43200</v>
      </c>
      <c r="AM86" s="319">
        <f t="shared" si="107"/>
        <v>21600</v>
      </c>
      <c r="AN86" s="319">
        <f t="shared" si="108"/>
        <v>0</v>
      </c>
      <c r="AO86" s="319">
        <f t="shared" si="109"/>
        <v>21600</v>
      </c>
      <c r="AP86" s="319">
        <f t="shared" si="110"/>
        <v>0</v>
      </c>
      <c r="AQ86" s="168" t="s">
        <v>806</v>
      </c>
    </row>
    <row r="87" spans="1:43" s="169" customFormat="1" ht="50.4" customHeight="1" x14ac:dyDescent="0.3">
      <c r="A87" s="509">
        <v>7</v>
      </c>
      <c r="B87" s="510" t="s">
        <v>886</v>
      </c>
      <c r="C87" s="409" t="s">
        <v>883</v>
      </c>
      <c r="D87" s="501">
        <v>650</v>
      </c>
      <c r="E87" s="515">
        <v>3</v>
      </c>
      <c r="F87" s="515">
        <v>9</v>
      </c>
      <c r="G87" s="528">
        <v>1</v>
      </c>
      <c r="H87" s="528">
        <v>0</v>
      </c>
      <c r="I87" s="504">
        <f t="shared" si="134"/>
        <v>17550</v>
      </c>
      <c r="J87" s="529">
        <f t="shared" si="135"/>
        <v>0</v>
      </c>
      <c r="K87" s="529">
        <f t="shared" si="119"/>
        <v>7020</v>
      </c>
      <c r="L87" s="529">
        <f t="shared" si="120"/>
        <v>5265</v>
      </c>
      <c r="M87" s="529">
        <f t="shared" si="121"/>
        <v>5265</v>
      </c>
      <c r="N87" s="416">
        <v>0</v>
      </c>
      <c r="O87" s="507" t="s">
        <v>887</v>
      </c>
      <c r="P87" s="170"/>
      <c r="Q87" s="409" t="s">
        <v>883</v>
      </c>
      <c r="R87" s="501">
        <v>650</v>
      </c>
      <c r="S87" s="515">
        <v>3</v>
      </c>
      <c r="T87" s="515">
        <v>9</v>
      </c>
      <c r="U87" s="528">
        <v>1</v>
      </c>
      <c r="V87" s="528">
        <v>0</v>
      </c>
      <c r="W87" s="529">
        <f t="shared" si="136"/>
        <v>17550</v>
      </c>
      <c r="X87" s="529">
        <f t="shared" si="137"/>
        <v>0</v>
      </c>
      <c r="Y87" s="529">
        <f t="shared" si="138"/>
        <v>7020</v>
      </c>
      <c r="Z87" s="529">
        <f t="shared" si="139"/>
        <v>5265</v>
      </c>
      <c r="AA87" s="529">
        <f t="shared" si="140"/>
        <v>5265</v>
      </c>
      <c r="AB87" s="416">
        <v>0</v>
      </c>
      <c r="AC87" s="417" t="s">
        <v>888</v>
      </c>
      <c r="AD87" s="227"/>
      <c r="AE87" s="241">
        <v>10</v>
      </c>
      <c r="AF87" s="204" t="str">
        <f t="shared" si="113"/>
        <v>Assistant Technique Watsan (Wash)</v>
      </c>
      <c r="AG87" s="528">
        <f t="shared" si="122"/>
        <v>1</v>
      </c>
      <c r="AH87" s="528">
        <f t="shared" si="123"/>
        <v>0</v>
      </c>
      <c r="AI87" s="529">
        <f t="shared" si="124"/>
        <v>35100</v>
      </c>
      <c r="AJ87" s="529">
        <f t="shared" si="125"/>
        <v>0</v>
      </c>
      <c r="AK87" s="529">
        <f t="shared" si="126"/>
        <v>0</v>
      </c>
      <c r="AL87" s="529">
        <f t="shared" si="112"/>
        <v>35100</v>
      </c>
      <c r="AM87" s="319">
        <f t="shared" si="107"/>
        <v>17550</v>
      </c>
      <c r="AN87" s="319">
        <f t="shared" si="108"/>
        <v>0</v>
      </c>
      <c r="AO87" s="319">
        <f t="shared" si="109"/>
        <v>17550</v>
      </c>
      <c r="AP87" s="319">
        <f t="shared" si="110"/>
        <v>0</v>
      </c>
      <c r="AQ87" s="168" t="s">
        <v>806</v>
      </c>
    </row>
    <row r="88" spans="1:43" s="169" customFormat="1" ht="42.75" customHeight="1" x14ac:dyDescent="0.3">
      <c r="A88" s="530">
        <v>8</v>
      </c>
      <c r="B88" s="510" t="s">
        <v>889</v>
      </c>
      <c r="C88" s="409" t="s">
        <v>883</v>
      </c>
      <c r="D88" s="501">
        <v>600</v>
      </c>
      <c r="E88" s="515">
        <v>10</v>
      </c>
      <c r="F88" s="515">
        <v>9</v>
      </c>
      <c r="G88" s="528">
        <v>1</v>
      </c>
      <c r="H88" s="528">
        <v>0</v>
      </c>
      <c r="I88" s="504">
        <f t="shared" si="134"/>
        <v>54000</v>
      </c>
      <c r="J88" s="529">
        <f t="shared" si="135"/>
        <v>0</v>
      </c>
      <c r="K88" s="529">
        <f t="shared" si="119"/>
        <v>21600</v>
      </c>
      <c r="L88" s="529">
        <f t="shared" si="120"/>
        <v>16200</v>
      </c>
      <c r="M88" s="529">
        <f t="shared" si="121"/>
        <v>16200</v>
      </c>
      <c r="N88" s="416">
        <v>0</v>
      </c>
      <c r="O88" s="507" t="s">
        <v>433</v>
      </c>
      <c r="P88" s="170"/>
      <c r="Q88" s="409" t="s">
        <v>883</v>
      </c>
      <c r="R88" s="501">
        <v>600</v>
      </c>
      <c r="S88" s="515">
        <v>10</v>
      </c>
      <c r="T88" s="515">
        <v>9</v>
      </c>
      <c r="U88" s="528">
        <v>1</v>
      </c>
      <c r="V88" s="528">
        <v>0</v>
      </c>
      <c r="W88" s="529">
        <f t="shared" si="136"/>
        <v>54000</v>
      </c>
      <c r="X88" s="529">
        <f t="shared" si="137"/>
        <v>0</v>
      </c>
      <c r="Y88" s="529">
        <f t="shared" si="138"/>
        <v>21600</v>
      </c>
      <c r="Z88" s="529">
        <f t="shared" si="139"/>
        <v>16200</v>
      </c>
      <c r="AA88" s="529">
        <f t="shared" si="140"/>
        <v>16200</v>
      </c>
      <c r="AB88" s="416">
        <v>0</v>
      </c>
      <c r="AC88" s="417" t="s">
        <v>890</v>
      </c>
      <c r="AD88" s="227"/>
      <c r="AE88" s="241">
        <v>11</v>
      </c>
      <c r="AF88" s="204" t="str">
        <f t="shared" si="113"/>
        <v xml:space="preserve">Promoteurs d'hygiene publique  </v>
      </c>
      <c r="AG88" s="528">
        <f t="shared" si="122"/>
        <v>1</v>
      </c>
      <c r="AH88" s="528">
        <f t="shared" si="123"/>
        <v>0</v>
      </c>
      <c r="AI88" s="529">
        <f t="shared" si="124"/>
        <v>108000</v>
      </c>
      <c r="AJ88" s="529">
        <f t="shared" si="125"/>
        <v>0</v>
      </c>
      <c r="AK88" s="529">
        <f t="shared" si="126"/>
        <v>0</v>
      </c>
      <c r="AL88" s="529">
        <f t="shared" si="112"/>
        <v>108000</v>
      </c>
      <c r="AM88" s="319">
        <f t="shared" si="107"/>
        <v>54000</v>
      </c>
      <c r="AN88" s="319">
        <f t="shared" si="108"/>
        <v>0</v>
      </c>
      <c r="AO88" s="319">
        <f t="shared" si="109"/>
        <v>54000</v>
      </c>
      <c r="AP88" s="319">
        <f t="shared" si="110"/>
        <v>0</v>
      </c>
      <c r="AQ88" s="168" t="s">
        <v>806</v>
      </c>
    </row>
    <row r="89" spans="1:43" s="169" customFormat="1" ht="26" x14ac:dyDescent="0.3">
      <c r="A89" s="530">
        <v>9</v>
      </c>
      <c r="B89" s="510" t="s">
        <v>891</v>
      </c>
      <c r="C89" s="409" t="s">
        <v>883</v>
      </c>
      <c r="D89" s="501">
        <v>303</v>
      </c>
      <c r="E89" s="515">
        <v>2</v>
      </c>
      <c r="F89" s="515">
        <v>9</v>
      </c>
      <c r="G89" s="528">
        <v>1</v>
      </c>
      <c r="H89" s="528">
        <v>0</v>
      </c>
      <c r="I89" s="504">
        <f t="shared" si="134"/>
        <v>5454</v>
      </c>
      <c r="J89" s="529">
        <f t="shared" si="135"/>
        <v>0</v>
      </c>
      <c r="K89" s="529">
        <f t="shared" si="119"/>
        <v>2181.6</v>
      </c>
      <c r="L89" s="529">
        <f t="shared" si="120"/>
        <v>1636.2</v>
      </c>
      <c r="M89" s="529">
        <f t="shared" si="121"/>
        <v>1636.2</v>
      </c>
      <c r="N89" s="416">
        <v>0</v>
      </c>
      <c r="O89" s="507" t="s">
        <v>434</v>
      </c>
      <c r="P89" s="170"/>
      <c r="Q89" s="409" t="s">
        <v>883</v>
      </c>
      <c r="R89" s="501">
        <v>303</v>
      </c>
      <c r="S89" s="515">
        <v>2</v>
      </c>
      <c r="T89" s="515">
        <v>9</v>
      </c>
      <c r="U89" s="528">
        <v>1</v>
      </c>
      <c r="V89" s="528">
        <v>0</v>
      </c>
      <c r="W89" s="529">
        <f t="shared" si="136"/>
        <v>5454</v>
      </c>
      <c r="X89" s="529">
        <f t="shared" si="137"/>
        <v>0</v>
      </c>
      <c r="Y89" s="529">
        <f t="shared" si="138"/>
        <v>2181.6</v>
      </c>
      <c r="Z89" s="529">
        <f t="shared" si="139"/>
        <v>1636.2</v>
      </c>
      <c r="AA89" s="529">
        <f t="shared" si="140"/>
        <v>1636.2</v>
      </c>
      <c r="AB89" s="416">
        <v>0</v>
      </c>
      <c r="AC89" s="417" t="s">
        <v>892</v>
      </c>
      <c r="AD89" s="227"/>
      <c r="AE89" s="241">
        <v>12</v>
      </c>
      <c r="AF89" s="204" t="str">
        <f t="shared" si="113"/>
        <v xml:space="preserve">Chauffeur </v>
      </c>
      <c r="AG89" s="528">
        <f t="shared" si="122"/>
        <v>1</v>
      </c>
      <c r="AH89" s="528">
        <f t="shared" si="123"/>
        <v>0</v>
      </c>
      <c r="AI89" s="529">
        <f t="shared" si="124"/>
        <v>10908</v>
      </c>
      <c r="AJ89" s="529">
        <f t="shared" si="125"/>
        <v>0</v>
      </c>
      <c r="AK89" s="529">
        <f t="shared" si="126"/>
        <v>0</v>
      </c>
      <c r="AL89" s="529">
        <f t="shared" si="112"/>
        <v>10908</v>
      </c>
      <c r="AM89" s="319">
        <f t="shared" si="107"/>
        <v>5454</v>
      </c>
      <c r="AN89" s="319">
        <f t="shared" si="108"/>
        <v>0</v>
      </c>
      <c r="AO89" s="319">
        <f t="shared" si="109"/>
        <v>5454</v>
      </c>
      <c r="AP89" s="319">
        <f t="shared" si="110"/>
        <v>0</v>
      </c>
      <c r="AQ89" s="168" t="s">
        <v>806</v>
      </c>
    </row>
    <row r="90" spans="1:43" s="169" customFormat="1" x14ac:dyDescent="0.3">
      <c r="A90" s="509">
        <v>10</v>
      </c>
      <c r="B90" s="510" t="s">
        <v>893</v>
      </c>
      <c r="C90" s="409" t="s">
        <v>90</v>
      </c>
      <c r="D90" s="501">
        <v>250</v>
      </c>
      <c r="E90" s="515">
        <v>2</v>
      </c>
      <c r="F90" s="515">
        <v>9</v>
      </c>
      <c r="G90" s="528">
        <v>1</v>
      </c>
      <c r="H90" s="528">
        <v>0</v>
      </c>
      <c r="I90" s="504">
        <f t="shared" si="134"/>
        <v>4500</v>
      </c>
      <c r="J90" s="529">
        <f t="shared" si="135"/>
        <v>0</v>
      </c>
      <c r="K90" s="529">
        <f t="shared" si="119"/>
        <v>1800</v>
      </c>
      <c r="L90" s="529">
        <f t="shared" si="120"/>
        <v>1350</v>
      </c>
      <c r="M90" s="529">
        <f t="shared" si="121"/>
        <v>1350</v>
      </c>
      <c r="N90" s="416">
        <v>0</v>
      </c>
      <c r="O90" s="507" t="s">
        <v>435</v>
      </c>
      <c r="P90" s="170"/>
      <c r="Q90" s="409" t="s">
        <v>90</v>
      </c>
      <c r="R90" s="501">
        <v>250</v>
      </c>
      <c r="S90" s="515">
        <v>2</v>
      </c>
      <c r="T90" s="515">
        <v>9</v>
      </c>
      <c r="U90" s="528">
        <v>1</v>
      </c>
      <c r="V90" s="528">
        <v>0</v>
      </c>
      <c r="W90" s="529">
        <f t="shared" si="136"/>
        <v>4500</v>
      </c>
      <c r="X90" s="529">
        <f t="shared" si="137"/>
        <v>0</v>
      </c>
      <c r="Y90" s="529">
        <f t="shared" si="138"/>
        <v>1800</v>
      </c>
      <c r="Z90" s="529">
        <f t="shared" si="139"/>
        <v>1350</v>
      </c>
      <c r="AA90" s="529">
        <f t="shared" si="140"/>
        <v>1350</v>
      </c>
      <c r="AB90" s="416">
        <v>0</v>
      </c>
      <c r="AC90" s="417" t="s">
        <v>435</v>
      </c>
      <c r="AD90" s="227"/>
      <c r="AE90" s="241">
        <v>13</v>
      </c>
      <c r="AF90" s="204" t="str">
        <f t="shared" si="113"/>
        <v xml:space="preserve">Gardien de base  </v>
      </c>
      <c r="AG90" s="528">
        <f t="shared" si="122"/>
        <v>1</v>
      </c>
      <c r="AH90" s="528">
        <f t="shared" si="123"/>
        <v>0</v>
      </c>
      <c r="AI90" s="529">
        <f t="shared" si="124"/>
        <v>9000</v>
      </c>
      <c r="AJ90" s="529">
        <f t="shared" si="125"/>
        <v>0</v>
      </c>
      <c r="AK90" s="529">
        <f t="shared" si="126"/>
        <v>0</v>
      </c>
      <c r="AL90" s="529">
        <f t="shared" si="112"/>
        <v>9000</v>
      </c>
      <c r="AM90" s="319">
        <f t="shared" si="107"/>
        <v>4500</v>
      </c>
      <c r="AN90" s="319">
        <f t="shared" si="108"/>
        <v>0</v>
      </c>
      <c r="AO90" s="319">
        <f t="shared" si="109"/>
        <v>4500</v>
      </c>
      <c r="AP90" s="319">
        <f t="shared" si="110"/>
        <v>0</v>
      </c>
      <c r="AQ90" s="168" t="s">
        <v>806</v>
      </c>
    </row>
    <row r="91" spans="1:43" s="169" customFormat="1" x14ac:dyDescent="0.3">
      <c r="A91" s="530">
        <v>11</v>
      </c>
      <c r="B91" s="510" t="s">
        <v>894</v>
      </c>
      <c r="C91" s="409" t="s">
        <v>90</v>
      </c>
      <c r="D91" s="501">
        <v>344</v>
      </c>
      <c r="E91" s="515">
        <v>1</v>
      </c>
      <c r="F91" s="515">
        <v>9</v>
      </c>
      <c r="G91" s="528">
        <v>1</v>
      </c>
      <c r="H91" s="528">
        <v>0</v>
      </c>
      <c r="I91" s="504">
        <f t="shared" si="134"/>
        <v>3096</v>
      </c>
      <c r="J91" s="529">
        <f t="shared" si="135"/>
        <v>0</v>
      </c>
      <c r="K91" s="529">
        <f t="shared" si="119"/>
        <v>1238.4000000000001</v>
      </c>
      <c r="L91" s="529">
        <f t="shared" si="120"/>
        <v>928.8</v>
      </c>
      <c r="M91" s="529">
        <f t="shared" si="121"/>
        <v>928.8</v>
      </c>
      <c r="N91" s="416">
        <v>0</v>
      </c>
      <c r="O91" s="507" t="s">
        <v>435</v>
      </c>
      <c r="P91" s="170"/>
      <c r="Q91" s="409" t="s">
        <v>90</v>
      </c>
      <c r="R91" s="501">
        <v>344</v>
      </c>
      <c r="S91" s="515">
        <v>1</v>
      </c>
      <c r="T91" s="515">
        <v>9</v>
      </c>
      <c r="U91" s="528">
        <v>1</v>
      </c>
      <c r="V91" s="528">
        <v>0</v>
      </c>
      <c r="W91" s="529">
        <f t="shared" si="136"/>
        <v>3096</v>
      </c>
      <c r="X91" s="529">
        <f t="shared" si="137"/>
        <v>0</v>
      </c>
      <c r="Y91" s="529">
        <f t="shared" si="138"/>
        <v>1238.4000000000001</v>
      </c>
      <c r="Z91" s="529">
        <f t="shared" si="139"/>
        <v>928.8</v>
      </c>
      <c r="AA91" s="529">
        <f t="shared" si="140"/>
        <v>928.8</v>
      </c>
      <c r="AB91" s="416">
        <v>0</v>
      </c>
      <c r="AC91" s="417" t="s">
        <v>435</v>
      </c>
      <c r="AD91" s="227"/>
      <c r="AE91" s="241">
        <v>14</v>
      </c>
      <c r="AF91" s="204" t="str">
        <f t="shared" si="113"/>
        <v>Caissiere</v>
      </c>
      <c r="AG91" s="528">
        <f t="shared" si="122"/>
        <v>1</v>
      </c>
      <c r="AH91" s="528">
        <f t="shared" si="123"/>
        <v>0</v>
      </c>
      <c r="AI91" s="529">
        <f t="shared" si="124"/>
        <v>6192</v>
      </c>
      <c r="AJ91" s="529">
        <f t="shared" si="125"/>
        <v>0</v>
      </c>
      <c r="AK91" s="529">
        <f t="shared" si="126"/>
        <v>0</v>
      </c>
      <c r="AL91" s="529">
        <f t="shared" si="112"/>
        <v>6192</v>
      </c>
      <c r="AM91" s="319">
        <f t="shared" si="107"/>
        <v>3096</v>
      </c>
      <c r="AN91" s="319">
        <f t="shared" si="108"/>
        <v>0</v>
      </c>
      <c r="AO91" s="319">
        <f t="shared" si="109"/>
        <v>3096</v>
      </c>
      <c r="AP91" s="319">
        <f t="shared" si="110"/>
        <v>0</v>
      </c>
      <c r="AQ91" s="168" t="s">
        <v>806</v>
      </c>
    </row>
    <row r="92" spans="1:43" s="169" customFormat="1" x14ac:dyDescent="0.3">
      <c r="A92" s="530">
        <v>12</v>
      </c>
      <c r="B92" s="510" t="s">
        <v>895</v>
      </c>
      <c r="C92" s="409" t="s">
        <v>93</v>
      </c>
      <c r="D92" s="501">
        <v>550</v>
      </c>
      <c r="E92" s="515">
        <v>1</v>
      </c>
      <c r="F92" s="515">
        <v>9</v>
      </c>
      <c r="G92" s="528">
        <v>1</v>
      </c>
      <c r="H92" s="528">
        <v>0</v>
      </c>
      <c r="I92" s="504">
        <f t="shared" si="134"/>
        <v>4950</v>
      </c>
      <c r="J92" s="529">
        <f t="shared" si="135"/>
        <v>0</v>
      </c>
      <c r="K92" s="529">
        <f t="shared" si="119"/>
        <v>1980</v>
      </c>
      <c r="L92" s="529">
        <f t="shared" si="120"/>
        <v>1485</v>
      </c>
      <c r="M92" s="529">
        <f t="shared" si="121"/>
        <v>1485</v>
      </c>
      <c r="N92" s="416">
        <v>0</v>
      </c>
      <c r="O92" s="507" t="s">
        <v>435</v>
      </c>
      <c r="P92" s="170"/>
      <c r="Q92" s="409" t="s">
        <v>93</v>
      </c>
      <c r="R92" s="501">
        <v>550</v>
      </c>
      <c r="S92" s="515">
        <v>1</v>
      </c>
      <c r="T92" s="515">
        <v>9</v>
      </c>
      <c r="U92" s="528">
        <v>1</v>
      </c>
      <c r="V92" s="528">
        <v>0</v>
      </c>
      <c r="W92" s="529">
        <f t="shared" si="136"/>
        <v>4950</v>
      </c>
      <c r="X92" s="529">
        <f t="shared" si="137"/>
        <v>0</v>
      </c>
      <c r="Y92" s="529">
        <f t="shared" si="138"/>
        <v>1980</v>
      </c>
      <c r="Z92" s="529">
        <f t="shared" si="139"/>
        <v>1485</v>
      </c>
      <c r="AA92" s="529">
        <f t="shared" si="140"/>
        <v>1485</v>
      </c>
      <c r="AB92" s="416">
        <v>0</v>
      </c>
      <c r="AC92" s="417" t="s">
        <v>435</v>
      </c>
      <c r="AD92" s="227"/>
      <c r="AE92" s="241">
        <v>15</v>
      </c>
      <c r="AF92" s="204" t="str">
        <f t="shared" si="113"/>
        <v xml:space="preserve">Logisticien Terrain </v>
      </c>
      <c r="AG92" s="528">
        <f t="shared" si="122"/>
        <v>1</v>
      </c>
      <c r="AH92" s="528">
        <f t="shared" si="123"/>
        <v>0</v>
      </c>
      <c r="AI92" s="529">
        <f t="shared" si="124"/>
        <v>9900</v>
      </c>
      <c r="AJ92" s="529">
        <f t="shared" si="125"/>
        <v>0</v>
      </c>
      <c r="AK92" s="529">
        <f t="shared" si="126"/>
        <v>0</v>
      </c>
      <c r="AL92" s="529">
        <f t="shared" si="112"/>
        <v>9900</v>
      </c>
      <c r="AM92" s="319">
        <f t="shared" si="107"/>
        <v>4950</v>
      </c>
      <c r="AN92" s="319">
        <f t="shared" si="108"/>
        <v>0</v>
      </c>
      <c r="AO92" s="319">
        <f t="shared" si="109"/>
        <v>4950</v>
      </c>
      <c r="AP92" s="319">
        <f t="shared" si="110"/>
        <v>0</v>
      </c>
      <c r="AQ92" s="168" t="s">
        <v>806</v>
      </c>
    </row>
    <row r="93" spans="1:43" s="169" customFormat="1" x14ac:dyDescent="0.3">
      <c r="A93" s="509">
        <v>13</v>
      </c>
      <c r="B93" s="510" t="s">
        <v>896</v>
      </c>
      <c r="C93" s="409" t="s">
        <v>883</v>
      </c>
      <c r="D93" s="501">
        <v>290</v>
      </c>
      <c r="E93" s="515">
        <v>2</v>
      </c>
      <c r="F93" s="515">
        <v>9</v>
      </c>
      <c r="G93" s="528">
        <v>1</v>
      </c>
      <c r="H93" s="528">
        <v>0</v>
      </c>
      <c r="I93" s="504">
        <f t="shared" si="134"/>
        <v>5220</v>
      </c>
      <c r="J93" s="529">
        <f t="shared" si="135"/>
        <v>0</v>
      </c>
      <c r="K93" s="529">
        <f t="shared" si="119"/>
        <v>2088</v>
      </c>
      <c r="L93" s="529">
        <f t="shared" si="120"/>
        <v>1566</v>
      </c>
      <c r="M93" s="529">
        <f t="shared" si="121"/>
        <v>1566</v>
      </c>
      <c r="N93" s="416">
        <v>0</v>
      </c>
      <c r="O93" s="507" t="s">
        <v>435</v>
      </c>
      <c r="P93" s="170"/>
      <c r="Q93" s="409" t="s">
        <v>883</v>
      </c>
      <c r="R93" s="501">
        <v>290</v>
      </c>
      <c r="S93" s="515">
        <v>2</v>
      </c>
      <c r="T93" s="515">
        <v>9</v>
      </c>
      <c r="U93" s="528">
        <v>1</v>
      </c>
      <c r="V93" s="528">
        <v>0</v>
      </c>
      <c r="W93" s="529">
        <f t="shared" si="136"/>
        <v>5220</v>
      </c>
      <c r="X93" s="529">
        <f t="shared" si="137"/>
        <v>0</v>
      </c>
      <c r="Y93" s="529">
        <f t="shared" si="138"/>
        <v>2088</v>
      </c>
      <c r="Z93" s="529">
        <f t="shared" si="139"/>
        <v>1566</v>
      </c>
      <c r="AA93" s="529">
        <f t="shared" si="140"/>
        <v>1566</v>
      </c>
      <c r="AB93" s="416">
        <v>0</v>
      </c>
      <c r="AC93" s="417" t="s">
        <v>435</v>
      </c>
      <c r="AD93" s="227"/>
      <c r="AE93" s="241">
        <v>16</v>
      </c>
      <c r="AF93" s="204" t="str">
        <f t="shared" si="113"/>
        <v>Agent d'entretien de bases locales</v>
      </c>
      <c r="AG93" s="528">
        <f t="shared" si="122"/>
        <v>1</v>
      </c>
      <c r="AH93" s="528">
        <f t="shared" si="123"/>
        <v>0</v>
      </c>
      <c r="AI93" s="529">
        <f t="shared" si="124"/>
        <v>10440</v>
      </c>
      <c r="AJ93" s="529">
        <f t="shared" si="125"/>
        <v>0</v>
      </c>
      <c r="AK93" s="529">
        <f t="shared" si="126"/>
        <v>0</v>
      </c>
      <c r="AL93" s="529">
        <f t="shared" si="112"/>
        <v>10440</v>
      </c>
      <c r="AM93" s="319">
        <f t="shared" si="107"/>
        <v>5220</v>
      </c>
      <c r="AN93" s="319">
        <f t="shared" si="108"/>
        <v>0</v>
      </c>
      <c r="AO93" s="319">
        <f t="shared" si="109"/>
        <v>5220</v>
      </c>
      <c r="AP93" s="319">
        <f t="shared" si="110"/>
        <v>0</v>
      </c>
      <c r="AQ93" s="168" t="s">
        <v>806</v>
      </c>
    </row>
    <row r="94" spans="1:43" s="169" customFormat="1" x14ac:dyDescent="0.3">
      <c r="A94" s="530">
        <v>14</v>
      </c>
      <c r="B94" s="510" t="s">
        <v>897</v>
      </c>
      <c r="C94" s="409" t="s">
        <v>90</v>
      </c>
      <c r="D94" s="501">
        <v>359</v>
      </c>
      <c r="E94" s="515">
        <v>1</v>
      </c>
      <c r="F94" s="515">
        <v>9</v>
      </c>
      <c r="G94" s="528">
        <v>1</v>
      </c>
      <c r="H94" s="528">
        <v>0</v>
      </c>
      <c r="I94" s="504">
        <f t="shared" si="134"/>
        <v>3231</v>
      </c>
      <c r="J94" s="529">
        <f t="shared" si="135"/>
        <v>0</v>
      </c>
      <c r="K94" s="529">
        <f t="shared" si="119"/>
        <v>1292.4000000000001</v>
      </c>
      <c r="L94" s="529">
        <f t="shared" si="120"/>
        <v>969.3</v>
      </c>
      <c r="M94" s="529">
        <f t="shared" si="121"/>
        <v>969.3</v>
      </c>
      <c r="N94" s="416">
        <v>0</v>
      </c>
      <c r="O94" s="507" t="s">
        <v>435</v>
      </c>
      <c r="P94" s="170"/>
      <c r="Q94" s="409" t="s">
        <v>90</v>
      </c>
      <c r="R94" s="501">
        <v>359</v>
      </c>
      <c r="S94" s="515">
        <v>2</v>
      </c>
      <c r="T94" s="515">
        <v>9</v>
      </c>
      <c r="U94" s="528">
        <v>1</v>
      </c>
      <c r="V94" s="528">
        <v>0</v>
      </c>
      <c r="W94" s="529">
        <f t="shared" si="136"/>
        <v>6462</v>
      </c>
      <c r="X94" s="529">
        <f t="shared" si="137"/>
        <v>0</v>
      </c>
      <c r="Y94" s="529">
        <f t="shared" si="138"/>
        <v>2584.8000000000002</v>
      </c>
      <c r="Z94" s="529">
        <f t="shared" si="139"/>
        <v>1938.6</v>
      </c>
      <c r="AA94" s="529">
        <f t="shared" si="140"/>
        <v>1938.6</v>
      </c>
      <c r="AB94" s="416">
        <v>0</v>
      </c>
      <c r="AC94" s="417" t="s">
        <v>435</v>
      </c>
      <c r="AD94" s="227"/>
      <c r="AE94" s="241">
        <v>17</v>
      </c>
      <c r="AF94" s="204" t="str">
        <f t="shared" si="113"/>
        <v>Magasinier</v>
      </c>
      <c r="AG94" s="528">
        <f t="shared" si="122"/>
        <v>1</v>
      </c>
      <c r="AH94" s="528">
        <f t="shared" si="123"/>
        <v>0</v>
      </c>
      <c r="AI94" s="529">
        <f t="shared" si="124"/>
        <v>9693</v>
      </c>
      <c r="AJ94" s="529">
        <f t="shared" si="125"/>
        <v>0</v>
      </c>
      <c r="AK94" s="529">
        <f t="shared" si="126"/>
        <v>0</v>
      </c>
      <c r="AL94" s="529">
        <f t="shared" si="112"/>
        <v>9693</v>
      </c>
      <c r="AM94" s="319">
        <f t="shared" si="107"/>
        <v>3231</v>
      </c>
      <c r="AN94" s="319">
        <f t="shared" si="108"/>
        <v>0</v>
      </c>
      <c r="AO94" s="319">
        <f t="shared" si="109"/>
        <v>6462</v>
      </c>
      <c r="AP94" s="319">
        <f t="shared" si="110"/>
        <v>0</v>
      </c>
      <c r="AQ94" s="168" t="s">
        <v>806</v>
      </c>
    </row>
    <row r="95" spans="1:43" s="181" customFormat="1" ht="21.75" customHeight="1" x14ac:dyDescent="0.3">
      <c r="A95" s="533" t="s">
        <v>250</v>
      </c>
      <c r="B95" s="474" t="s">
        <v>436</v>
      </c>
      <c r="C95" s="473"/>
      <c r="D95" s="475"/>
      <c r="E95" s="476"/>
      <c r="F95" s="476"/>
      <c r="G95" s="477"/>
      <c r="H95" s="477"/>
      <c r="I95" s="478">
        <f>I96+I99+I129+I139+I155+I166</f>
        <v>206830.5</v>
      </c>
      <c r="J95" s="534">
        <f t="shared" ref="J95:N95" si="141">J96+J99+J129+J139+J155+J166</f>
        <v>106139.5</v>
      </c>
      <c r="K95" s="534">
        <f t="shared" si="141"/>
        <v>124313.71363636364</v>
      </c>
      <c r="L95" s="534">
        <f t="shared" si="141"/>
        <v>65135.713636363638</v>
      </c>
      <c r="M95" s="534">
        <f t="shared" si="141"/>
        <v>17381.072727272727</v>
      </c>
      <c r="N95" s="478">
        <f t="shared" si="141"/>
        <v>0</v>
      </c>
      <c r="O95" s="479"/>
      <c r="Q95" s="473"/>
      <c r="R95" s="475"/>
      <c r="S95" s="476"/>
      <c r="T95" s="476"/>
      <c r="U95" s="477"/>
      <c r="V95" s="477"/>
      <c r="W95" s="534">
        <f t="shared" ref="W95:AB95" si="142">W96+W99+W129+W139+W155+W166</f>
        <v>231603</v>
      </c>
      <c r="X95" s="534">
        <f t="shared" si="142"/>
        <v>33167</v>
      </c>
      <c r="Y95" s="534">
        <f t="shared" si="142"/>
        <v>170799.90000000002</v>
      </c>
      <c r="Z95" s="534">
        <f t="shared" si="142"/>
        <v>40535.399999999994</v>
      </c>
      <c r="AA95" s="534">
        <f t="shared" si="142"/>
        <v>20267.699999999997</v>
      </c>
      <c r="AB95" s="478">
        <f t="shared" si="142"/>
        <v>0</v>
      </c>
      <c r="AC95" s="479"/>
      <c r="AD95" s="232"/>
      <c r="AE95" s="338" t="s">
        <v>250</v>
      </c>
      <c r="AF95" s="245" t="str">
        <f t="shared" si="113"/>
        <v xml:space="preserve">CENTRES DE FORMATION TECHNIQUE </v>
      </c>
      <c r="AG95" s="477">
        <f>AI95/($AI95+$AK95)</f>
        <v>0.75887683040814202</v>
      </c>
      <c r="AH95" s="477">
        <f>AK95/($AI95+$AK95)</f>
        <v>0.24112316959185792</v>
      </c>
      <c r="AI95" s="534">
        <f t="shared" ref="AI95:AL95" si="143">AI96+AI99+AI129+AI139+AI155+AI166</f>
        <v>438433.5</v>
      </c>
      <c r="AJ95" s="534">
        <f t="shared" si="143"/>
        <v>0</v>
      </c>
      <c r="AK95" s="534">
        <f t="shared" si="143"/>
        <v>139306.5</v>
      </c>
      <c r="AL95" s="534">
        <f t="shared" si="143"/>
        <v>577740</v>
      </c>
      <c r="AM95" s="321">
        <f t="shared" si="107"/>
        <v>206830.5</v>
      </c>
      <c r="AN95" s="321">
        <f t="shared" si="108"/>
        <v>0</v>
      </c>
      <c r="AO95" s="321">
        <f t="shared" si="109"/>
        <v>231603</v>
      </c>
      <c r="AP95" s="321">
        <f t="shared" si="110"/>
        <v>0</v>
      </c>
    </row>
    <row r="96" spans="1:43" ht="34.5" customHeight="1" x14ac:dyDescent="0.3">
      <c r="A96" s="480" t="s">
        <v>251</v>
      </c>
      <c r="B96" s="861" t="s">
        <v>305</v>
      </c>
      <c r="C96" s="862"/>
      <c r="D96" s="862"/>
      <c r="E96" s="862"/>
      <c r="F96" s="862"/>
      <c r="G96" s="862"/>
      <c r="H96" s="863"/>
      <c r="I96" s="481">
        <f t="shared" ref="I96:N96" si="144">SUM(I97:I98)</f>
        <v>2850</v>
      </c>
      <c r="J96" s="482">
        <f t="shared" si="144"/>
        <v>0</v>
      </c>
      <c r="K96" s="482">
        <f t="shared" si="144"/>
        <v>1995</v>
      </c>
      <c r="L96" s="482">
        <f t="shared" si="144"/>
        <v>570</v>
      </c>
      <c r="M96" s="482">
        <f t="shared" si="144"/>
        <v>285</v>
      </c>
      <c r="N96" s="481">
        <f t="shared" si="144"/>
        <v>0</v>
      </c>
      <c r="O96" s="508"/>
      <c r="Q96" s="192"/>
      <c r="R96" s="193"/>
      <c r="S96" s="192"/>
      <c r="T96" s="193"/>
      <c r="U96" s="193"/>
      <c r="V96" s="484"/>
      <c r="W96" s="482">
        <f t="shared" ref="W96:Y96" si="145">SUM(W97:W98)</f>
        <v>2850</v>
      </c>
      <c r="X96" s="482">
        <f t="shared" si="145"/>
        <v>0</v>
      </c>
      <c r="Y96" s="482">
        <f t="shared" si="145"/>
        <v>1995</v>
      </c>
      <c r="Z96" s="482">
        <f t="shared" ref="Z96:AB96" si="146">SUM(Z97:Z98)</f>
        <v>570</v>
      </c>
      <c r="AA96" s="482">
        <f t="shared" si="146"/>
        <v>285</v>
      </c>
      <c r="AB96" s="481">
        <f t="shared" si="146"/>
        <v>0</v>
      </c>
      <c r="AC96" s="508"/>
      <c r="AD96" s="234"/>
      <c r="AE96" s="247" t="s">
        <v>251</v>
      </c>
      <c r="AF96" s="204" t="str">
        <f t="shared" si="113"/>
        <v xml:space="preserve">Organiser des discussions ciblées avec les adolescentes bénéficiaires pour bien prendre en compte leurs perspectives et leurs éventuels besoins spécifiques dans le contenu et l’approche pédagogique des formations, le choix des métiers et les modalités d’accompagnement pour leur insertion socio-économique   </v>
      </c>
      <c r="AG96" s="485">
        <f>AI96/($AI96+$AK96)</f>
        <v>1</v>
      </c>
      <c r="AH96" s="485">
        <f>AK96/($AI96+$AK96)</f>
        <v>0</v>
      </c>
      <c r="AI96" s="482">
        <f>I96+W96</f>
        <v>5700</v>
      </c>
      <c r="AJ96" s="482">
        <f>N96+AB96</f>
        <v>0</v>
      </c>
      <c r="AK96" s="482">
        <f>J96+X96</f>
        <v>0</v>
      </c>
      <c r="AL96" s="482">
        <f t="shared" si="112"/>
        <v>5700</v>
      </c>
      <c r="AM96" s="314">
        <f t="shared" si="107"/>
        <v>2850</v>
      </c>
      <c r="AN96" s="314">
        <f t="shared" si="108"/>
        <v>0</v>
      </c>
      <c r="AO96" s="314">
        <f t="shared" si="109"/>
        <v>2850</v>
      </c>
      <c r="AP96" s="314">
        <f t="shared" si="110"/>
        <v>0</v>
      </c>
    </row>
    <row r="97" spans="1:44" s="169" customFormat="1" ht="26" x14ac:dyDescent="0.3">
      <c r="A97" s="509">
        <v>1</v>
      </c>
      <c r="B97" s="510" t="s">
        <v>437</v>
      </c>
      <c r="C97" s="409" t="s">
        <v>438</v>
      </c>
      <c r="D97" s="520">
        <v>2.5</v>
      </c>
      <c r="E97" s="411">
        <v>300</v>
      </c>
      <c r="F97" s="412">
        <v>1</v>
      </c>
      <c r="G97" s="486">
        <v>1</v>
      </c>
      <c r="H97" s="486">
        <f>100%-G97</f>
        <v>0</v>
      </c>
      <c r="I97" s="504">
        <f t="shared" ref="I97:I98" si="147">D97*E97*F97*G97</f>
        <v>750</v>
      </c>
      <c r="J97" s="487">
        <f>D97*E97*F97*H97</f>
        <v>0</v>
      </c>
      <c r="K97" s="529">
        <f>I97*70/100</f>
        <v>525</v>
      </c>
      <c r="L97" s="529">
        <f>I97*20/100</f>
        <v>150</v>
      </c>
      <c r="M97" s="529">
        <f>I97*10/100</f>
        <v>75</v>
      </c>
      <c r="N97" s="416">
        <v>0</v>
      </c>
      <c r="O97" s="507" t="s">
        <v>439</v>
      </c>
      <c r="Q97" s="409" t="s">
        <v>438</v>
      </c>
      <c r="R97" s="501">
        <v>2.5</v>
      </c>
      <c r="S97" s="411">
        <v>300</v>
      </c>
      <c r="T97" s="514">
        <v>1</v>
      </c>
      <c r="U97" s="486">
        <v>1</v>
      </c>
      <c r="V97" s="486">
        <f>100%-U97</f>
        <v>0</v>
      </c>
      <c r="W97" s="487">
        <f t="shared" ref="W97:W98" si="148">R97*S97*T97*U97</f>
        <v>750</v>
      </c>
      <c r="X97" s="487">
        <f t="shared" ref="X97:X98" si="149">R97*S97*T97*V97</f>
        <v>0</v>
      </c>
      <c r="Y97" s="529">
        <f t="shared" ref="Y97:Y98" si="150">W97*70/100</f>
        <v>525</v>
      </c>
      <c r="Z97" s="529">
        <f t="shared" ref="Z97:Z98" si="151">W97*20/100</f>
        <v>150</v>
      </c>
      <c r="AA97" s="529">
        <f t="shared" ref="AA97:AA98" si="152">W97*10/100</f>
        <v>75</v>
      </c>
      <c r="AB97" s="416">
        <v>0</v>
      </c>
      <c r="AC97" s="417" t="s">
        <v>439</v>
      </c>
      <c r="AD97" s="227"/>
      <c r="AE97" s="241">
        <v>1</v>
      </c>
      <c r="AF97" s="204" t="str">
        <f t="shared" si="113"/>
        <v xml:space="preserve">Fourniture </v>
      </c>
      <c r="AG97" s="486">
        <f>AI97/($AI97+$AK97)</f>
        <v>1</v>
      </c>
      <c r="AH97" s="486">
        <f>AK97/($AI97+$AK97)</f>
        <v>0</v>
      </c>
      <c r="AI97" s="487">
        <f>I97+W97</f>
        <v>1500</v>
      </c>
      <c r="AJ97" s="487">
        <f>N97+AB97</f>
        <v>0</v>
      </c>
      <c r="AK97" s="487">
        <f>J97+X97</f>
        <v>0</v>
      </c>
      <c r="AL97" s="487">
        <f t="shared" si="112"/>
        <v>1500</v>
      </c>
      <c r="AM97" s="316">
        <f t="shared" si="107"/>
        <v>750</v>
      </c>
      <c r="AN97" s="316">
        <f t="shared" si="108"/>
        <v>0</v>
      </c>
      <c r="AO97" s="316">
        <f t="shared" si="109"/>
        <v>750</v>
      </c>
      <c r="AP97" s="316">
        <f t="shared" si="110"/>
        <v>0</v>
      </c>
      <c r="AQ97" s="169" t="s">
        <v>898</v>
      </c>
      <c r="AR97" s="169" t="s">
        <v>349</v>
      </c>
    </row>
    <row r="98" spans="1:44" s="169" customFormat="1" x14ac:dyDescent="0.3">
      <c r="A98" s="509">
        <v>2</v>
      </c>
      <c r="B98" s="510" t="s">
        <v>440</v>
      </c>
      <c r="C98" s="409" t="s">
        <v>90</v>
      </c>
      <c r="D98" s="501">
        <v>7</v>
      </c>
      <c r="E98" s="411">
        <v>300</v>
      </c>
      <c r="F98" s="412">
        <v>1</v>
      </c>
      <c r="G98" s="486">
        <v>1</v>
      </c>
      <c r="H98" s="486">
        <f t="shared" ref="H98" si="153">100%-G98</f>
        <v>0</v>
      </c>
      <c r="I98" s="504">
        <f t="shared" si="147"/>
        <v>2100</v>
      </c>
      <c r="J98" s="487">
        <f>D98*E98*F98*H98</f>
        <v>0</v>
      </c>
      <c r="K98" s="529">
        <f>I98*70/100</f>
        <v>1470</v>
      </c>
      <c r="L98" s="529">
        <f>I98*20/100</f>
        <v>420</v>
      </c>
      <c r="M98" s="529">
        <f>I98*10/100</f>
        <v>210</v>
      </c>
      <c r="N98" s="416">
        <v>0</v>
      </c>
      <c r="O98" s="507" t="s">
        <v>441</v>
      </c>
      <c r="Q98" s="409" t="s">
        <v>90</v>
      </c>
      <c r="R98" s="501">
        <v>7</v>
      </c>
      <c r="S98" s="411">
        <v>300</v>
      </c>
      <c r="T98" s="514">
        <v>1</v>
      </c>
      <c r="U98" s="486">
        <v>1</v>
      </c>
      <c r="V98" s="486">
        <f t="shared" ref="V98" si="154">100%-U98</f>
        <v>0</v>
      </c>
      <c r="W98" s="487">
        <f t="shared" si="148"/>
        <v>2100</v>
      </c>
      <c r="X98" s="487">
        <f t="shared" si="149"/>
        <v>0</v>
      </c>
      <c r="Y98" s="529">
        <f t="shared" si="150"/>
        <v>1470</v>
      </c>
      <c r="Z98" s="529">
        <f t="shared" si="151"/>
        <v>420</v>
      </c>
      <c r="AA98" s="529">
        <f t="shared" si="152"/>
        <v>210</v>
      </c>
      <c r="AB98" s="416">
        <v>0</v>
      </c>
      <c r="AC98" s="417" t="s">
        <v>441</v>
      </c>
      <c r="AD98" s="227"/>
      <c r="AE98" s="241">
        <v>2</v>
      </c>
      <c r="AF98" s="204" t="str">
        <f t="shared" si="113"/>
        <v>Resstauration+pause café</v>
      </c>
      <c r="AG98" s="486">
        <f>AI98/($AI98+$AK98)</f>
        <v>1</v>
      </c>
      <c r="AH98" s="486">
        <f>AK98/($AI98+$AK98)</f>
        <v>0</v>
      </c>
      <c r="AI98" s="487">
        <f>I98+W98</f>
        <v>4200</v>
      </c>
      <c r="AJ98" s="487">
        <f>N98+AB98</f>
        <v>0</v>
      </c>
      <c r="AK98" s="487">
        <f>J98+X98</f>
        <v>0</v>
      </c>
      <c r="AL98" s="487">
        <f t="shared" si="112"/>
        <v>4200</v>
      </c>
      <c r="AM98" s="316">
        <f t="shared" si="107"/>
        <v>2100</v>
      </c>
      <c r="AN98" s="316">
        <f t="shared" si="108"/>
        <v>0</v>
      </c>
      <c r="AO98" s="316">
        <f t="shared" si="109"/>
        <v>2100</v>
      </c>
      <c r="AP98" s="316">
        <f t="shared" si="110"/>
        <v>0</v>
      </c>
      <c r="AQ98" s="169" t="s">
        <v>898</v>
      </c>
      <c r="AR98" s="169" t="s">
        <v>349</v>
      </c>
    </row>
    <row r="99" spans="1:44" ht="28.5" customHeight="1" x14ac:dyDescent="0.3">
      <c r="A99" s="480" t="s">
        <v>252</v>
      </c>
      <c r="B99" s="861" t="s">
        <v>306</v>
      </c>
      <c r="C99" s="862"/>
      <c r="D99" s="862"/>
      <c r="E99" s="862"/>
      <c r="F99" s="862"/>
      <c r="G99" s="862"/>
      <c r="H99" s="863"/>
      <c r="I99" s="481">
        <f t="shared" ref="I99:N99" si="155">SUM(I100:I128)</f>
        <v>100984.5</v>
      </c>
      <c r="J99" s="482">
        <f t="shared" si="155"/>
        <v>11220.5</v>
      </c>
      <c r="K99" s="482">
        <f t="shared" si="155"/>
        <v>59889.15</v>
      </c>
      <c r="L99" s="482">
        <f t="shared" si="155"/>
        <v>36396.9</v>
      </c>
      <c r="M99" s="482">
        <f t="shared" si="155"/>
        <v>4698.45</v>
      </c>
      <c r="N99" s="481">
        <f t="shared" si="155"/>
        <v>0</v>
      </c>
      <c r="O99" s="508"/>
      <c r="Q99" s="192"/>
      <c r="R99" s="193"/>
      <c r="S99" s="192"/>
      <c r="T99" s="193"/>
      <c r="U99" s="193"/>
      <c r="V99" s="484"/>
      <c r="W99" s="482">
        <f t="shared" ref="W99:Y99" si="156">SUM(W100:W128)</f>
        <v>69484.5</v>
      </c>
      <c r="X99" s="482">
        <f t="shared" si="156"/>
        <v>7720.5</v>
      </c>
      <c r="Y99" s="482">
        <f t="shared" si="156"/>
        <v>56739.15</v>
      </c>
      <c r="Z99" s="482">
        <f t="shared" ref="Z99:AB99" si="157">SUM(Z100:Z128)</f>
        <v>8496.9</v>
      </c>
      <c r="AA99" s="482">
        <f t="shared" si="157"/>
        <v>4248.45</v>
      </c>
      <c r="AB99" s="481">
        <f t="shared" si="157"/>
        <v>0</v>
      </c>
      <c r="AC99" s="508"/>
      <c r="AD99" s="234"/>
      <c r="AE99" s="247" t="s">
        <v>252</v>
      </c>
      <c r="AF99" s="204" t="str">
        <f t="shared" si="113"/>
        <v>Fournir aux adolescents vulnérables non scolarisés et déscolarisés parmi les communautés ciblées des « compétences de vie » à long terme pour leur réinsertion sociale dans la société (incluent des kits d’insertion socio-économiques)</v>
      </c>
      <c r="AG99" s="485">
        <f>AI99/($AI99+$AK99)</f>
        <v>0.9</v>
      </c>
      <c r="AH99" s="485">
        <f>AK99/($AI99+$AK99)</f>
        <v>0.1</v>
      </c>
      <c r="AI99" s="482">
        <f>I99+W99</f>
        <v>170469</v>
      </c>
      <c r="AJ99" s="482">
        <f>N99+AB99</f>
        <v>0</v>
      </c>
      <c r="AK99" s="482">
        <f>J99+X99</f>
        <v>18941</v>
      </c>
      <c r="AL99" s="482">
        <f t="shared" si="112"/>
        <v>189410</v>
      </c>
      <c r="AM99" s="314">
        <f t="shared" si="107"/>
        <v>100984.5</v>
      </c>
      <c r="AN99" s="314">
        <f t="shared" si="108"/>
        <v>0</v>
      </c>
      <c r="AO99" s="314">
        <f t="shared" si="109"/>
        <v>69484.5</v>
      </c>
      <c r="AP99" s="314">
        <f t="shared" si="110"/>
        <v>0</v>
      </c>
    </row>
    <row r="100" spans="1:44" s="169" customFormat="1" ht="26" x14ac:dyDescent="0.3">
      <c r="A100" s="488"/>
      <c r="B100" s="489" t="s">
        <v>899</v>
      </c>
      <c r="C100" s="489"/>
      <c r="D100" s="490"/>
      <c r="E100" s="491"/>
      <c r="F100" s="492"/>
      <c r="G100" s="493"/>
      <c r="H100" s="493"/>
      <c r="I100" s="494"/>
      <c r="J100" s="495"/>
      <c r="K100" s="495"/>
      <c r="L100" s="495"/>
      <c r="M100" s="495"/>
      <c r="N100" s="494"/>
      <c r="O100" s="496"/>
      <c r="Q100" s="489"/>
      <c r="R100" s="490"/>
      <c r="S100" s="491"/>
      <c r="T100" s="492"/>
      <c r="U100" s="493"/>
      <c r="V100" s="493"/>
      <c r="W100" s="495"/>
      <c r="X100" s="495"/>
      <c r="Y100" s="495"/>
      <c r="Z100" s="495"/>
      <c r="AA100" s="495"/>
      <c r="AB100" s="494"/>
      <c r="AC100" s="498"/>
      <c r="AD100" s="182"/>
      <c r="AE100" s="204"/>
      <c r="AF100" s="204" t="str">
        <f t="shared" si="113"/>
        <v>Réunion avec les représentants des zones de santé et les autorités scolaires - suivant les protocoles COVID-19</v>
      </c>
      <c r="AG100" s="493"/>
      <c r="AH100" s="493"/>
      <c r="AI100" s="495"/>
      <c r="AJ100" s="495"/>
      <c r="AK100" s="495"/>
      <c r="AL100" s="495"/>
      <c r="AM100" s="317">
        <f t="shared" si="107"/>
        <v>0</v>
      </c>
      <c r="AN100" s="317">
        <f t="shared" si="108"/>
        <v>0</v>
      </c>
      <c r="AO100" s="317">
        <f t="shared" si="109"/>
        <v>0</v>
      </c>
      <c r="AP100" s="317">
        <f t="shared" si="110"/>
        <v>0</v>
      </c>
    </row>
    <row r="101" spans="1:44" s="169" customFormat="1" ht="26" x14ac:dyDescent="0.3">
      <c r="A101" s="509">
        <v>1</v>
      </c>
      <c r="B101" s="535" t="s">
        <v>900</v>
      </c>
      <c r="C101" s="517" t="s">
        <v>443</v>
      </c>
      <c r="D101" s="410">
        <v>50</v>
      </c>
      <c r="E101" s="411">
        <v>2</v>
      </c>
      <c r="F101" s="412">
        <v>1</v>
      </c>
      <c r="G101" s="503">
        <v>0.9</v>
      </c>
      <c r="H101" s="503">
        <v>0.1</v>
      </c>
      <c r="I101" s="504">
        <f t="shared" ref="I101:I128" si="158">D101*E101*F101*G101</f>
        <v>90</v>
      </c>
      <c r="J101" s="487">
        <f>D101*E101*F101*H101</f>
        <v>10</v>
      </c>
      <c r="K101" s="529">
        <f>I101*70/100</f>
        <v>63</v>
      </c>
      <c r="L101" s="529">
        <f>I101*20/100</f>
        <v>18</v>
      </c>
      <c r="M101" s="529">
        <f>I101*10/100</f>
        <v>9</v>
      </c>
      <c r="N101" s="416">
        <v>0</v>
      </c>
      <c r="O101" s="507" t="s">
        <v>901</v>
      </c>
      <c r="Q101" s="517" t="s">
        <v>443</v>
      </c>
      <c r="R101" s="516">
        <v>50</v>
      </c>
      <c r="S101" s="411">
        <v>2</v>
      </c>
      <c r="T101" s="514">
        <v>1</v>
      </c>
      <c r="U101" s="503">
        <v>0.9</v>
      </c>
      <c r="V101" s="503">
        <v>0.1</v>
      </c>
      <c r="W101" s="487">
        <f t="shared" ref="W101:W128" si="159">R101*S101*T101*U101</f>
        <v>90</v>
      </c>
      <c r="X101" s="487">
        <f t="shared" ref="X101" si="160">R101*S101*T101*V101</f>
        <v>10</v>
      </c>
      <c r="Y101" s="529">
        <f t="shared" ref="Y101" si="161">W101*70/100</f>
        <v>63</v>
      </c>
      <c r="Z101" s="529">
        <f t="shared" ref="Z101" si="162">W101*20/100</f>
        <v>18</v>
      </c>
      <c r="AA101" s="529">
        <f t="shared" ref="AA101" si="163">W101*10/100</f>
        <v>9</v>
      </c>
      <c r="AB101" s="416">
        <v>0</v>
      </c>
      <c r="AC101" s="417" t="s">
        <v>901</v>
      </c>
      <c r="AD101" s="227"/>
      <c r="AE101" s="241">
        <v>1</v>
      </c>
      <c r="AF101" s="204" t="str">
        <f t="shared" si="113"/>
        <v>Salle de réunion avec les représentants des zones de santé et les autorités scolaires - suivant les protocoles COVID-19</v>
      </c>
      <c r="AG101" s="486">
        <f>AI101/($AI101+$AK101)</f>
        <v>0.9</v>
      </c>
      <c r="AH101" s="486">
        <f>AK101/($AI101+$AK101)</f>
        <v>0.1</v>
      </c>
      <c r="AI101" s="487">
        <f>I101+W101</f>
        <v>180</v>
      </c>
      <c r="AJ101" s="487">
        <f>N101+AB101</f>
        <v>0</v>
      </c>
      <c r="AK101" s="487">
        <f>J101+X101</f>
        <v>20</v>
      </c>
      <c r="AL101" s="487">
        <f t="shared" si="112"/>
        <v>200</v>
      </c>
      <c r="AM101" s="316">
        <f t="shared" si="107"/>
        <v>90</v>
      </c>
      <c r="AN101" s="316">
        <f t="shared" si="108"/>
        <v>0</v>
      </c>
      <c r="AO101" s="316">
        <f t="shared" si="109"/>
        <v>90</v>
      </c>
      <c r="AP101" s="316">
        <f t="shared" si="110"/>
        <v>0</v>
      </c>
      <c r="AQ101" s="169" t="s">
        <v>898</v>
      </c>
      <c r="AR101" s="169" t="s">
        <v>349</v>
      </c>
    </row>
    <row r="102" spans="1:44" s="169" customFormat="1" ht="26" x14ac:dyDescent="0.3">
      <c r="A102" s="488"/>
      <c r="B102" s="489" t="s">
        <v>442</v>
      </c>
      <c r="C102" s="489"/>
      <c r="D102" s="490"/>
      <c r="E102" s="491"/>
      <c r="F102" s="492"/>
      <c r="G102" s="493"/>
      <c r="H102" s="493"/>
      <c r="I102" s="494"/>
      <c r="J102" s="495"/>
      <c r="K102" s="495"/>
      <c r="L102" s="495"/>
      <c r="M102" s="495"/>
      <c r="N102" s="494"/>
      <c r="O102" s="496"/>
      <c r="Q102" s="489"/>
      <c r="R102" s="490"/>
      <c r="S102" s="491"/>
      <c r="T102" s="492"/>
      <c r="U102" s="493"/>
      <c r="V102" s="493"/>
      <c r="W102" s="495"/>
      <c r="X102" s="495"/>
      <c r="Y102" s="495"/>
      <c r="Z102" s="495"/>
      <c r="AA102" s="495"/>
      <c r="AB102" s="494"/>
      <c r="AC102" s="498"/>
      <c r="AD102" s="182"/>
      <c r="AE102" s="204"/>
      <c r="AF102" s="204" t="str">
        <f t="shared" si="113"/>
        <v xml:space="preserve">Identification de 1200 adolescents vulnérables, scolarisés ou non, qui seront formés aux compétences de vie. </v>
      </c>
      <c r="AG102" s="493"/>
      <c r="AH102" s="493"/>
      <c r="AI102" s="495"/>
      <c r="AJ102" s="495"/>
      <c r="AK102" s="495"/>
      <c r="AL102" s="495"/>
      <c r="AM102" s="317">
        <f t="shared" si="107"/>
        <v>0</v>
      </c>
      <c r="AN102" s="317">
        <f t="shared" si="108"/>
        <v>0</v>
      </c>
      <c r="AO102" s="317">
        <f t="shared" si="109"/>
        <v>0</v>
      </c>
      <c r="AP102" s="317">
        <f t="shared" si="110"/>
        <v>0</v>
      </c>
    </row>
    <row r="103" spans="1:44" s="169" customFormat="1" ht="26" x14ac:dyDescent="0.3">
      <c r="A103" s="509">
        <v>2</v>
      </c>
      <c r="B103" s="535" t="s">
        <v>902</v>
      </c>
      <c r="C103" s="517" t="s">
        <v>443</v>
      </c>
      <c r="D103" s="410">
        <v>50</v>
      </c>
      <c r="E103" s="411">
        <v>2</v>
      </c>
      <c r="F103" s="412">
        <v>1</v>
      </c>
      <c r="G103" s="503">
        <v>0.9</v>
      </c>
      <c r="H103" s="503">
        <v>0.1</v>
      </c>
      <c r="I103" s="504">
        <f t="shared" si="158"/>
        <v>90</v>
      </c>
      <c r="J103" s="487">
        <f>D103*E103*F103*H103</f>
        <v>10</v>
      </c>
      <c r="K103" s="529">
        <f>I103*70/100</f>
        <v>63</v>
      </c>
      <c r="L103" s="529">
        <f>I103*20/100</f>
        <v>18</v>
      </c>
      <c r="M103" s="529">
        <f>I103*10/100</f>
        <v>9</v>
      </c>
      <c r="N103" s="416">
        <v>0</v>
      </c>
      <c r="O103" s="507" t="s">
        <v>901</v>
      </c>
      <c r="Q103" s="517" t="s">
        <v>443</v>
      </c>
      <c r="R103" s="516">
        <v>50</v>
      </c>
      <c r="S103" s="411">
        <v>2</v>
      </c>
      <c r="T103" s="514">
        <v>1</v>
      </c>
      <c r="U103" s="503">
        <v>0.9</v>
      </c>
      <c r="V103" s="503">
        <v>0.1</v>
      </c>
      <c r="W103" s="487">
        <f t="shared" si="159"/>
        <v>90</v>
      </c>
      <c r="X103" s="487">
        <f t="shared" ref="X103:X128" si="164">R103*S103*T103*V103</f>
        <v>10</v>
      </c>
      <c r="Y103" s="529">
        <f t="shared" ref="Y103" si="165">W103*70/100</f>
        <v>63</v>
      </c>
      <c r="Z103" s="529">
        <f t="shared" ref="Z103" si="166">W103*20/100</f>
        <v>18</v>
      </c>
      <c r="AA103" s="529">
        <f t="shared" ref="AA103" si="167">W103*10/100</f>
        <v>9</v>
      </c>
      <c r="AB103" s="416">
        <v>0</v>
      </c>
      <c r="AC103" s="417" t="s">
        <v>901</v>
      </c>
      <c r="AD103" s="227"/>
      <c r="AE103" s="241">
        <v>2</v>
      </c>
      <c r="AF103" s="204" t="str">
        <f t="shared" si="113"/>
        <v>Salle de réunion avec le département des affaires sociales qui aidera à identifier les centres techniques et les adolescentes vulnerables</v>
      </c>
      <c r="AG103" s="486">
        <f>AI103/($AI103+$AK103)</f>
        <v>0.9</v>
      </c>
      <c r="AH103" s="486">
        <f>AK103/($AI103+$AK103)</f>
        <v>0.1</v>
      </c>
      <c r="AI103" s="487">
        <f>I103+W103</f>
        <v>180</v>
      </c>
      <c r="AJ103" s="487">
        <f>N103+AB103</f>
        <v>0</v>
      </c>
      <c r="AK103" s="487">
        <f>J103+X103</f>
        <v>20</v>
      </c>
      <c r="AL103" s="487">
        <f t="shared" si="112"/>
        <v>200</v>
      </c>
      <c r="AM103" s="316">
        <f t="shared" si="107"/>
        <v>90</v>
      </c>
      <c r="AN103" s="316">
        <f t="shared" si="108"/>
        <v>0</v>
      </c>
      <c r="AO103" s="316">
        <f t="shared" si="109"/>
        <v>90</v>
      </c>
      <c r="AP103" s="316">
        <f t="shared" si="110"/>
        <v>0</v>
      </c>
      <c r="AQ103" s="169" t="s">
        <v>898</v>
      </c>
      <c r="AR103" s="169" t="s">
        <v>349</v>
      </c>
    </row>
    <row r="104" spans="1:44" s="169" customFormat="1" x14ac:dyDescent="0.3">
      <c r="A104" s="509">
        <v>3</v>
      </c>
      <c r="B104" s="535" t="s">
        <v>903</v>
      </c>
      <c r="C104" s="517" t="s">
        <v>443</v>
      </c>
      <c r="D104" s="410">
        <v>0</v>
      </c>
      <c r="E104" s="411">
        <v>10</v>
      </c>
      <c r="F104" s="412">
        <v>1</v>
      </c>
      <c r="G104" s="503">
        <v>0.9</v>
      </c>
      <c r="H104" s="503">
        <v>0.1</v>
      </c>
      <c r="I104" s="504">
        <f t="shared" si="158"/>
        <v>0</v>
      </c>
      <c r="J104" s="487">
        <f>D104*E104*F104*H104</f>
        <v>0</v>
      </c>
      <c r="K104" s="487">
        <f>I104</f>
        <v>0</v>
      </c>
      <c r="L104" s="487"/>
      <c r="M104" s="487"/>
      <c r="N104" s="416">
        <v>0</v>
      </c>
      <c r="O104" s="507" t="s">
        <v>397</v>
      </c>
      <c r="Q104" s="517" t="s">
        <v>443</v>
      </c>
      <c r="R104" s="516">
        <v>0</v>
      </c>
      <c r="S104" s="411">
        <v>10</v>
      </c>
      <c r="T104" s="514">
        <v>1</v>
      </c>
      <c r="U104" s="503">
        <v>0.9</v>
      </c>
      <c r="V104" s="503">
        <v>0.1</v>
      </c>
      <c r="W104" s="487">
        <f t="shared" si="159"/>
        <v>0</v>
      </c>
      <c r="X104" s="487">
        <f t="shared" si="164"/>
        <v>0</v>
      </c>
      <c r="Y104" s="487">
        <f t="shared" ref="Y104:Y128" si="168">W104</f>
        <v>0</v>
      </c>
      <c r="Z104" s="487"/>
      <c r="AA104" s="487"/>
      <c r="AB104" s="416">
        <v>0</v>
      </c>
      <c r="AC104" s="417" t="s">
        <v>397</v>
      </c>
      <c r="AD104" s="227"/>
      <c r="AE104" s="241">
        <v>3</v>
      </c>
      <c r="AF104" s="204" t="str">
        <f t="shared" si="113"/>
        <v>Identifier 1200  adolescents vulnerables</v>
      </c>
      <c r="AG104" s="486"/>
      <c r="AH104" s="486"/>
      <c r="AI104" s="487">
        <f>I104+W104</f>
        <v>0</v>
      </c>
      <c r="AJ104" s="487">
        <f>N104+AB104</f>
        <v>0</v>
      </c>
      <c r="AK104" s="487">
        <f>J104+X104</f>
        <v>0</v>
      </c>
      <c r="AL104" s="487">
        <f t="shared" si="112"/>
        <v>0</v>
      </c>
      <c r="AM104" s="316">
        <f t="shared" si="107"/>
        <v>0</v>
      </c>
      <c r="AN104" s="316">
        <f t="shared" si="108"/>
        <v>0</v>
      </c>
      <c r="AO104" s="316">
        <f t="shared" si="109"/>
        <v>0</v>
      </c>
      <c r="AP104" s="316">
        <f t="shared" si="110"/>
        <v>0</v>
      </c>
      <c r="AQ104" s="169" t="s">
        <v>898</v>
      </c>
      <c r="AR104" s="169" t="s">
        <v>349</v>
      </c>
    </row>
    <row r="105" spans="1:44" s="169" customFormat="1" ht="26" x14ac:dyDescent="0.3">
      <c r="A105" s="488"/>
      <c r="B105" s="489" t="s">
        <v>904</v>
      </c>
      <c r="C105" s="489"/>
      <c r="D105" s="490"/>
      <c r="E105" s="491"/>
      <c r="F105" s="492"/>
      <c r="G105" s="493"/>
      <c r="H105" s="493"/>
      <c r="I105" s="494"/>
      <c r="J105" s="495"/>
      <c r="K105" s="495"/>
      <c r="L105" s="495"/>
      <c r="M105" s="495"/>
      <c r="N105" s="494"/>
      <c r="O105" s="496"/>
      <c r="Q105" s="489"/>
      <c r="R105" s="490"/>
      <c r="S105" s="491"/>
      <c r="T105" s="492"/>
      <c r="U105" s="493"/>
      <c r="V105" s="493"/>
      <c r="W105" s="495"/>
      <c r="X105" s="495"/>
      <c r="Y105" s="495"/>
      <c r="Z105" s="495"/>
      <c r="AA105" s="495"/>
      <c r="AB105" s="494"/>
      <c r="AC105" s="498"/>
      <c r="AD105" s="182"/>
      <c r="AE105" s="204"/>
      <c r="AF105" s="204" t="str">
        <f t="shared" si="113"/>
        <v>Révision des modules de formation sur l'approche Youth Ready (formations sur les compétences de vie) adaptés au contexte.</v>
      </c>
      <c r="AG105" s="493"/>
      <c r="AH105" s="493"/>
      <c r="AI105" s="495"/>
      <c r="AJ105" s="495"/>
      <c r="AK105" s="495"/>
      <c r="AL105" s="495"/>
      <c r="AM105" s="317">
        <f t="shared" si="107"/>
        <v>0</v>
      </c>
      <c r="AN105" s="317">
        <f t="shared" si="108"/>
        <v>0</v>
      </c>
      <c r="AO105" s="317">
        <f t="shared" si="109"/>
        <v>0</v>
      </c>
      <c r="AP105" s="317">
        <f t="shared" si="110"/>
        <v>0</v>
      </c>
    </row>
    <row r="106" spans="1:44" s="169" customFormat="1" x14ac:dyDescent="0.3">
      <c r="A106" s="509">
        <v>4</v>
      </c>
      <c r="B106" s="535" t="s">
        <v>905</v>
      </c>
      <c r="C106" s="517" t="s">
        <v>495</v>
      </c>
      <c r="D106" s="536">
        <v>250</v>
      </c>
      <c r="E106" s="411">
        <v>1</v>
      </c>
      <c r="F106" s="512">
        <v>1</v>
      </c>
      <c r="G106" s="503">
        <v>0.9</v>
      </c>
      <c r="H106" s="503">
        <v>0.1</v>
      </c>
      <c r="I106" s="504">
        <f t="shared" si="158"/>
        <v>225</v>
      </c>
      <c r="J106" s="487">
        <f>D106*E106*F106*H106</f>
        <v>25</v>
      </c>
      <c r="K106" s="529">
        <f>I106*70/100</f>
        <v>157.5</v>
      </c>
      <c r="L106" s="529">
        <f>I106*20/100</f>
        <v>45</v>
      </c>
      <c r="M106" s="529">
        <f>I106*10/100</f>
        <v>22.5</v>
      </c>
      <c r="N106" s="416">
        <v>0</v>
      </c>
      <c r="O106" s="507" t="s">
        <v>906</v>
      </c>
      <c r="Q106" s="517" t="s">
        <v>495</v>
      </c>
      <c r="R106" s="516">
        <v>250</v>
      </c>
      <c r="S106" s="411">
        <v>1</v>
      </c>
      <c r="T106" s="514">
        <v>1</v>
      </c>
      <c r="U106" s="503">
        <v>0.9</v>
      </c>
      <c r="V106" s="503">
        <v>0.1</v>
      </c>
      <c r="W106" s="487">
        <f t="shared" si="159"/>
        <v>225</v>
      </c>
      <c r="X106" s="487">
        <f t="shared" si="164"/>
        <v>25</v>
      </c>
      <c r="Y106" s="529">
        <f t="shared" ref="Y106:Y107" si="169">W106*70/100</f>
        <v>157.5</v>
      </c>
      <c r="Z106" s="529">
        <f t="shared" ref="Z106:Z107" si="170">W106*20/100</f>
        <v>45</v>
      </c>
      <c r="AA106" s="529">
        <f t="shared" ref="AA106:AA107" si="171">W106*10/100</f>
        <v>22.5</v>
      </c>
      <c r="AB106" s="416">
        <v>0</v>
      </c>
      <c r="AC106" s="417" t="s">
        <v>906</v>
      </c>
      <c r="AD106" s="227"/>
      <c r="AE106" s="241">
        <v>4</v>
      </c>
      <c r="AF106" s="204" t="str">
        <f t="shared" si="113"/>
        <v>Révision et traduction des modules Youth Ready dans la langue locale</v>
      </c>
      <c r="AG106" s="486">
        <f>AI106/($AI106+$AK106)</f>
        <v>0.9</v>
      </c>
      <c r="AH106" s="486">
        <f>AK106/($AI106+$AK106)</f>
        <v>0.1</v>
      </c>
      <c r="AI106" s="487">
        <f>I106+W106</f>
        <v>450</v>
      </c>
      <c r="AJ106" s="487">
        <f>N106+AB106</f>
        <v>0</v>
      </c>
      <c r="AK106" s="487">
        <f>J106+X106</f>
        <v>50</v>
      </c>
      <c r="AL106" s="487">
        <f t="shared" si="112"/>
        <v>500</v>
      </c>
      <c r="AM106" s="316">
        <f t="shared" si="107"/>
        <v>225</v>
      </c>
      <c r="AN106" s="316">
        <f t="shared" si="108"/>
        <v>0</v>
      </c>
      <c r="AO106" s="316">
        <f t="shared" si="109"/>
        <v>225</v>
      </c>
      <c r="AP106" s="316">
        <f t="shared" si="110"/>
        <v>0</v>
      </c>
      <c r="AQ106" s="169" t="s">
        <v>898</v>
      </c>
      <c r="AR106" s="169" t="s">
        <v>349</v>
      </c>
    </row>
    <row r="107" spans="1:44" s="169" customFormat="1" x14ac:dyDescent="0.3">
      <c r="A107" s="509">
        <v>5</v>
      </c>
      <c r="B107" s="535" t="s">
        <v>907</v>
      </c>
      <c r="C107" s="517" t="s">
        <v>419</v>
      </c>
      <c r="D107" s="536">
        <v>3</v>
      </c>
      <c r="E107" s="411">
        <v>600</v>
      </c>
      <c r="F107" s="512">
        <v>1</v>
      </c>
      <c r="G107" s="503">
        <v>0.9</v>
      </c>
      <c r="H107" s="503">
        <v>0.1</v>
      </c>
      <c r="I107" s="504">
        <f t="shared" si="158"/>
        <v>1620</v>
      </c>
      <c r="J107" s="487">
        <f>D107*E107*F107*H107</f>
        <v>180</v>
      </c>
      <c r="K107" s="529">
        <f>I107*70/100</f>
        <v>1134</v>
      </c>
      <c r="L107" s="529">
        <f>I107*20/100</f>
        <v>324</v>
      </c>
      <c r="M107" s="529">
        <f>I107*10/100</f>
        <v>162</v>
      </c>
      <c r="N107" s="416">
        <v>0</v>
      </c>
      <c r="O107" s="507" t="s">
        <v>908</v>
      </c>
      <c r="Q107" s="517" t="s">
        <v>419</v>
      </c>
      <c r="R107" s="516">
        <v>3</v>
      </c>
      <c r="S107" s="411">
        <v>600</v>
      </c>
      <c r="T107" s="514">
        <v>1</v>
      </c>
      <c r="U107" s="503">
        <v>0.9</v>
      </c>
      <c r="V107" s="503">
        <v>0.1</v>
      </c>
      <c r="W107" s="487">
        <f t="shared" si="159"/>
        <v>1620</v>
      </c>
      <c r="X107" s="487">
        <f t="shared" si="164"/>
        <v>180</v>
      </c>
      <c r="Y107" s="529">
        <f t="shared" si="169"/>
        <v>1134</v>
      </c>
      <c r="Z107" s="529">
        <f t="shared" si="170"/>
        <v>324</v>
      </c>
      <c r="AA107" s="529">
        <f t="shared" si="171"/>
        <v>162</v>
      </c>
      <c r="AB107" s="416">
        <v>0</v>
      </c>
      <c r="AC107" s="417" t="s">
        <v>908</v>
      </c>
      <c r="AD107" s="227"/>
      <c r="AE107" s="241">
        <v>5</v>
      </c>
      <c r="AF107" s="204" t="str">
        <f t="shared" si="113"/>
        <v>Impression et distribution des modules Youth Ready</v>
      </c>
      <c r="AG107" s="486">
        <f>AI107/($AI107+$AK107)</f>
        <v>0.9</v>
      </c>
      <c r="AH107" s="486">
        <f>AK107/($AI107+$AK107)</f>
        <v>0.1</v>
      </c>
      <c r="AI107" s="487">
        <f>I107+W107</f>
        <v>3240</v>
      </c>
      <c r="AJ107" s="487">
        <f>N107+AB107</f>
        <v>0</v>
      </c>
      <c r="AK107" s="487">
        <f>J107+X107</f>
        <v>360</v>
      </c>
      <c r="AL107" s="487">
        <f t="shared" si="112"/>
        <v>3600</v>
      </c>
      <c r="AM107" s="316">
        <f t="shared" si="107"/>
        <v>1620</v>
      </c>
      <c r="AN107" s="316">
        <f t="shared" si="108"/>
        <v>0</v>
      </c>
      <c r="AO107" s="316">
        <f t="shared" si="109"/>
        <v>1620</v>
      </c>
      <c r="AP107" s="316">
        <f t="shared" si="110"/>
        <v>0</v>
      </c>
      <c r="AQ107" s="169" t="s">
        <v>898</v>
      </c>
      <c r="AR107" s="169" t="s">
        <v>349</v>
      </c>
    </row>
    <row r="108" spans="1:44" s="169" customFormat="1" ht="26" x14ac:dyDescent="0.3">
      <c r="A108" s="488"/>
      <c r="B108" s="489" t="s">
        <v>909</v>
      </c>
      <c r="C108" s="489"/>
      <c r="D108" s="490"/>
      <c r="E108" s="491"/>
      <c r="F108" s="492"/>
      <c r="G108" s="493"/>
      <c r="H108" s="493"/>
      <c r="I108" s="494"/>
      <c r="J108" s="495"/>
      <c r="K108" s="495"/>
      <c r="L108" s="495"/>
      <c r="M108" s="495"/>
      <c r="N108" s="494"/>
      <c r="O108" s="496"/>
      <c r="Q108" s="489"/>
      <c r="R108" s="490"/>
      <c r="S108" s="491"/>
      <c r="T108" s="492"/>
      <c r="U108" s="493"/>
      <c r="V108" s="493"/>
      <c r="W108" s="495"/>
      <c r="X108" s="495"/>
      <c r="Y108" s="495"/>
      <c r="Z108" s="495"/>
      <c r="AA108" s="495"/>
      <c r="AB108" s="494"/>
      <c r="AC108" s="498"/>
      <c r="AD108" s="182"/>
      <c r="AE108" s="204"/>
      <c r="AF108" s="204" t="str">
        <f t="shared" si="113"/>
        <v>Sensibiliser les parents à l'importance de former leurs enfants au développement à long terme sur des "compétences de vie".</v>
      </c>
      <c r="AG108" s="493"/>
      <c r="AH108" s="493"/>
      <c r="AI108" s="495"/>
      <c r="AJ108" s="495"/>
      <c r="AK108" s="495"/>
      <c r="AL108" s="495"/>
      <c r="AM108" s="317">
        <f t="shared" si="107"/>
        <v>0</v>
      </c>
      <c r="AN108" s="317">
        <f t="shared" si="108"/>
        <v>0</v>
      </c>
      <c r="AO108" s="317">
        <f t="shared" si="109"/>
        <v>0</v>
      </c>
      <c r="AP108" s="317">
        <f t="shared" si="110"/>
        <v>0</v>
      </c>
    </row>
    <row r="109" spans="1:44" s="169" customFormat="1" x14ac:dyDescent="0.3">
      <c r="A109" s="509">
        <v>6</v>
      </c>
      <c r="B109" s="535" t="s">
        <v>910</v>
      </c>
      <c r="C109" s="517" t="s">
        <v>911</v>
      </c>
      <c r="D109" s="536">
        <v>10</v>
      </c>
      <c r="E109" s="411">
        <v>10</v>
      </c>
      <c r="F109" s="512">
        <v>1</v>
      </c>
      <c r="G109" s="503">
        <v>0.9</v>
      </c>
      <c r="H109" s="503">
        <v>0.1</v>
      </c>
      <c r="I109" s="504">
        <f t="shared" si="158"/>
        <v>90</v>
      </c>
      <c r="J109" s="487">
        <f>D109*E109*F109*H109</f>
        <v>10</v>
      </c>
      <c r="K109" s="529">
        <f>I109*70/100</f>
        <v>63</v>
      </c>
      <c r="L109" s="529">
        <f>I109*20/100</f>
        <v>18</v>
      </c>
      <c r="M109" s="529">
        <f>I109*10/100</f>
        <v>9</v>
      </c>
      <c r="N109" s="416">
        <v>0</v>
      </c>
      <c r="O109" s="507" t="s">
        <v>912</v>
      </c>
      <c r="Q109" s="517" t="s">
        <v>911</v>
      </c>
      <c r="R109" s="516">
        <v>10</v>
      </c>
      <c r="S109" s="411">
        <v>10</v>
      </c>
      <c r="T109" s="514">
        <v>1</v>
      </c>
      <c r="U109" s="503">
        <v>0.9</v>
      </c>
      <c r="V109" s="503">
        <v>0.1</v>
      </c>
      <c r="W109" s="487">
        <f t="shared" si="159"/>
        <v>90</v>
      </c>
      <c r="X109" s="487">
        <f t="shared" si="164"/>
        <v>10</v>
      </c>
      <c r="Y109" s="529">
        <f t="shared" ref="Y109" si="172">W109*70/100</f>
        <v>63</v>
      </c>
      <c r="Z109" s="529">
        <f t="shared" ref="Z109" si="173">W109*20/100</f>
        <v>18</v>
      </c>
      <c r="AA109" s="529">
        <f t="shared" ref="AA109" si="174">W109*10/100</f>
        <v>9</v>
      </c>
      <c r="AB109" s="416">
        <v>0</v>
      </c>
      <c r="AC109" s="417" t="s">
        <v>913</v>
      </c>
      <c r="AD109" s="227"/>
      <c r="AE109" s="241">
        <v>6</v>
      </c>
      <c r="AF109" s="204" t="str">
        <f t="shared" si="113"/>
        <v>Matériel de sensibilisation</v>
      </c>
      <c r="AG109" s="486">
        <f>AI109/($AI109+$AK109)</f>
        <v>0.9</v>
      </c>
      <c r="AH109" s="486">
        <f>AK109/($AI109+$AK109)</f>
        <v>0.1</v>
      </c>
      <c r="AI109" s="487">
        <f>I109+W109</f>
        <v>180</v>
      </c>
      <c r="AJ109" s="487">
        <f>N109+AB109</f>
        <v>0</v>
      </c>
      <c r="AK109" s="487">
        <f>J109+X109</f>
        <v>20</v>
      </c>
      <c r="AL109" s="487">
        <f t="shared" si="112"/>
        <v>200</v>
      </c>
      <c r="AM109" s="316">
        <f t="shared" si="107"/>
        <v>90</v>
      </c>
      <c r="AN109" s="316">
        <f t="shared" si="108"/>
        <v>0</v>
      </c>
      <c r="AO109" s="316">
        <f t="shared" si="109"/>
        <v>90</v>
      </c>
      <c r="AP109" s="316">
        <f t="shared" si="110"/>
        <v>0</v>
      </c>
      <c r="AQ109" s="169" t="s">
        <v>898</v>
      </c>
      <c r="AR109" s="169" t="s">
        <v>349</v>
      </c>
    </row>
    <row r="110" spans="1:44" s="169" customFormat="1" x14ac:dyDescent="0.3">
      <c r="A110" s="488"/>
      <c r="B110" s="489" t="s">
        <v>444</v>
      </c>
      <c r="C110" s="489"/>
      <c r="D110" s="490"/>
      <c r="E110" s="491"/>
      <c r="F110" s="492"/>
      <c r="G110" s="493"/>
      <c r="H110" s="493"/>
      <c r="I110" s="494"/>
      <c r="J110" s="495"/>
      <c r="K110" s="495"/>
      <c r="L110" s="495"/>
      <c r="M110" s="495"/>
      <c r="N110" s="494"/>
      <c r="O110" s="496"/>
      <c r="Q110" s="489"/>
      <c r="R110" s="490"/>
      <c r="S110" s="491"/>
      <c r="T110" s="492"/>
      <c r="U110" s="493"/>
      <c r="V110" s="493"/>
      <c r="W110" s="495"/>
      <c r="X110" s="495"/>
      <c r="Y110" s="495"/>
      <c r="Z110" s="495"/>
      <c r="AA110" s="495"/>
      <c r="AB110" s="494"/>
      <c r="AC110" s="498"/>
      <c r="AD110" s="182"/>
      <c r="AE110" s="204"/>
      <c r="AF110" s="204" t="str">
        <f t="shared" si="113"/>
        <v>Former les formateurs des communautés cibles à l'approche "Youth Ready".</v>
      </c>
      <c r="AG110" s="493"/>
      <c r="AH110" s="493"/>
      <c r="AI110" s="495"/>
      <c r="AJ110" s="495"/>
      <c r="AK110" s="495"/>
      <c r="AL110" s="495"/>
      <c r="AM110" s="317">
        <f t="shared" si="107"/>
        <v>0</v>
      </c>
      <c r="AN110" s="317">
        <f t="shared" si="108"/>
        <v>0</v>
      </c>
      <c r="AO110" s="317">
        <f t="shared" si="109"/>
        <v>0</v>
      </c>
      <c r="AP110" s="317">
        <f t="shared" si="110"/>
        <v>0</v>
      </c>
    </row>
    <row r="111" spans="1:44" s="169" customFormat="1" x14ac:dyDescent="0.3">
      <c r="A111" s="509">
        <v>7</v>
      </c>
      <c r="B111" s="510" t="s">
        <v>407</v>
      </c>
      <c r="C111" s="409" t="s">
        <v>445</v>
      </c>
      <c r="D111" s="536">
        <v>50</v>
      </c>
      <c r="E111" s="411">
        <v>2</v>
      </c>
      <c r="F111" s="512">
        <v>3</v>
      </c>
      <c r="G111" s="503">
        <v>0.9</v>
      </c>
      <c r="H111" s="503">
        <v>0.1</v>
      </c>
      <c r="I111" s="504">
        <f t="shared" si="158"/>
        <v>270</v>
      </c>
      <c r="J111" s="487">
        <f>D111*E111*F111*H111</f>
        <v>30</v>
      </c>
      <c r="K111" s="529">
        <f>I111*70/100</f>
        <v>189</v>
      </c>
      <c r="L111" s="529">
        <f>I111*20/100</f>
        <v>54</v>
      </c>
      <c r="M111" s="529">
        <f>I111*10/100</f>
        <v>27</v>
      </c>
      <c r="N111" s="416">
        <v>0</v>
      </c>
      <c r="O111" s="507" t="s">
        <v>914</v>
      </c>
      <c r="Q111" s="409" t="s">
        <v>445</v>
      </c>
      <c r="R111" s="516">
        <v>50</v>
      </c>
      <c r="S111" s="411">
        <v>2</v>
      </c>
      <c r="T111" s="514">
        <v>3</v>
      </c>
      <c r="U111" s="503">
        <v>0.9</v>
      </c>
      <c r="V111" s="503">
        <v>0.1</v>
      </c>
      <c r="W111" s="487">
        <f t="shared" si="159"/>
        <v>270</v>
      </c>
      <c r="X111" s="487">
        <f t="shared" si="164"/>
        <v>30</v>
      </c>
      <c r="Y111" s="529">
        <f t="shared" ref="Y111:Y115" si="175">W111*70/100</f>
        <v>189</v>
      </c>
      <c r="Z111" s="529">
        <f t="shared" ref="Z111:Z115" si="176">W111*20/100</f>
        <v>54</v>
      </c>
      <c r="AA111" s="529">
        <f t="shared" ref="AA111:AA115" si="177">W111*10/100</f>
        <v>27</v>
      </c>
      <c r="AB111" s="416">
        <v>0</v>
      </c>
      <c r="AC111" s="417" t="s">
        <v>914</v>
      </c>
      <c r="AD111" s="227"/>
      <c r="AE111" s="241">
        <v>7</v>
      </c>
      <c r="AF111" s="204" t="str">
        <f t="shared" si="113"/>
        <v>Lieu de formation</v>
      </c>
      <c r="AG111" s="486">
        <f>AI111/($AI111+$AK111)</f>
        <v>0.9</v>
      </c>
      <c r="AH111" s="486">
        <f>AK111/($AI111+$AK111)</f>
        <v>0.1</v>
      </c>
      <c r="AI111" s="487">
        <f>I111+W111</f>
        <v>540</v>
      </c>
      <c r="AJ111" s="487">
        <f>N111+AB111</f>
        <v>0</v>
      </c>
      <c r="AK111" s="487">
        <f>J111+X111</f>
        <v>60</v>
      </c>
      <c r="AL111" s="487">
        <f t="shared" si="112"/>
        <v>600</v>
      </c>
      <c r="AM111" s="316">
        <f t="shared" si="107"/>
        <v>270</v>
      </c>
      <c r="AN111" s="316">
        <f t="shared" si="108"/>
        <v>0</v>
      </c>
      <c r="AO111" s="316">
        <f t="shared" si="109"/>
        <v>270</v>
      </c>
      <c r="AP111" s="316">
        <f t="shared" si="110"/>
        <v>0</v>
      </c>
      <c r="AQ111" s="169" t="s">
        <v>898</v>
      </c>
      <c r="AR111" s="169" t="s">
        <v>349</v>
      </c>
    </row>
    <row r="112" spans="1:44" s="169" customFormat="1" x14ac:dyDescent="0.3">
      <c r="A112" s="509">
        <v>8</v>
      </c>
      <c r="B112" s="510" t="s">
        <v>446</v>
      </c>
      <c r="C112" s="409" t="s">
        <v>419</v>
      </c>
      <c r="D112" s="536">
        <v>2</v>
      </c>
      <c r="E112" s="411">
        <v>30</v>
      </c>
      <c r="F112" s="512">
        <v>3</v>
      </c>
      <c r="G112" s="503">
        <v>0.9</v>
      </c>
      <c r="H112" s="503">
        <v>0.1</v>
      </c>
      <c r="I112" s="504">
        <f t="shared" si="158"/>
        <v>162</v>
      </c>
      <c r="J112" s="487">
        <f>D112*E112*F112*H112</f>
        <v>18</v>
      </c>
      <c r="K112" s="529">
        <f>I112*70/100</f>
        <v>113.4</v>
      </c>
      <c r="L112" s="529">
        <f>I112*20/100</f>
        <v>32.4</v>
      </c>
      <c r="M112" s="529">
        <f>I112*10/100</f>
        <v>16.2</v>
      </c>
      <c r="N112" s="416">
        <v>0</v>
      </c>
      <c r="O112" s="507" t="s">
        <v>915</v>
      </c>
      <c r="Q112" s="409" t="s">
        <v>419</v>
      </c>
      <c r="R112" s="516">
        <v>2</v>
      </c>
      <c r="S112" s="411">
        <v>30</v>
      </c>
      <c r="T112" s="514">
        <v>3</v>
      </c>
      <c r="U112" s="503">
        <v>0.9</v>
      </c>
      <c r="V112" s="503">
        <v>0.1</v>
      </c>
      <c r="W112" s="487">
        <f t="shared" si="159"/>
        <v>162</v>
      </c>
      <c r="X112" s="487">
        <f t="shared" si="164"/>
        <v>18</v>
      </c>
      <c r="Y112" s="529">
        <f t="shared" si="175"/>
        <v>113.4</v>
      </c>
      <c r="Z112" s="529">
        <f t="shared" si="176"/>
        <v>32.4</v>
      </c>
      <c r="AA112" s="529">
        <f t="shared" si="177"/>
        <v>16.2</v>
      </c>
      <c r="AB112" s="416">
        <v>0</v>
      </c>
      <c r="AC112" s="417" t="s">
        <v>915</v>
      </c>
      <c r="AD112" s="227"/>
      <c r="AE112" s="241">
        <v>8</v>
      </c>
      <c r="AF112" s="204" t="str">
        <f t="shared" si="113"/>
        <v>pause café</v>
      </c>
      <c r="AG112" s="486">
        <f>AI112/($AI112+$AK112)</f>
        <v>0.9</v>
      </c>
      <c r="AH112" s="486">
        <f>AK112/($AI112+$AK112)</f>
        <v>0.1</v>
      </c>
      <c r="AI112" s="487">
        <f>I112+W112</f>
        <v>324</v>
      </c>
      <c r="AJ112" s="487">
        <f>N112+AB112</f>
        <v>0</v>
      </c>
      <c r="AK112" s="487">
        <f>J112+X112</f>
        <v>36</v>
      </c>
      <c r="AL112" s="487">
        <f t="shared" si="112"/>
        <v>360</v>
      </c>
      <c r="AM112" s="316">
        <f t="shared" si="107"/>
        <v>162</v>
      </c>
      <c r="AN112" s="316">
        <f t="shared" si="108"/>
        <v>0</v>
      </c>
      <c r="AO112" s="316">
        <f t="shared" si="109"/>
        <v>162</v>
      </c>
      <c r="AP112" s="316">
        <f t="shared" si="110"/>
        <v>0</v>
      </c>
      <c r="AQ112" s="169" t="s">
        <v>898</v>
      </c>
      <c r="AR112" s="169" t="s">
        <v>349</v>
      </c>
    </row>
    <row r="113" spans="1:47" s="169" customFormat="1" x14ac:dyDescent="0.3">
      <c r="A113" s="509">
        <v>9</v>
      </c>
      <c r="B113" s="510" t="s">
        <v>408</v>
      </c>
      <c r="C113" s="409" t="s">
        <v>419</v>
      </c>
      <c r="D113" s="536">
        <v>5</v>
      </c>
      <c r="E113" s="411">
        <v>30</v>
      </c>
      <c r="F113" s="512">
        <v>3</v>
      </c>
      <c r="G113" s="503">
        <v>0.9</v>
      </c>
      <c r="H113" s="503">
        <v>0.1</v>
      </c>
      <c r="I113" s="504">
        <f t="shared" si="158"/>
        <v>405</v>
      </c>
      <c r="J113" s="487">
        <f>D113*E113*F113*H113</f>
        <v>45</v>
      </c>
      <c r="K113" s="529">
        <f>I113*70/100</f>
        <v>283.5</v>
      </c>
      <c r="L113" s="529">
        <f>I113*20/100</f>
        <v>81</v>
      </c>
      <c r="M113" s="529">
        <f>I113*10/100</f>
        <v>40.5</v>
      </c>
      <c r="N113" s="416">
        <v>0</v>
      </c>
      <c r="O113" s="507" t="s">
        <v>915</v>
      </c>
      <c r="Q113" s="409" t="s">
        <v>419</v>
      </c>
      <c r="R113" s="516">
        <v>5</v>
      </c>
      <c r="S113" s="411">
        <v>30</v>
      </c>
      <c r="T113" s="514">
        <v>3</v>
      </c>
      <c r="U113" s="503">
        <v>0.9</v>
      </c>
      <c r="V113" s="503">
        <v>0.1</v>
      </c>
      <c r="W113" s="487">
        <f t="shared" si="159"/>
        <v>405</v>
      </c>
      <c r="X113" s="487">
        <f t="shared" si="164"/>
        <v>45</v>
      </c>
      <c r="Y113" s="529">
        <f t="shared" si="175"/>
        <v>283.5</v>
      </c>
      <c r="Z113" s="529">
        <f t="shared" si="176"/>
        <v>81</v>
      </c>
      <c r="AA113" s="529">
        <f t="shared" si="177"/>
        <v>40.5</v>
      </c>
      <c r="AB113" s="416">
        <v>0</v>
      </c>
      <c r="AC113" s="417" t="s">
        <v>915</v>
      </c>
      <c r="AD113" s="227"/>
      <c r="AE113" s="241">
        <v>9</v>
      </c>
      <c r="AF113" s="204" t="str">
        <f t="shared" si="113"/>
        <v>Repas</v>
      </c>
      <c r="AG113" s="486">
        <f>AI113/($AI113+$AK113)</f>
        <v>0.9</v>
      </c>
      <c r="AH113" s="486">
        <f>AK113/($AI113+$AK113)</f>
        <v>0.1</v>
      </c>
      <c r="AI113" s="487">
        <f>I113+W113</f>
        <v>810</v>
      </c>
      <c r="AJ113" s="487">
        <f>N113+AB113</f>
        <v>0</v>
      </c>
      <c r="AK113" s="487">
        <f>J113+X113</f>
        <v>90</v>
      </c>
      <c r="AL113" s="487">
        <f t="shared" si="112"/>
        <v>900</v>
      </c>
      <c r="AM113" s="316">
        <f t="shared" si="107"/>
        <v>405</v>
      </c>
      <c r="AN113" s="316">
        <f t="shared" si="108"/>
        <v>0</v>
      </c>
      <c r="AO113" s="316">
        <f t="shared" si="109"/>
        <v>405</v>
      </c>
      <c r="AP113" s="316">
        <f t="shared" si="110"/>
        <v>0</v>
      </c>
      <c r="AQ113" s="169" t="s">
        <v>898</v>
      </c>
      <c r="AR113" s="169" t="s">
        <v>349</v>
      </c>
    </row>
    <row r="114" spans="1:47" s="169" customFormat="1" x14ac:dyDescent="0.3">
      <c r="A114" s="509">
        <v>10</v>
      </c>
      <c r="B114" s="510" t="s">
        <v>447</v>
      </c>
      <c r="C114" s="409" t="s">
        <v>419</v>
      </c>
      <c r="D114" s="537">
        <v>2.5</v>
      </c>
      <c r="E114" s="411">
        <v>30</v>
      </c>
      <c r="F114" s="512">
        <v>1</v>
      </c>
      <c r="G114" s="503">
        <v>0.9</v>
      </c>
      <c r="H114" s="503">
        <v>0.1</v>
      </c>
      <c r="I114" s="504">
        <f t="shared" si="158"/>
        <v>67.5</v>
      </c>
      <c r="J114" s="487">
        <f>D114*E114*F114*H114</f>
        <v>7.5</v>
      </c>
      <c r="K114" s="529">
        <f>I114*70/100</f>
        <v>47.25</v>
      </c>
      <c r="L114" s="529">
        <f>I114*20/100</f>
        <v>13.5</v>
      </c>
      <c r="M114" s="529">
        <f>I114*10/100</f>
        <v>6.75</v>
      </c>
      <c r="N114" s="416">
        <v>0</v>
      </c>
      <c r="O114" s="507" t="s">
        <v>354</v>
      </c>
      <c r="Q114" s="409" t="s">
        <v>419</v>
      </c>
      <c r="R114" s="516">
        <v>2.5</v>
      </c>
      <c r="S114" s="411">
        <v>30</v>
      </c>
      <c r="T114" s="514">
        <v>1</v>
      </c>
      <c r="U114" s="503">
        <v>0.9</v>
      </c>
      <c r="V114" s="503">
        <v>0.1</v>
      </c>
      <c r="W114" s="487">
        <f t="shared" si="159"/>
        <v>67.5</v>
      </c>
      <c r="X114" s="487">
        <f t="shared" si="164"/>
        <v>7.5</v>
      </c>
      <c r="Y114" s="529">
        <f t="shared" si="175"/>
        <v>47.25</v>
      </c>
      <c r="Z114" s="529">
        <f t="shared" si="176"/>
        <v>13.5</v>
      </c>
      <c r="AA114" s="529">
        <f t="shared" si="177"/>
        <v>6.75</v>
      </c>
      <c r="AB114" s="416">
        <v>0</v>
      </c>
      <c r="AC114" s="417" t="s">
        <v>354</v>
      </c>
      <c r="AD114" s="227"/>
      <c r="AE114" s="241">
        <v>10</v>
      </c>
      <c r="AF114" s="204" t="str">
        <f t="shared" si="113"/>
        <v>Fournitures de formation</v>
      </c>
      <c r="AG114" s="486">
        <f>AI114/($AI114+$AK114)</f>
        <v>0.9</v>
      </c>
      <c r="AH114" s="486">
        <f>AK114/($AI114+$AK114)</f>
        <v>0.1</v>
      </c>
      <c r="AI114" s="487">
        <f>I114+W114</f>
        <v>135</v>
      </c>
      <c r="AJ114" s="487">
        <f>N114+AB114</f>
        <v>0</v>
      </c>
      <c r="AK114" s="487">
        <f>J114+X114</f>
        <v>15</v>
      </c>
      <c r="AL114" s="487">
        <f t="shared" si="112"/>
        <v>150</v>
      </c>
      <c r="AM114" s="316">
        <f t="shared" si="107"/>
        <v>67.5</v>
      </c>
      <c r="AN114" s="316">
        <f t="shared" si="108"/>
        <v>0</v>
      </c>
      <c r="AO114" s="316">
        <f t="shared" si="109"/>
        <v>67.5</v>
      </c>
      <c r="AP114" s="316">
        <f t="shared" si="110"/>
        <v>0</v>
      </c>
      <c r="AQ114" s="169" t="s">
        <v>898</v>
      </c>
      <c r="AR114" s="169" t="s">
        <v>349</v>
      </c>
    </row>
    <row r="115" spans="1:47" s="169" customFormat="1" x14ac:dyDescent="0.3">
      <c r="A115" s="509">
        <v>11</v>
      </c>
      <c r="B115" s="510" t="s">
        <v>456</v>
      </c>
      <c r="C115" s="409" t="s">
        <v>419</v>
      </c>
      <c r="D115" s="536">
        <v>5</v>
      </c>
      <c r="E115" s="411">
        <v>30</v>
      </c>
      <c r="F115" s="512">
        <v>3</v>
      </c>
      <c r="G115" s="503">
        <v>0.9</v>
      </c>
      <c r="H115" s="503">
        <v>0.1</v>
      </c>
      <c r="I115" s="504">
        <f t="shared" si="158"/>
        <v>405</v>
      </c>
      <c r="J115" s="487">
        <f>D115*E115*F115*H115</f>
        <v>45</v>
      </c>
      <c r="K115" s="529">
        <f>I115*70/100</f>
        <v>283.5</v>
      </c>
      <c r="L115" s="529">
        <f>I115*20/100</f>
        <v>81</v>
      </c>
      <c r="M115" s="529">
        <f>I115*10/100</f>
        <v>40.5</v>
      </c>
      <c r="N115" s="416">
        <v>0</v>
      </c>
      <c r="O115" s="507" t="s">
        <v>915</v>
      </c>
      <c r="Q115" s="409" t="s">
        <v>419</v>
      </c>
      <c r="R115" s="516">
        <v>5</v>
      </c>
      <c r="S115" s="411">
        <v>30</v>
      </c>
      <c r="T115" s="514">
        <v>3</v>
      </c>
      <c r="U115" s="503">
        <v>0.9</v>
      </c>
      <c r="V115" s="503">
        <v>0.1</v>
      </c>
      <c r="W115" s="487">
        <f t="shared" si="159"/>
        <v>405</v>
      </c>
      <c r="X115" s="487">
        <f t="shared" si="164"/>
        <v>45</v>
      </c>
      <c r="Y115" s="529">
        <f t="shared" si="175"/>
        <v>283.5</v>
      </c>
      <c r="Z115" s="529">
        <f t="shared" si="176"/>
        <v>81</v>
      </c>
      <c r="AA115" s="529">
        <f t="shared" si="177"/>
        <v>40.5</v>
      </c>
      <c r="AB115" s="416">
        <v>0</v>
      </c>
      <c r="AC115" s="417" t="s">
        <v>915</v>
      </c>
      <c r="AD115" s="227"/>
      <c r="AE115" s="241">
        <v>11</v>
      </c>
      <c r="AF115" s="204" t="str">
        <f t="shared" si="113"/>
        <v>Transport</v>
      </c>
      <c r="AG115" s="486">
        <f>AI115/($AI115+$AK115)</f>
        <v>0.9</v>
      </c>
      <c r="AH115" s="486">
        <f>AK115/($AI115+$AK115)</f>
        <v>0.1</v>
      </c>
      <c r="AI115" s="487">
        <f>I115+W115</f>
        <v>810</v>
      </c>
      <c r="AJ115" s="487">
        <f>N115+AB115</f>
        <v>0</v>
      </c>
      <c r="AK115" s="487">
        <f>J115+X115</f>
        <v>90</v>
      </c>
      <c r="AL115" s="487">
        <f t="shared" si="112"/>
        <v>900</v>
      </c>
      <c r="AM115" s="316">
        <f t="shared" si="107"/>
        <v>405</v>
      </c>
      <c r="AN115" s="316">
        <f t="shared" si="108"/>
        <v>0</v>
      </c>
      <c r="AO115" s="316">
        <f t="shared" si="109"/>
        <v>405</v>
      </c>
      <c r="AP115" s="316">
        <f t="shared" si="110"/>
        <v>0</v>
      </c>
      <c r="AQ115" s="169" t="s">
        <v>898</v>
      </c>
      <c r="AR115" s="169" t="s">
        <v>349</v>
      </c>
    </row>
    <row r="116" spans="1:47" s="169" customFormat="1" ht="26" x14ac:dyDescent="0.3">
      <c r="A116" s="488"/>
      <c r="B116" s="489" t="s">
        <v>448</v>
      </c>
      <c r="C116" s="489"/>
      <c r="D116" s="490"/>
      <c r="E116" s="491"/>
      <c r="F116" s="492"/>
      <c r="G116" s="493"/>
      <c r="H116" s="493"/>
      <c r="I116" s="494"/>
      <c r="J116" s="495"/>
      <c r="K116" s="495"/>
      <c r="L116" s="495"/>
      <c r="M116" s="495"/>
      <c r="N116" s="494"/>
      <c r="O116" s="496"/>
      <c r="Q116" s="489"/>
      <c r="R116" s="490"/>
      <c r="S116" s="491"/>
      <c r="T116" s="492"/>
      <c r="U116" s="493"/>
      <c r="V116" s="493"/>
      <c r="W116" s="495"/>
      <c r="X116" s="495"/>
      <c r="Y116" s="495"/>
      <c r="Z116" s="495"/>
      <c r="AA116" s="495"/>
      <c r="AB116" s="494"/>
      <c r="AC116" s="498"/>
      <c r="AD116" s="182"/>
      <c r="AE116" s="204"/>
      <c r="AF116" s="204" t="str">
        <f t="shared" si="113"/>
        <v>Former les adolescents vulnérables non scolarisés et scolarisés des communautés cibles à l'approche Youth Ready.</v>
      </c>
      <c r="AG116" s="493"/>
      <c r="AH116" s="493"/>
      <c r="AI116" s="495"/>
      <c r="AJ116" s="495"/>
      <c r="AK116" s="495"/>
      <c r="AL116" s="495"/>
      <c r="AM116" s="317">
        <f t="shared" si="107"/>
        <v>0</v>
      </c>
      <c r="AN116" s="317">
        <f t="shared" si="108"/>
        <v>0</v>
      </c>
      <c r="AO116" s="317">
        <f t="shared" si="109"/>
        <v>0</v>
      </c>
      <c r="AP116" s="317">
        <f t="shared" si="110"/>
        <v>0</v>
      </c>
    </row>
    <row r="117" spans="1:47" s="169" customFormat="1" ht="44.4" customHeight="1" x14ac:dyDescent="0.3">
      <c r="A117" s="509">
        <v>12</v>
      </c>
      <c r="B117" s="510" t="s">
        <v>408</v>
      </c>
      <c r="C117" s="409" t="s">
        <v>423</v>
      </c>
      <c r="D117" s="536">
        <v>5</v>
      </c>
      <c r="E117" s="411">
        <v>600</v>
      </c>
      <c r="F117" s="512">
        <v>3</v>
      </c>
      <c r="G117" s="503">
        <v>0.9</v>
      </c>
      <c r="H117" s="503">
        <v>0.1</v>
      </c>
      <c r="I117" s="504">
        <f t="shared" si="158"/>
        <v>8100</v>
      </c>
      <c r="J117" s="487">
        <f>D117*E117*F117*H117</f>
        <v>900</v>
      </c>
      <c r="K117" s="529">
        <f>I117*70/100</f>
        <v>5670</v>
      </c>
      <c r="L117" s="529">
        <f>I117*20/100</f>
        <v>1620</v>
      </c>
      <c r="M117" s="529">
        <f>I117*10/100</f>
        <v>810</v>
      </c>
      <c r="N117" s="416">
        <v>0</v>
      </c>
      <c r="O117" s="507" t="s">
        <v>916</v>
      </c>
      <c r="Q117" s="409" t="s">
        <v>423</v>
      </c>
      <c r="R117" s="516">
        <v>5</v>
      </c>
      <c r="S117" s="411">
        <v>600</v>
      </c>
      <c r="T117" s="514">
        <v>3</v>
      </c>
      <c r="U117" s="503">
        <v>0.9</v>
      </c>
      <c r="V117" s="503">
        <v>0.1</v>
      </c>
      <c r="W117" s="487">
        <f t="shared" si="159"/>
        <v>8100</v>
      </c>
      <c r="X117" s="487">
        <f t="shared" si="164"/>
        <v>900</v>
      </c>
      <c r="Y117" s="529">
        <f t="shared" ref="Y117:Y118" si="178">W117*70/100</f>
        <v>5670</v>
      </c>
      <c r="Z117" s="529">
        <f t="shared" ref="Z117:Z118" si="179">W117*20/100</f>
        <v>1620</v>
      </c>
      <c r="AA117" s="529">
        <f t="shared" ref="AA117:AA118" si="180">W117*10/100</f>
        <v>810</v>
      </c>
      <c r="AB117" s="416">
        <v>0</v>
      </c>
      <c r="AC117" s="417" t="s">
        <v>916</v>
      </c>
      <c r="AD117" s="227"/>
      <c r="AE117" s="241">
        <v>12</v>
      </c>
      <c r="AF117" s="204" t="str">
        <f t="shared" si="113"/>
        <v>Repas</v>
      </c>
      <c r="AG117" s="486">
        <f>AI117/($AI117+$AK117)</f>
        <v>0.9</v>
      </c>
      <c r="AH117" s="486">
        <f>AK117/($AI117+$AK117)</f>
        <v>0.1</v>
      </c>
      <c r="AI117" s="487">
        <f>I117+W117</f>
        <v>16200</v>
      </c>
      <c r="AJ117" s="487">
        <f>N117+AB117</f>
        <v>0</v>
      </c>
      <c r="AK117" s="487">
        <f>J117+X117</f>
        <v>1800</v>
      </c>
      <c r="AL117" s="487">
        <f t="shared" si="112"/>
        <v>18000</v>
      </c>
      <c r="AM117" s="316">
        <f t="shared" si="107"/>
        <v>8100</v>
      </c>
      <c r="AN117" s="316">
        <f t="shared" si="108"/>
        <v>0</v>
      </c>
      <c r="AO117" s="316">
        <f t="shared" si="109"/>
        <v>8100</v>
      </c>
      <c r="AP117" s="316">
        <f t="shared" si="110"/>
        <v>0</v>
      </c>
      <c r="AQ117" s="169" t="s">
        <v>898</v>
      </c>
      <c r="AR117" s="169" t="s">
        <v>349</v>
      </c>
      <c r="AT117" s="283" t="s">
        <v>917</v>
      </c>
      <c r="AU117" s="169" t="s">
        <v>918</v>
      </c>
    </row>
    <row r="118" spans="1:47" s="169" customFormat="1" x14ac:dyDescent="0.3">
      <c r="A118" s="509">
        <v>13</v>
      </c>
      <c r="B118" s="510" t="s">
        <v>447</v>
      </c>
      <c r="C118" s="409" t="s">
        <v>919</v>
      </c>
      <c r="D118" s="537">
        <v>2.5</v>
      </c>
      <c r="E118" s="411">
        <v>600</v>
      </c>
      <c r="F118" s="512">
        <v>1</v>
      </c>
      <c r="G118" s="503">
        <v>0.9</v>
      </c>
      <c r="H118" s="503">
        <v>0.1</v>
      </c>
      <c r="I118" s="504">
        <f t="shared" si="158"/>
        <v>1350</v>
      </c>
      <c r="J118" s="487">
        <f>D118*E118*F118*H118</f>
        <v>150</v>
      </c>
      <c r="K118" s="529">
        <f>I118*70/100</f>
        <v>945</v>
      </c>
      <c r="L118" s="529">
        <f>I118*20/100</f>
        <v>270</v>
      </c>
      <c r="M118" s="529">
        <f>I118*10/100</f>
        <v>135</v>
      </c>
      <c r="N118" s="416">
        <v>0</v>
      </c>
      <c r="O118" s="507" t="s">
        <v>354</v>
      </c>
      <c r="Q118" s="409" t="s">
        <v>919</v>
      </c>
      <c r="R118" s="516">
        <v>2.5</v>
      </c>
      <c r="S118" s="411">
        <v>600</v>
      </c>
      <c r="T118" s="514">
        <v>1</v>
      </c>
      <c r="U118" s="503">
        <v>0.9</v>
      </c>
      <c r="V118" s="503">
        <v>0.1</v>
      </c>
      <c r="W118" s="487">
        <f t="shared" si="159"/>
        <v>1350</v>
      </c>
      <c r="X118" s="487">
        <f t="shared" si="164"/>
        <v>150</v>
      </c>
      <c r="Y118" s="529">
        <f t="shared" si="178"/>
        <v>945</v>
      </c>
      <c r="Z118" s="529">
        <f t="shared" si="179"/>
        <v>270</v>
      </c>
      <c r="AA118" s="529">
        <f t="shared" si="180"/>
        <v>135</v>
      </c>
      <c r="AB118" s="416">
        <v>0</v>
      </c>
      <c r="AC118" s="417" t="s">
        <v>354</v>
      </c>
      <c r="AD118" s="227"/>
      <c r="AE118" s="241">
        <v>13</v>
      </c>
      <c r="AF118" s="204" t="str">
        <f t="shared" si="113"/>
        <v>Fournitures de formation</v>
      </c>
      <c r="AG118" s="486">
        <f>AI118/($AI118+$AK118)</f>
        <v>0.9</v>
      </c>
      <c r="AH118" s="486">
        <f>AK118/($AI118+$AK118)</f>
        <v>0.1</v>
      </c>
      <c r="AI118" s="487">
        <f>I118+W118</f>
        <v>2700</v>
      </c>
      <c r="AJ118" s="487">
        <f>N118+AB118</f>
        <v>0</v>
      </c>
      <c r="AK118" s="487">
        <f>J118+X118</f>
        <v>300</v>
      </c>
      <c r="AL118" s="487">
        <f t="shared" si="112"/>
        <v>3000</v>
      </c>
      <c r="AM118" s="316">
        <f t="shared" si="107"/>
        <v>1350</v>
      </c>
      <c r="AN118" s="316">
        <f t="shared" si="108"/>
        <v>0</v>
      </c>
      <c r="AO118" s="316">
        <f t="shared" si="109"/>
        <v>1350</v>
      </c>
      <c r="AP118" s="316">
        <f t="shared" si="110"/>
        <v>0</v>
      </c>
      <c r="AQ118" s="169" t="s">
        <v>898</v>
      </c>
      <c r="AR118" s="169" t="s">
        <v>349</v>
      </c>
    </row>
    <row r="119" spans="1:47" s="169" customFormat="1" x14ac:dyDescent="0.3">
      <c r="A119" s="488"/>
      <c r="B119" s="489" t="s">
        <v>920</v>
      </c>
      <c r="C119" s="489"/>
      <c r="D119" s="490"/>
      <c r="E119" s="491"/>
      <c r="F119" s="492"/>
      <c r="G119" s="493"/>
      <c r="H119" s="493"/>
      <c r="I119" s="494"/>
      <c r="J119" s="495"/>
      <c r="K119" s="495"/>
      <c r="L119" s="495"/>
      <c r="M119" s="495"/>
      <c r="N119" s="494"/>
      <c r="O119" s="496"/>
      <c r="Q119" s="489"/>
      <c r="R119" s="490"/>
      <c r="S119" s="491"/>
      <c r="T119" s="492"/>
      <c r="U119" s="493"/>
      <c r="V119" s="493"/>
      <c r="W119" s="495"/>
      <c r="X119" s="495"/>
      <c r="Y119" s="495"/>
      <c r="Z119" s="495"/>
      <c r="AA119" s="495"/>
      <c r="AB119" s="494"/>
      <c r="AC119" s="498"/>
      <c r="AD119" s="182"/>
      <c r="AE119" s="204"/>
      <c r="AF119" s="204" t="str">
        <f t="shared" si="113"/>
        <v xml:space="preserve">Effectuer une évaluation du marché en ce qui concerne le manque de compétences techniques </v>
      </c>
      <c r="AG119" s="493"/>
      <c r="AH119" s="493"/>
      <c r="AI119" s="495"/>
      <c r="AJ119" s="495"/>
      <c r="AK119" s="495"/>
      <c r="AL119" s="495"/>
      <c r="AM119" s="317">
        <f t="shared" si="107"/>
        <v>0</v>
      </c>
      <c r="AN119" s="317">
        <f t="shared" si="108"/>
        <v>0</v>
      </c>
      <c r="AO119" s="317">
        <f t="shared" si="109"/>
        <v>0</v>
      </c>
      <c r="AP119" s="317">
        <f t="shared" si="110"/>
        <v>0</v>
      </c>
    </row>
    <row r="120" spans="1:47" s="169" customFormat="1" x14ac:dyDescent="0.3">
      <c r="A120" s="509">
        <v>14</v>
      </c>
      <c r="B120" s="510" t="s">
        <v>921</v>
      </c>
      <c r="C120" s="409" t="s">
        <v>495</v>
      </c>
      <c r="D120" s="536">
        <v>150</v>
      </c>
      <c r="E120" s="411">
        <v>2</v>
      </c>
      <c r="F120" s="515">
        <v>1</v>
      </c>
      <c r="G120" s="503">
        <v>0.9</v>
      </c>
      <c r="H120" s="503">
        <v>0.1</v>
      </c>
      <c r="I120" s="504">
        <f t="shared" si="158"/>
        <v>270</v>
      </c>
      <c r="J120" s="487">
        <f>D120*E120*F120*H120</f>
        <v>30</v>
      </c>
      <c r="K120" s="529">
        <f>I120*70/100</f>
        <v>189</v>
      </c>
      <c r="L120" s="529">
        <f>I120*20/100</f>
        <v>54</v>
      </c>
      <c r="M120" s="529">
        <f>I120*10/100</f>
        <v>27</v>
      </c>
      <c r="N120" s="416">
        <v>0</v>
      </c>
      <c r="O120" s="507" t="s">
        <v>922</v>
      </c>
      <c r="Q120" s="409" t="s">
        <v>495</v>
      </c>
      <c r="R120" s="516">
        <v>150</v>
      </c>
      <c r="S120" s="411">
        <v>2</v>
      </c>
      <c r="T120" s="515">
        <v>1</v>
      </c>
      <c r="U120" s="503">
        <v>0.9</v>
      </c>
      <c r="V120" s="503">
        <v>0.1</v>
      </c>
      <c r="W120" s="487">
        <f t="shared" si="159"/>
        <v>270</v>
      </c>
      <c r="X120" s="487">
        <f t="shared" si="164"/>
        <v>30</v>
      </c>
      <c r="Y120" s="529">
        <f t="shared" ref="Y120" si="181">W120*70/100</f>
        <v>189</v>
      </c>
      <c r="Z120" s="529">
        <f t="shared" ref="Z120" si="182">W120*20/100</f>
        <v>54</v>
      </c>
      <c r="AA120" s="529">
        <f t="shared" ref="AA120" si="183">W120*10/100</f>
        <v>27</v>
      </c>
      <c r="AB120" s="416">
        <v>0</v>
      </c>
      <c r="AC120" s="507" t="s">
        <v>922</v>
      </c>
      <c r="AD120" s="228"/>
      <c r="AE120" s="241">
        <v>14</v>
      </c>
      <c r="AF120" s="204" t="str">
        <f t="shared" si="113"/>
        <v>Effectuer une évaluation du marché dans les deux zones de santé</v>
      </c>
      <c r="AG120" s="486">
        <f>AI120/($AI120+$AK120)</f>
        <v>0.9</v>
      </c>
      <c r="AH120" s="486">
        <f>AK120/($AI120+$AK120)</f>
        <v>0.1</v>
      </c>
      <c r="AI120" s="487">
        <f>I120+W120</f>
        <v>540</v>
      </c>
      <c r="AJ120" s="487">
        <f>N120+AB120</f>
        <v>0</v>
      </c>
      <c r="AK120" s="487">
        <f>J120+X120</f>
        <v>60</v>
      </c>
      <c r="AL120" s="487">
        <f t="shared" si="112"/>
        <v>600</v>
      </c>
      <c r="AM120" s="316">
        <f t="shared" si="107"/>
        <v>270</v>
      </c>
      <c r="AN120" s="316">
        <f t="shared" si="108"/>
        <v>0</v>
      </c>
      <c r="AO120" s="316">
        <f t="shared" si="109"/>
        <v>270</v>
      </c>
      <c r="AP120" s="316">
        <f t="shared" si="110"/>
        <v>0</v>
      </c>
      <c r="AQ120" s="169" t="s">
        <v>898</v>
      </c>
      <c r="AR120" s="169" t="s">
        <v>349</v>
      </c>
    </row>
    <row r="121" spans="1:47" s="169" customFormat="1" ht="26" x14ac:dyDescent="0.3">
      <c r="A121" s="488"/>
      <c r="B121" s="489" t="s">
        <v>923</v>
      </c>
      <c r="C121" s="489"/>
      <c r="D121" s="490"/>
      <c r="E121" s="491"/>
      <c r="F121" s="492"/>
      <c r="G121" s="493"/>
      <c r="H121" s="493"/>
      <c r="I121" s="494"/>
      <c r="J121" s="495"/>
      <c r="K121" s="495"/>
      <c r="L121" s="495"/>
      <c r="M121" s="495"/>
      <c r="N121" s="494"/>
      <c r="O121" s="496"/>
      <c r="Q121" s="489"/>
      <c r="R121" s="490"/>
      <c r="S121" s="491"/>
      <c r="T121" s="492"/>
      <c r="U121" s="493"/>
      <c r="V121" s="493"/>
      <c r="W121" s="495"/>
      <c r="X121" s="495"/>
      <c r="Y121" s="495"/>
      <c r="Z121" s="495"/>
      <c r="AA121" s="495"/>
      <c r="AB121" s="494"/>
      <c r="AC121" s="498"/>
      <c r="AD121" s="182"/>
      <c r="AE121" s="204"/>
      <c r="AF121" s="204" t="str">
        <f t="shared" si="113"/>
        <v>Orienter les adolescents formés vers des centres de formation technique, professionnelle et éducative (TVET) pour l'orientation, le mentorat et la supervision (incluent alphabetization).</v>
      </c>
      <c r="AG121" s="493"/>
      <c r="AH121" s="493"/>
      <c r="AI121" s="495"/>
      <c r="AJ121" s="495"/>
      <c r="AK121" s="495"/>
      <c r="AL121" s="495"/>
      <c r="AM121" s="317">
        <f t="shared" si="107"/>
        <v>0</v>
      </c>
      <c r="AN121" s="317">
        <f t="shared" si="108"/>
        <v>0</v>
      </c>
      <c r="AO121" s="317">
        <f t="shared" si="109"/>
        <v>0</v>
      </c>
      <c r="AP121" s="317">
        <f t="shared" si="110"/>
        <v>0</v>
      </c>
    </row>
    <row r="122" spans="1:47" s="169" customFormat="1" x14ac:dyDescent="0.3">
      <c r="A122" s="509">
        <v>15</v>
      </c>
      <c r="B122" s="510" t="s">
        <v>924</v>
      </c>
      <c r="C122" s="409" t="s">
        <v>423</v>
      </c>
      <c r="D122" s="536">
        <v>15</v>
      </c>
      <c r="E122" s="411">
        <v>400</v>
      </c>
      <c r="F122" s="515">
        <v>1</v>
      </c>
      <c r="G122" s="503">
        <v>0.9</v>
      </c>
      <c r="H122" s="503">
        <v>0.1</v>
      </c>
      <c r="I122" s="504">
        <f t="shared" si="158"/>
        <v>5400</v>
      </c>
      <c r="J122" s="487">
        <f>D122*E122*F122*H122</f>
        <v>600</v>
      </c>
      <c r="K122" s="529">
        <f>I122*70/100</f>
        <v>3780</v>
      </c>
      <c r="L122" s="529">
        <f>I122*20/100</f>
        <v>1080</v>
      </c>
      <c r="M122" s="529">
        <f>I122*10/100</f>
        <v>540</v>
      </c>
      <c r="N122" s="416">
        <v>0</v>
      </c>
      <c r="O122" s="507" t="s">
        <v>925</v>
      </c>
      <c r="Q122" s="409" t="s">
        <v>423</v>
      </c>
      <c r="R122" s="516">
        <v>15</v>
      </c>
      <c r="S122" s="411">
        <v>400</v>
      </c>
      <c r="T122" s="515">
        <v>1</v>
      </c>
      <c r="U122" s="503">
        <v>0.9</v>
      </c>
      <c r="V122" s="503">
        <v>0.1</v>
      </c>
      <c r="W122" s="487">
        <f t="shared" si="159"/>
        <v>5400</v>
      </c>
      <c r="X122" s="487">
        <f t="shared" si="164"/>
        <v>600</v>
      </c>
      <c r="Y122" s="529">
        <f t="shared" ref="Y122:Y124" si="184">W122*70/100</f>
        <v>3780</v>
      </c>
      <c r="Z122" s="529">
        <f t="shared" ref="Z122:Z124" si="185">W122*20/100</f>
        <v>1080</v>
      </c>
      <c r="AA122" s="529">
        <f t="shared" ref="AA122:AA124" si="186">W122*10/100</f>
        <v>540</v>
      </c>
      <c r="AB122" s="416">
        <v>0</v>
      </c>
      <c r="AC122" s="417" t="s">
        <v>925</v>
      </c>
      <c r="AD122" s="227"/>
      <c r="AE122" s="241">
        <v>15</v>
      </c>
      <c r="AF122" s="204" t="str">
        <f t="shared" si="113"/>
        <v>Soutien au paiement des frais d'inscription</v>
      </c>
      <c r="AG122" s="486">
        <f>AI122/($AI122+$AK122)</f>
        <v>0.9</v>
      </c>
      <c r="AH122" s="486">
        <f>AK122/($AI122+$AK122)</f>
        <v>0.1</v>
      </c>
      <c r="AI122" s="487">
        <f>I122+W122</f>
        <v>10800</v>
      </c>
      <c r="AJ122" s="487">
        <f>N122+AB122</f>
        <v>0</v>
      </c>
      <c r="AK122" s="487">
        <f>J122+X122</f>
        <v>1200</v>
      </c>
      <c r="AL122" s="487">
        <f t="shared" si="112"/>
        <v>12000</v>
      </c>
      <c r="AM122" s="316">
        <f t="shared" si="107"/>
        <v>5400</v>
      </c>
      <c r="AN122" s="316">
        <f t="shared" si="108"/>
        <v>0</v>
      </c>
      <c r="AO122" s="316">
        <f t="shared" si="109"/>
        <v>5400</v>
      </c>
      <c r="AP122" s="316">
        <f t="shared" si="110"/>
        <v>0</v>
      </c>
      <c r="AQ122" s="169" t="s">
        <v>898</v>
      </c>
      <c r="AR122" s="169" t="s">
        <v>349</v>
      </c>
    </row>
    <row r="123" spans="1:47" s="169" customFormat="1" ht="26" x14ac:dyDescent="0.3">
      <c r="A123" s="509">
        <v>16</v>
      </c>
      <c r="B123" s="510" t="s">
        <v>926</v>
      </c>
      <c r="C123" s="409" t="s">
        <v>927</v>
      </c>
      <c r="D123" s="410">
        <v>500</v>
      </c>
      <c r="E123" s="411">
        <v>10</v>
      </c>
      <c r="F123" s="515">
        <v>2</v>
      </c>
      <c r="G123" s="503">
        <v>0.9</v>
      </c>
      <c r="H123" s="503">
        <v>0.1</v>
      </c>
      <c r="I123" s="504">
        <f t="shared" si="158"/>
        <v>9000</v>
      </c>
      <c r="J123" s="487">
        <f>D123*E123*F123*H123</f>
        <v>1000</v>
      </c>
      <c r="K123" s="529">
        <f>I123*70/100</f>
        <v>6300</v>
      </c>
      <c r="L123" s="529">
        <f>I123*20/100</f>
        <v>1800</v>
      </c>
      <c r="M123" s="529">
        <f>I123*10/100</f>
        <v>900</v>
      </c>
      <c r="N123" s="416">
        <v>0</v>
      </c>
      <c r="O123" s="507" t="s">
        <v>928</v>
      </c>
      <c r="Q123" s="409" t="s">
        <v>927</v>
      </c>
      <c r="R123" s="516">
        <v>500</v>
      </c>
      <c r="S123" s="411">
        <v>10</v>
      </c>
      <c r="T123" s="515">
        <v>1</v>
      </c>
      <c r="U123" s="503">
        <v>0.9</v>
      </c>
      <c r="V123" s="503">
        <v>0.1</v>
      </c>
      <c r="W123" s="487">
        <f t="shared" si="159"/>
        <v>4500</v>
      </c>
      <c r="X123" s="487">
        <f t="shared" si="164"/>
        <v>500</v>
      </c>
      <c r="Y123" s="529">
        <f t="shared" si="184"/>
        <v>3150</v>
      </c>
      <c r="Z123" s="529">
        <f t="shared" si="185"/>
        <v>900</v>
      </c>
      <c r="AA123" s="529">
        <f t="shared" si="186"/>
        <v>450</v>
      </c>
      <c r="AB123" s="416">
        <v>0</v>
      </c>
      <c r="AC123" s="417" t="s">
        <v>928</v>
      </c>
      <c r="AD123" s="227"/>
      <c r="AE123" s="241">
        <v>16</v>
      </c>
      <c r="AF123" s="204" t="str">
        <f t="shared" si="113"/>
        <v xml:space="preserve">Soutien matériel fourni aux centres techniques </v>
      </c>
      <c r="AG123" s="486">
        <f>AI123/($AI123+$AK123)</f>
        <v>0.9</v>
      </c>
      <c r="AH123" s="486">
        <f>AK123/($AI123+$AK123)</f>
        <v>0.1</v>
      </c>
      <c r="AI123" s="487">
        <f>I123+W123</f>
        <v>13500</v>
      </c>
      <c r="AJ123" s="487">
        <f>N123+AB123</f>
        <v>0</v>
      </c>
      <c r="AK123" s="487">
        <f>J123+X123</f>
        <v>1500</v>
      </c>
      <c r="AL123" s="487">
        <f t="shared" si="112"/>
        <v>15000</v>
      </c>
      <c r="AM123" s="316">
        <f t="shared" si="107"/>
        <v>9000</v>
      </c>
      <c r="AN123" s="316">
        <f t="shared" si="108"/>
        <v>0</v>
      </c>
      <c r="AO123" s="316">
        <f t="shared" si="109"/>
        <v>4500</v>
      </c>
      <c r="AP123" s="316">
        <f t="shared" si="110"/>
        <v>0</v>
      </c>
      <c r="AQ123" s="169" t="s">
        <v>898</v>
      </c>
      <c r="AR123" s="169" t="s">
        <v>349</v>
      </c>
    </row>
    <row r="124" spans="1:47" s="169" customFormat="1" ht="26" x14ac:dyDescent="0.3">
      <c r="A124" s="509">
        <v>17</v>
      </c>
      <c r="B124" s="510" t="s">
        <v>929</v>
      </c>
      <c r="C124" s="409" t="s">
        <v>423</v>
      </c>
      <c r="D124" s="410">
        <v>60</v>
      </c>
      <c r="E124" s="411">
        <v>40</v>
      </c>
      <c r="F124" s="515">
        <v>9</v>
      </c>
      <c r="G124" s="503">
        <v>0.9</v>
      </c>
      <c r="H124" s="503">
        <v>0.1</v>
      </c>
      <c r="I124" s="504">
        <f t="shared" si="158"/>
        <v>19440</v>
      </c>
      <c r="J124" s="487">
        <f>D124*E124*F124*H124</f>
        <v>2160</v>
      </c>
      <c r="K124" s="529">
        <f>I124*70/100</f>
        <v>13608</v>
      </c>
      <c r="L124" s="529">
        <f>I124*20/100</f>
        <v>3888</v>
      </c>
      <c r="M124" s="529">
        <f>I124*10/100</f>
        <v>1944</v>
      </c>
      <c r="N124" s="416">
        <v>0</v>
      </c>
      <c r="O124" s="507" t="s">
        <v>930</v>
      </c>
      <c r="Q124" s="409" t="s">
        <v>423</v>
      </c>
      <c r="R124" s="516">
        <v>60</v>
      </c>
      <c r="S124" s="411">
        <v>40</v>
      </c>
      <c r="T124" s="515">
        <v>9</v>
      </c>
      <c r="U124" s="503">
        <v>0.9</v>
      </c>
      <c r="V124" s="503">
        <v>0.1</v>
      </c>
      <c r="W124" s="487">
        <f t="shared" si="159"/>
        <v>19440</v>
      </c>
      <c r="X124" s="487">
        <f t="shared" si="164"/>
        <v>2160</v>
      </c>
      <c r="Y124" s="529">
        <f t="shared" si="184"/>
        <v>13608</v>
      </c>
      <c r="Z124" s="529">
        <f t="shared" si="185"/>
        <v>3888</v>
      </c>
      <c r="AA124" s="529">
        <f t="shared" si="186"/>
        <v>1944</v>
      </c>
      <c r="AB124" s="416">
        <v>0</v>
      </c>
      <c r="AC124" s="417" t="s">
        <v>930</v>
      </c>
      <c r="AD124" s="227"/>
      <c r="AE124" s="241">
        <v>17</v>
      </c>
      <c r="AF124" s="204" t="str">
        <f t="shared" si="113"/>
        <v xml:space="preserve">Soutenir le personnel technique du centre technique </v>
      </c>
      <c r="AG124" s="486">
        <f>AI124/($AI124+$AK124)</f>
        <v>0.9</v>
      </c>
      <c r="AH124" s="486">
        <f>AK124/($AI124+$AK124)</f>
        <v>0.1</v>
      </c>
      <c r="AI124" s="487">
        <f>I124+W124</f>
        <v>38880</v>
      </c>
      <c r="AJ124" s="487">
        <f>N124+AB124</f>
        <v>0</v>
      </c>
      <c r="AK124" s="487">
        <f>J124+X124</f>
        <v>4320</v>
      </c>
      <c r="AL124" s="487">
        <f t="shared" si="112"/>
        <v>43200</v>
      </c>
      <c r="AM124" s="316">
        <f t="shared" si="107"/>
        <v>19440</v>
      </c>
      <c r="AN124" s="316">
        <f t="shared" si="108"/>
        <v>0</v>
      </c>
      <c r="AO124" s="316">
        <f t="shared" si="109"/>
        <v>19440</v>
      </c>
      <c r="AP124" s="316">
        <f t="shared" si="110"/>
        <v>0</v>
      </c>
      <c r="AQ124" s="169" t="s">
        <v>898</v>
      </c>
      <c r="AR124" s="169" t="s">
        <v>349</v>
      </c>
    </row>
    <row r="125" spans="1:47" s="169" customFormat="1" ht="26" x14ac:dyDescent="0.3">
      <c r="A125" s="488"/>
      <c r="B125" s="489" t="s">
        <v>931</v>
      </c>
      <c r="C125" s="489"/>
      <c r="D125" s="490"/>
      <c r="E125" s="491"/>
      <c r="F125" s="492"/>
      <c r="G125" s="493"/>
      <c r="H125" s="493"/>
      <c r="I125" s="494"/>
      <c r="J125" s="495"/>
      <c r="K125" s="495"/>
      <c r="L125" s="495"/>
      <c r="M125" s="495"/>
      <c r="N125" s="494"/>
      <c r="O125" s="496"/>
      <c r="Q125" s="489"/>
      <c r="R125" s="490"/>
      <c r="S125" s="491"/>
      <c r="T125" s="492"/>
      <c r="U125" s="493"/>
      <c r="V125" s="493"/>
      <c r="W125" s="495"/>
      <c r="X125" s="495"/>
      <c r="Y125" s="495"/>
      <c r="Z125" s="495"/>
      <c r="AA125" s="495"/>
      <c r="AB125" s="494"/>
      <c r="AC125" s="498"/>
      <c r="AD125" s="182"/>
      <c r="AE125" s="204"/>
      <c r="AF125" s="204" t="str">
        <f t="shared" si="113"/>
        <v>Orienter les adolescents formés vers des opportunités d'apprentissage auprès d'entreprises locales</v>
      </c>
      <c r="AG125" s="493"/>
      <c r="AH125" s="493"/>
      <c r="AI125" s="495"/>
      <c r="AJ125" s="495"/>
      <c r="AK125" s="495"/>
      <c r="AL125" s="495"/>
      <c r="AM125" s="317">
        <f t="shared" si="107"/>
        <v>0</v>
      </c>
      <c r="AN125" s="317">
        <f t="shared" si="108"/>
        <v>0</v>
      </c>
      <c r="AO125" s="317">
        <f t="shared" si="109"/>
        <v>0</v>
      </c>
      <c r="AP125" s="317">
        <f t="shared" si="110"/>
        <v>0</v>
      </c>
    </row>
    <row r="126" spans="1:47" s="169" customFormat="1" ht="39" x14ac:dyDescent="0.3">
      <c r="A126" s="509">
        <v>18</v>
      </c>
      <c r="B126" s="510" t="s">
        <v>932</v>
      </c>
      <c r="C126" s="409" t="s">
        <v>449</v>
      </c>
      <c r="D126" s="410">
        <v>300</v>
      </c>
      <c r="E126" s="411">
        <v>100</v>
      </c>
      <c r="F126" s="515">
        <v>2</v>
      </c>
      <c r="G126" s="503">
        <v>0.9</v>
      </c>
      <c r="H126" s="503">
        <v>0.1</v>
      </c>
      <c r="I126" s="504">
        <f t="shared" si="158"/>
        <v>54000</v>
      </c>
      <c r="J126" s="487">
        <f>D126*E126*F126*H126</f>
        <v>6000</v>
      </c>
      <c r="K126" s="487">
        <f>I126*50%</f>
        <v>27000</v>
      </c>
      <c r="L126" s="529">
        <f>I126*50%</f>
        <v>27000</v>
      </c>
      <c r="M126" s="487"/>
      <c r="N126" s="416">
        <v>0</v>
      </c>
      <c r="O126" s="507" t="s">
        <v>933</v>
      </c>
      <c r="Q126" s="409" t="s">
        <v>449</v>
      </c>
      <c r="R126" s="418">
        <v>300</v>
      </c>
      <c r="S126" s="411">
        <v>100</v>
      </c>
      <c r="T126" s="515">
        <v>1</v>
      </c>
      <c r="U126" s="503">
        <v>0.9</v>
      </c>
      <c r="V126" s="503">
        <v>0.1</v>
      </c>
      <c r="W126" s="487">
        <f t="shared" si="159"/>
        <v>27000</v>
      </c>
      <c r="X126" s="487">
        <f t="shared" si="164"/>
        <v>3000</v>
      </c>
      <c r="Y126" s="487">
        <f t="shared" si="168"/>
        <v>27000</v>
      </c>
      <c r="Z126" s="487"/>
      <c r="AA126" s="487"/>
      <c r="AB126" s="416">
        <v>0</v>
      </c>
      <c r="AC126" s="417" t="s">
        <v>933</v>
      </c>
      <c r="AD126" s="227"/>
      <c r="AE126" s="241">
        <v>18</v>
      </c>
      <c r="AF126" s="204" t="str">
        <f t="shared" si="113"/>
        <v xml:space="preserve">Fourniture de kits d'apprentissage aux groupes de  jeunes </v>
      </c>
      <c r="AG126" s="486">
        <f>AI126/($AI126+$AK126)</f>
        <v>0.9</v>
      </c>
      <c r="AH126" s="486">
        <f>AK126/($AI126+$AK126)</f>
        <v>0.1</v>
      </c>
      <c r="AI126" s="487">
        <f>I126+W126</f>
        <v>81000</v>
      </c>
      <c r="AJ126" s="487">
        <f>N126+AB126</f>
        <v>0</v>
      </c>
      <c r="AK126" s="487">
        <f>J126+X126</f>
        <v>9000</v>
      </c>
      <c r="AL126" s="487">
        <f t="shared" si="112"/>
        <v>90000</v>
      </c>
      <c r="AM126" s="316">
        <f t="shared" si="107"/>
        <v>54000</v>
      </c>
      <c r="AN126" s="316">
        <f t="shared" si="108"/>
        <v>0</v>
      </c>
      <c r="AO126" s="316">
        <f t="shared" si="109"/>
        <v>27000</v>
      </c>
      <c r="AP126" s="316">
        <f t="shared" si="110"/>
        <v>0</v>
      </c>
      <c r="AQ126" s="169" t="s">
        <v>898</v>
      </c>
      <c r="AR126" s="169" t="s">
        <v>349</v>
      </c>
    </row>
    <row r="127" spans="1:47" s="169" customFormat="1" x14ac:dyDescent="0.3">
      <c r="A127" s="488"/>
      <c r="B127" s="489" t="s">
        <v>934</v>
      </c>
      <c r="C127" s="489"/>
      <c r="D127" s="490"/>
      <c r="E127" s="491"/>
      <c r="F127" s="492"/>
      <c r="G127" s="493"/>
      <c r="H127" s="493"/>
      <c r="I127" s="494"/>
      <c r="J127" s="495"/>
      <c r="K127" s="495"/>
      <c r="L127" s="495"/>
      <c r="M127" s="495"/>
      <c r="N127" s="494"/>
      <c r="O127" s="496"/>
      <c r="Q127" s="489"/>
      <c r="R127" s="490"/>
      <c r="S127" s="491"/>
      <c r="T127" s="492"/>
      <c r="U127" s="493"/>
      <c r="V127" s="493"/>
      <c r="W127" s="495"/>
      <c r="X127" s="495"/>
      <c r="Y127" s="495"/>
      <c r="Z127" s="495"/>
      <c r="AA127" s="495"/>
      <c r="AB127" s="494"/>
      <c r="AC127" s="498"/>
      <c r="AD127" s="182"/>
      <c r="AE127" s="204"/>
      <c r="AF127" s="204" t="str">
        <f t="shared" si="113"/>
        <v>Développement d'un plan de suivi de la réinsertion sociale des adolescents formés.</v>
      </c>
      <c r="AG127" s="493"/>
      <c r="AH127" s="493"/>
      <c r="AI127" s="495"/>
      <c r="AJ127" s="495"/>
      <c r="AK127" s="495"/>
      <c r="AL127" s="495"/>
      <c r="AM127" s="317">
        <f t="shared" si="107"/>
        <v>0</v>
      </c>
      <c r="AN127" s="317">
        <f t="shared" si="108"/>
        <v>0</v>
      </c>
      <c r="AO127" s="317">
        <f t="shared" si="109"/>
        <v>0</v>
      </c>
      <c r="AP127" s="317">
        <f t="shared" si="110"/>
        <v>0</v>
      </c>
    </row>
    <row r="128" spans="1:47" s="169" customFormat="1" x14ac:dyDescent="0.3">
      <c r="A128" s="509">
        <v>19</v>
      </c>
      <c r="B128" s="510" t="s">
        <v>935</v>
      </c>
      <c r="C128" s="409" t="s">
        <v>927</v>
      </c>
      <c r="D128" s="536">
        <v>0</v>
      </c>
      <c r="E128" s="411">
        <v>10</v>
      </c>
      <c r="F128" s="515">
        <v>9</v>
      </c>
      <c r="G128" s="503">
        <v>0.9</v>
      </c>
      <c r="H128" s="503">
        <v>0.1</v>
      </c>
      <c r="I128" s="504">
        <f t="shared" si="158"/>
        <v>0</v>
      </c>
      <c r="J128" s="487">
        <f>D128*E128*F128*H128</f>
        <v>0</v>
      </c>
      <c r="K128" s="487">
        <f>I128</f>
        <v>0</v>
      </c>
      <c r="L128" s="487"/>
      <c r="M128" s="487"/>
      <c r="N128" s="416">
        <v>0</v>
      </c>
      <c r="O128" s="507" t="s">
        <v>459</v>
      </c>
      <c r="Q128" s="409" t="s">
        <v>927</v>
      </c>
      <c r="R128" s="516">
        <v>0</v>
      </c>
      <c r="S128" s="411">
        <v>10</v>
      </c>
      <c r="T128" s="515">
        <v>9</v>
      </c>
      <c r="U128" s="503">
        <v>0.9</v>
      </c>
      <c r="V128" s="503">
        <v>0.1</v>
      </c>
      <c r="W128" s="487">
        <f t="shared" si="159"/>
        <v>0</v>
      </c>
      <c r="X128" s="487">
        <f t="shared" si="164"/>
        <v>0</v>
      </c>
      <c r="Y128" s="487">
        <f t="shared" si="168"/>
        <v>0</v>
      </c>
      <c r="Z128" s="487"/>
      <c r="AA128" s="487"/>
      <c r="AB128" s="416">
        <v>0</v>
      </c>
      <c r="AC128" s="417" t="s">
        <v>459</v>
      </c>
      <c r="AD128" s="227"/>
      <c r="AE128" s="241">
        <v>19</v>
      </c>
      <c r="AF128" s="204" t="str">
        <f t="shared" si="113"/>
        <v xml:space="preserve">Réunions avec les cohortes d'adolescents formés </v>
      </c>
      <c r="AG128" s="503"/>
      <c r="AH128" s="503"/>
      <c r="AI128" s="487">
        <f t="shared" ref="AI128:AI133" si="187">I128+W128</f>
        <v>0</v>
      </c>
      <c r="AJ128" s="487">
        <f t="shared" ref="AJ128:AJ133" si="188">N128+AB128</f>
        <v>0</v>
      </c>
      <c r="AK128" s="487">
        <f t="shared" ref="AK128:AK133" si="189">J128+X128</f>
        <v>0</v>
      </c>
      <c r="AL128" s="487">
        <f t="shared" si="112"/>
        <v>0</v>
      </c>
      <c r="AM128" s="316">
        <f t="shared" si="107"/>
        <v>0</v>
      </c>
      <c r="AN128" s="316">
        <f t="shared" si="108"/>
        <v>0</v>
      </c>
      <c r="AO128" s="316">
        <f t="shared" si="109"/>
        <v>0</v>
      </c>
      <c r="AP128" s="316">
        <f t="shared" si="110"/>
        <v>0</v>
      </c>
      <c r="AQ128" s="169" t="s">
        <v>898</v>
      </c>
      <c r="AR128" s="169" t="s">
        <v>349</v>
      </c>
    </row>
    <row r="129" spans="1:44" ht="12.75" customHeight="1" x14ac:dyDescent="0.3">
      <c r="A129" s="480" t="s">
        <v>253</v>
      </c>
      <c r="B129" s="861" t="s">
        <v>936</v>
      </c>
      <c r="C129" s="862"/>
      <c r="D129" s="862"/>
      <c r="E129" s="862"/>
      <c r="F129" s="862"/>
      <c r="G129" s="862"/>
      <c r="H129" s="863"/>
      <c r="I129" s="481">
        <f t="shared" ref="I129:N129" si="190">SUM(I130:I138)</f>
        <v>12681</v>
      </c>
      <c r="J129" s="482">
        <f t="shared" si="190"/>
        <v>1409</v>
      </c>
      <c r="K129" s="482">
        <f t="shared" si="190"/>
        <v>8876.7000000000007</v>
      </c>
      <c r="L129" s="482">
        <f t="shared" si="190"/>
        <v>2536.1999999999998</v>
      </c>
      <c r="M129" s="482">
        <f t="shared" si="190"/>
        <v>1268.0999999999999</v>
      </c>
      <c r="N129" s="481">
        <f t="shared" si="190"/>
        <v>0</v>
      </c>
      <c r="O129" s="508"/>
      <c r="Q129" s="538"/>
      <c r="R129" s="539"/>
      <c r="S129" s="538"/>
      <c r="T129" s="539"/>
      <c r="U129" s="539"/>
      <c r="V129" s="484"/>
      <c r="W129" s="482">
        <f t="shared" ref="W129:Y129" si="191">SUM(W130:W138)</f>
        <v>12681</v>
      </c>
      <c r="X129" s="482">
        <f t="shared" si="191"/>
        <v>1409</v>
      </c>
      <c r="Y129" s="482">
        <f t="shared" si="191"/>
        <v>8876.7000000000007</v>
      </c>
      <c r="Z129" s="482">
        <f t="shared" ref="Z129:AB129" si="192">SUM(Z130:Z138)</f>
        <v>2536.1999999999998</v>
      </c>
      <c r="AA129" s="482">
        <f t="shared" si="192"/>
        <v>1268.0999999999999</v>
      </c>
      <c r="AB129" s="481">
        <f t="shared" si="192"/>
        <v>0</v>
      </c>
      <c r="AC129" s="508"/>
      <c r="AD129" s="234"/>
      <c r="AE129" s="247" t="s">
        <v>253</v>
      </c>
      <c r="AF129" s="204" t="str">
        <f t="shared" si="113"/>
        <v>Former les adolescents non scolarisés et déscolarisés dans les centres techniques et agricoles en alphabétisation fonctionnelle</v>
      </c>
      <c r="AG129" s="485">
        <f t="shared" ref="AG129:AG133" si="193">AI129/($AI129+$AK129)</f>
        <v>0.9</v>
      </c>
      <c r="AH129" s="485">
        <f t="shared" ref="AH129:AH133" si="194">AK129/($AI129+$AK129)</f>
        <v>0.1</v>
      </c>
      <c r="AI129" s="482">
        <f t="shared" si="187"/>
        <v>25362</v>
      </c>
      <c r="AJ129" s="482">
        <f t="shared" si="188"/>
        <v>0</v>
      </c>
      <c r="AK129" s="482">
        <f t="shared" si="189"/>
        <v>2818</v>
      </c>
      <c r="AL129" s="482">
        <f t="shared" si="112"/>
        <v>28180</v>
      </c>
      <c r="AM129" s="314">
        <f t="shared" si="107"/>
        <v>12681</v>
      </c>
      <c r="AN129" s="314">
        <f t="shared" si="108"/>
        <v>0</v>
      </c>
      <c r="AO129" s="314">
        <f t="shared" si="109"/>
        <v>12681</v>
      </c>
      <c r="AP129" s="314">
        <f t="shared" si="110"/>
        <v>0</v>
      </c>
    </row>
    <row r="130" spans="1:44" s="169" customFormat="1" x14ac:dyDescent="0.3">
      <c r="A130" s="509">
        <v>1</v>
      </c>
      <c r="B130" s="510" t="s">
        <v>454</v>
      </c>
      <c r="C130" s="409" t="s">
        <v>355</v>
      </c>
      <c r="D130" s="536">
        <v>2</v>
      </c>
      <c r="E130" s="411">
        <v>60</v>
      </c>
      <c r="F130" s="512">
        <v>2</v>
      </c>
      <c r="G130" s="503">
        <v>0.9</v>
      </c>
      <c r="H130" s="503">
        <v>0.1</v>
      </c>
      <c r="I130" s="416">
        <f>D130*E130*F130*G130</f>
        <v>216</v>
      </c>
      <c r="J130" s="506">
        <f>D130*E130*F130*H130</f>
        <v>24</v>
      </c>
      <c r="K130" s="529">
        <f>I130*70/100</f>
        <v>151.19999999999999</v>
      </c>
      <c r="L130" s="529">
        <f>I130*20/100</f>
        <v>43.2</v>
      </c>
      <c r="M130" s="529">
        <f>I130*10/100</f>
        <v>21.6</v>
      </c>
      <c r="N130" s="416">
        <v>0</v>
      </c>
      <c r="O130" s="507" t="s">
        <v>937</v>
      </c>
      <c r="P130" s="171"/>
      <c r="Q130" s="409" t="s">
        <v>355</v>
      </c>
      <c r="R130" s="516">
        <v>2</v>
      </c>
      <c r="S130" s="411">
        <v>60</v>
      </c>
      <c r="T130" s="514">
        <v>2</v>
      </c>
      <c r="U130" s="503">
        <v>0.9</v>
      </c>
      <c r="V130" s="503">
        <v>0.1</v>
      </c>
      <c r="W130" s="506">
        <f t="shared" ref="W130" si="195">R130*S130*T130*U130</f>
        <v>216</v>
      </c>
      <c r="X130" s="506">
        <f>R130*S130*T130*V130</f>
        <v>24</v>
      </c>
      <c r="Y130" s="529">
        <f t="shared" ref="Y130:Y133" si="196">W130*70/100</f>
        <v>151.19999999999999</v>
      </c>
      <c r="Z130" s="529">
        <f t="shared" ref="Z130:Z133" si="197">W130*20/100</f>
        <v>43.2</v>
      </c>
      <c r="AA130" s="529">
        <f t="shared" ref="AA130:AA133" si="198">W130*10/100</f>
        <v>21.6</v>
      </c>
      <c r="AB130" s="416">
        <v>0</v>
      </c>
      <c r="AC130" s="417" t="s">
        <v>937</v>
      </c>
      <c r="AD130" s="227"/>
      <c r="AE130" s="241">
        <v>1</v>
      </c>
      <c r="AF130" s="204" t="str">
        <f t="shared" si="113"/>
        <v>Pause café</v>
      </c>
      <c r="AG130" s="486">
        <f t="shared" si="193"/>
        <v>0.9</v>
      </c>
      <c r="AH130" s="486">
        <f t="shared" si="194"/>
        <v>0.1</v>
      </c>
      <c r="AI130" s="506">
        <f t="shared" si="187"/>
        <v>432</v>
      </c>
      <c r="AJ130" s="506">
        <f t="shared" si="188"/>
        <v>0</v>
      </c>
      <c r="AK130" s="506">
        <f t="shared" si="189"/>
        <v>48</v>
      </c>
      <c r="AL130" s="506">
        <f t="shared" si="112"/>
        <v>480</v>
      </c>
      <c r="AM130" s="315">
        <f t="shared" si="107"/>
        <v>216</v>
      </c>
      <c r="AN130" s="315">
        <f t="shared" si="108"/>
        <v>0</v>
      </c>
      <c r="AO130" s="315">
        <f t="shared" si="109"/>
        <v>216</v>
      </c>
      <c r="AP130" s="315">
        <f t="shared" si="110"/>
        <v>0</v>
      </c>
      <c r="AQ130" s="169" t="s">
        <v>898</v>
      </c>
      <c r="AR130" s="169" t="s">
        <v>349</v>
      </c>
    </row>
    <row r="131" spans="1:44" s="169" customFormat="1" x14ac:dyDescent="0.3">
      <c r="A131" s="509">
        <v>2</v>
      </c>
      <c r="B131" s="510" t="s">
        <v>408</v>
      </c>
      <c r="C131" s="409" t="s">
        <v>355</v>
      </c>
      <c r="D131" s="536">
        <v>5</v>
      </c>
      <c r="E131" s="411">
        <v>60</v>
      </c>
      <c r="F131" s="512">
        <v>2</v>
      </c>
      <c r="G131" s="503">
        <v>0.9</v>
      </c>
      <c r="H131" s="503">
        <v>0.1</v>
      </c>
      <c r="I131" s="504">
        <f>D131*E131*F131*G131</f>
        <v>540</v>
      </c>
      <c r="J131" s="487">
        <f>D131*E131*F131*H131</f>
        <v>60</v>
      </c>
      <c r="K131" s="529">
        <f>I131*70/100</f>
        <v>378</v>
      </c>
      <c r="L131" s="529">
        <f>I131*20/100</f>
        <v>108</v>
      </c>
      <c r="M131" s="529">
        <f>I131*10/100</f>
        <v>54</v>
      </c>
      <c r="N131" s="416">
        <v>0</v>
      </c>
      <c r="O131" s="507" t="s">
        <v>937</v>
      </c>
      <c r="P131" s="171"/>
      <c r="Q131" s="409" t="s">
        <v>355</v>
      </c>
      <c r="R131" s="516">
        <v>5</v>
      </c>
      <c r="S131" s="411">
        <v>60</v>
      </c>
      <c r="T131" s="514">
        <v>2</v>
      </c>
      <c r="U131" s="503">
        <v>0.9</v>
      </c>
      <c r="V131" s="503">
        <v>0.1</v>
      </c>
      <c r="W131" s="487">
        <f>R131*S131*T131*U131</f>
        <v>540</v>
      </c>
      <c r="X131" s="487">
        <f t="shared" ref="X131:X138" si="199">R131*S131*T131*V131</f>
        <v>60</v>
      </c>
      <c r="Y131" s="529">
        <f t="shared" si="196"/>
        <v>378</v>
      </c>
      <c r="Z131" s="529">
        <f t="shared" si="197"/>
        <v>108</v>
      </c>
      <c r="AA131" s="529">
        <f t="shared" si="198"/>
        <v>54</v>
      </c>
      <c r="AB131" s="416">
        <v>0</v>
      </c>
      <c r="AC131" s="417" t="s">
        <v>937</v>
      </c>
      <c r="AD131" s="227"/>
      <c r="AE131" s="241">
        <v>2</v>
      </c>
      <c r="AF131" s="204" t="str">
        <f t="shared" si="113"/>
        <v>Repas</v>
      </c>
      <c r="AG131" s="486">
        <f t="shared" si="193"/>
        <v>0.9</v>
      </c>
      <c r="AH131" s="486">
        <f t="shared" si="194"/>
        <v>0.1</v>
      </c>
      <c r="AI131" s="487">
        <f t="shared" si="187"/>
        <v>1080</v>
      </c>
      <c r="AJ131" s="487">
        <f t="shared" si="188"/>
        <v>0</v>
      </c>
      <c r="AK131" s="487">
        <f t="shared" si="189"/>
        <v>120</v>
      </c>
      <c r="AL131" s="487">
        <f t="shared" si="112"/>
        <v>1200</v>
      </c>
      <c r="AM131" s="316">
        <f t="shared" si="107"/>
        <v>540</v>
      </c>
      <c r="AN131" s="316">
        <f t="shared" si="108"/>
        <v>0</v>
      </c>
      <c r="AO131" s="316">
        <f t="shared" si="109"/>
        <v>540</v>
      </c>
      <c r="AP131" s="316">
        <f t="shared" si="110"/>
        <v>0</v>
      </c>
      <c r="AQ131" s="169" t="s">
        <v>898</v>
      </c>
      <c r="AR131" s="169" t="s">
        <v>349</v>
      </c>
    </row>
    <row r="132" spans="1:44" s="169" customFormat="1" x14ac:dyDescent="0.3">
      <c r="A132" s="509">
        <v>3</v>
      </c>
      <c r="B132" s="510" t="s">
        <v>447</v>
      </c>
      <c r="C132" s="409" t="s">
        <v>352</v>
      </c>
      <c r="D132" s="537">
        <v>2.5</v>
      </c>
      <c r="E132" s="411">
        <v>60</v>
      </c>
      <c r="F132" s="512">
        <v>1</v>
      </c>
      <c r="G132" s="503">
        <v>0.9</v>
      </c>
      <c r="H132" s="503">
        <v>0.1</v>
      </c>
      <c r="I132" s="504">
        <f>D132*E132*F132*G132</f>
        <v>135</v>
      </c>
      <c r="J132" s="487">
        <f>D132*E132*F132*H132</f>
        <v>15</v>
      </c>
      <c r="K132" s="529">
        <f>I132*70/100</f>
        <v>94.5</v>
      </c>
      <c r="L132" s="529">
        <f>I132*20/100</f>
        <v>27</v>
      </c>
      <c r="M132" s="529">
        <f>I132*10/100</f>
        <v>13.5</v>
      </c>
      <c r="N132" s="416">
        <v>0</v>
      </c>
      <c r="O132" s="507" t="s">
        <v>354</v>
      </c>
      <c r="P132" s="171"/>
      <c r="Q132" s="409" t="s">
        <v>352</v>
      </c>
      <c r="R132" s="516">
        <v>2.5</v>
      </c>
      <c r="S132" s="411">
        <v>60</v>
      </c>
      <c r="T132" s="514">
        <v>1</v>
      </c>
      <c r="U132" s="503">
        <v>0.9</v>
      </c>
      <c r="V132" s="503">
        <v>0.1</v>
      </c>
      <c r="W132" s="487">
        <f>R132*S132*T132*U132</f>
        <v>135</v>
      </c>
      <c r="X132" s="487">
        <f t="shared" si="199"/>
        <v>15</v>
      </c>
      <c r="Y132" s="529">
        <f t="shared" si="196"/>
        <v>94.5</v>
      </c>
      <c r="Z132" s="529">
        <f t="shared" si="197"/>
        <v>27</v>
      </c>
      <c r="AA132" s="529">
        <f t="shared" si="198"/>
        <v>13.5</v>
      </c>
      <c r="AB132" s="416">
        <v>0</v>
      </c>
      <c r="AC132" s="417" t="s">
        <v>354</v>
      </c>
      <c r="AD132" s="227"/>
      <c r="AE132" s="241">
        <v>3</v>
      </c>
      <c r="AF132" s="204" t="str">
        <f t="shared" si="113"/>
        <v>Fournitures de formation</v>
      </c>
      <c r="AG132" s="486">
        <f t="shared" si="193"/>
        <v>0.9</v>
      </c>
      <c r="AH132" s="486">
        <f t="shared" si="194"/>
        <v>0.1</v>
      </c>
      <c r="AI132" s="487">
        <f t="shared" si="187"/>
        <v>270</v>
      </c>
      <c r="AJ132" s="487">
        <f t="shared" si="188"/>
        <v>0</v>
      </c>
      <c r="AK132" s="487">
        <f t="shared" si="189"/>
        <v>30</v>
      </c>
      <c r="AL132" s="487">
        <f t="shared" si="112"/>
        <v>300</v>
      </c>
      <c r="AM132" s="316">
        <f t="shared" si="107"/>
        <v>135</v>
      </c>
      <c r="AN132" s="316">
        <f t="shared" si="108"/>
        <v>0</v>
      </c>
      <c r="AO132" s="316">
        <f t="shared" si="109"/>
        <v>135</v>
      </c>
      <c r="AP132" s="316">
        <f t="shared" si="110"/>
        <v>0</v>
      </c>
      <c r="AQ132" s="169" t="s">
        <v>898</v>
      </c>
      <c r="AR132" s="169" t="s">
        <v>349</v>
      </c>
    </row>
    <row r="133" spans="1:44" s="169" customFormat="1" x14ac:dyDescent="0.3">
      <c r="A133" s="509">
        <v>4</v>
      </c>
      <c r="B133" s="510" t="s">
        <v>456</v>
      </c>
      <c r="C133" s="409" t="s">
        <v>360</v>
      </c>
      <c r="D133" s="536">
        <v>5</v>
      </c>
      <c r="E133" s="411">
        <v>60</v>
      </c>
      <c r="F133" s="512">
        <v>2</v>
      </c>
      <c r="G133" s="503">
        <v>0.9</v>
      </c>
      <c r="H133" s="503">
        <v>0.1</v>
      </c>
      <c r="I133" s="504">
        <f t="shared" ref="I133:I138" si="200">D133*E133*F133*G133</f>
        <v>540</v>
      </c>
      <c r="J133" s="487">
        <f>D133*E133*F133*H133</f>
        <v>60</v>
      </c>
      <c r="K133" s="529">
        <f>I133*70/100</f>
        <v>378</v>
      </c>
      <c r="L133" s="529">
        <f>I133*20/100</f>
        <v>108</v>
      </c>
      <c r="M133" s="529">
        <f>I133*10/100</f>
        <v>54</v>
      </c>
      <c r="N133" s="416">
        <v>0</v>
      </c>
      <c r="O133" s="507" t="s">
        <v>937</v>
      </c>
      <c r="P133" s="171"/>
      <c r="Q133" s="409" t="s">
        <v>360</v>
      </c>
      <c r="R133" s="516">
        <v>5</v>
      </c>
      <c r="S133" s="411">
        <v>60</v>
      </c>
      <c r="T133" s="514">
        <v>2</v>
      </c>
      <c r="U133" s="503">
        <v>0.9</v>
      </c>
      <c r="V133" s="503">
        <v>0.1</v>
      </c>
      <c r="W133" s="487">
        <f t="shared" ref="W133:W138" si="201">R133*S133*T133*U133</f>
        <v>540</v>
      </c>
      <c r="X133" s="487">
        <f t="shared" si="199"/>
        <v>60</v>
      </c>
      <c r="Y133" s="529">
        <f t="shared" si="196"/>
        <v>378</v>
      </c>
      <c r="Z133" s="529">
        <f t="shared" si="197"/>
        <v>108</v>
      </c>
      <c r="AA133" s="529">
        <f t="shared" si="198"/>
        <v>54</v>
      </c>
      <c r="AB133" s="416">
        <v>0</v>
      </c>
      <c r="AC133" s="417" t="s">
        <v>937</v>
      </c>
      <c r="AD133" s="227"/>
      <c r="AE133" s="241">
        <v>4</v>
      </c>
      <c r="AF133" s="204" t="str">
        <f t="shared" si="113"/>
        <v>Transport</v>
      </c>
      <c r="AG133" s="486">
        <f t="shared" si="193"/>
        <v>0.9</v>
      </c>
      <c r="AH133" s="486">
        <f t="shared" si="194"/>
        <v>0.1</v>
      </c>
      <c r="AI133" s="487">
        <f t="shared" si="187"/>
        <v>1080</v>
      </c>
      <c r="AJ133" s="487">
        <f t="shared" si="188"/>
        <v>0</v>
      </c>
      <c r="AK133" s="487">
        <f t="shared" si="189"/>
        <v>120</v>
      </c>
      <c r="AL133" s="487">
        <f t="shared" si="112"/>
        <v>1200</v>
      </c>
      <c r="AM133" s="316">
        <f t="shared" si="107"/>
        <v>540</v>
      </c>
      <c r="AN133" s="316">
        <f t="shared" si="108"/>
        <v>0</v>
      </c>
      <c r="AO133" s="316">
        <f t="shared" si="109"/>
        <v>540</v>
      </c>
      <c r="AP133" s="316">
        <f t="shared" si="110"/>
        <v>0</v>
      </c>
      <c r="AQ133" s="169" t="s">
        <v>898</v>
      </c>
      <c r="AR133" s="169" t="s">
        <v>349</v>
      </c>
    </row>
    <row r="134" spans="1:44" s="169" customFormat="1" ht="26" x14ac:dyDescent="0.3">
      <c r="A134" s="488"/>
      <c r="B134" s="489" t="s">
        <v>938</v>
      </c>
      <c r="C134" s="489"/>
      <c r="D134" s="490"/>
      <c r="E134" s="491"/>
      <c r="F134" s="492"/>
      <c r="G134" s="493"/>
      <c r="H134" s="493"/>
      <c r="I134" s="494"/>
      <c r="J134" s="495"/>
      <c r="K134" s="495"/>
      <c r="L134" s="495"/>
      <c r="M134" s="495"/>
      <c r="N134" s="494"/>
      <c r="O134" s="496"/>
      <c r="Q134" s="489"/>
      <c r="R134" s="490"/>
      <c r="S134" s="491"/>
      <c r="T134" s="492"/>
      <c r="U134" s="493"/>
      <c r="V134" s="493"/>
      <c r="W134" s="495"/>
      <c r="X134" s="495"/>
      <c r="Y134" s="495"/>
      <c r="Z134" s="495"/>
      <c r="AA134" s="495"/>
      <c r="AB134" s="494"/>
      <c r="AC134" s="498"/>
      <c r="AD134" s="182"/>
      <c r="AE134" s="204"/>
      <c r="AF134" s="204" t="str">
        <f t="shared" si="113"/>
        <v>Former les adolescents cibles à l'alphabétisation fonctionnelle à l'aide de l'approche de l'alphabétisation sans contrainte.</v>
      </c>
      <c r="AG134" s="493"/>
      <c r="AH134" s="493"/>
      <c r="AI134" s="495"/>
      <c r="AJ134" s="495"/>
      <c r="AK134" s="495"/>
      <c r="AL134" s="495"/>
      <c r="AM134" s="317">
        <f t="shared" si="107"/>
        <v>0</v>
      </c>
      <c r="AN134" s="317">
        <f t="shared" si="108"/>
        <v>0</v>
      </c>
      <c r="AO134" s="317">
        <f t="shared" si="109"/>
        <v>0</v>
      </c>
      <c r="AP134" s="317">
        <f t="shared" si="110"/>
        <v>0</v>
      </c>
    </row>
    <row r="135" spans="1:44" s="169" customFormat="1" x14ac:dyDescent="0.3">
      <c r="A135" s="509">
        <v>6</v>
      </c>
      <c r="B135" s="510" t="s">
        <v>408</v>
      </c>
      <c r="C135" s="409" t="s">
        <v>939</v>
      </c>
      <c r="D135" s="536">
        <v>5</v>
      </c>
      <c r="E135" s="411">
        <v>600</v>
      </c>
      <c r="F135" s="512">
        <v>3</v>
      </c>
      <c r="G135" s="503">
        <v>0.9</v>
      </c>
      <c r="H135" s="503">
        <v>0.1</v>
      </c>
      <c r="I135" s="504">
        <f t="shared" si="200"/>
        <v>8100</v>
      </c>
      <c r="J135" s="487">
        <f>D135*E135*F135*H135</f>
        <v>900</v>
      </c>
      <c r="K135" s="529">
        <f>I135*70/100</f>
        <v>5670</v>
      </c>
      <c r="L135" s="529">
        <f>I135*20/100</f>
        <v>1620</v>
      </c>
      <c r="M135" s="529">
        <f>I135*10/100</f>
        <v>810</v>
      </c>
      <c r="N135" s="416">
        <v>0</v>
      </c>
      <c r="O135" s="507" t="s">
        <v>940</v>
      </c>
      <c r="P135" s="171"/>
      <c r="Q135" s="409" t="s">
        <v>939</v>
      </c>
      <c r="R135" s="516">
        <v>5</v>
      </c>
      <c r="S135" s="411">
        <v>600</v>
      </c>
      <c r="T135" s="514">
        <v>3</v>
      </c>
      <c r="U135" s="503">
        <v>0.9</v>
      </c>
      <c r="V135" s="503">
        <v>0.1</v>
      </c>
      <c r="W135" s="487">
        <f t="shared" si="201"/>
        <v>8100</v>
      </c>
      <c r="X135" s="487">
        <f t="shared" si="199"/>
        <v>900</v>
      </c>
      <c r="Y135" s="529">
        <f t="shared" ref="Y135:Y136" si="202">W135*70/100</f>
        <v>5670</v>
      </c>
      <c r="Z135" s="529">
        <f t="shared" ref="Z135:Z136" si="203">W135*20/100</f>
        <v>1620</v>
      </c>
      <c r="AA135" s="529">
        <f t="shared" ref="AA135:AA136" si="204">W135*10/100</f>
        <v>810</v>
      </c>
      <c r="AB135" s="416">
        <v>0</v>
      </c>
      <c r="AC135" s="417" t="s">
        <v>940</v>
      </c>
      <c r="AD135" s="227"/>
      <c r="AE135" s="241">
        <v>6</v>
      </c>
      <c r="AF135" s="204" t="str">
        <f t="shared" si="113"/>
        <v>Repas</v>
      </c>
      <c r="AG135" s="486">
        <f>AI135/($AI135+$AK135)</f>
        <v>0.9</v>
      </c>
      <c r="AH135" s="486">
        <f>AK135/($AI135+$AK135)</f>
        <v>0.1</v>
      </c>
      <c r="AI135" s="487">
        <f>I135+W135</f>
        <v>16200</v>
      </c>
      <c r="AJ135" s="487">
        <f>N135+AB135</f>
        <v>0</v>
      </c>
      <c r="AK135" s="487">
        <f>J135+X135</f>
        <v>1800</v>
      </c>
      <c r="AL135" s="487">
        <f t="shared" si="112"/>
        <v>18000</v>
      </c>
      <c r="AM135" s="316">
        <f t="shared" si="107"/>
        <v>8100</v>
      </c>
      <c r="AN135" s="316">
        <f t="shared" si="108"/>
        <v>0</v>
      </c>
      <c r="AO135" s="316">
        <f t="shared" si="109"/>
        <v>8100</v>
      </c>
      <c r="AP135" s="316">
        <f t="shared" si="110"/>
        <v>0</v>
      </c>
      <c r="AQ135" s="169" t="s">
        <v>898</v>
      </c>
      <c r="AR135" s="169" t="s">
        <v>349</v>
      </c>
    </row>
    <row r="136" spans="1:44" s="169" customFormat="1" x14ac:dyDescent="0.3">
      <c r="A136" s="509">
        <v>7</v>
      </c>
      <c r="B136" s="510" t="s">
        <v>447</v>
      </c>
      <c r="C136" s="409" t="s">
        <v>371</v>
      </c>
      <c r="D136" s="536">
        <v>2.5</v>
      </c>
      <c r="E136" s="411">
        <v>600</v>
      </c>
      <c r="F136" s="512">
        <v>1</v>
      </c>
      <c r="G136" s="503">
        <v>0.9</v>
      </c>
      <c r="H136" s="503">
        <v>0.1</v>
      </c>
      <c r="I136" s="504">
        <f t="shared" si="200"/>
        <v>1350</v>
      </c>
      <c r="J136" s="487">
        <f>D136*E136*F136*H136</f>
        <v>150</v>
      </c>
      <c r="K136" s="529">
        <f>I136*70/100</f>
        <v>945</v>
      </c>
      <c r="L136" s="529">
        <f>I136*20/100</f>
        <v>270</v>
      </c>
      <c r="M136" s="529">
        <f>I136*10/100</f>
        <v>135</v>
      </c>
      <c r="N136" s="416">
        <v>0</v>
      </c>
      <c r="O136" s="507" t="s">
        <v>354</v>
      </c>
      <c r="P136" s="171"/>
      <c r="Q136" s="409" t="s">
        <v>371</v>
      </c>
      <c r="R136" s="516">
        <v>2.5</v>
      </c>
      <c r="S136" s="411">
        <v>600</v>
      </c>
      <c r="T136" s="514">
        <v>1</v>
      </c>
      <c r="U136" s="503">
        <v>0.9</v>
      </c>
      <c r="V136" s="503">
        <v>0.1</v>
      </c>
      <c r="W136" s="487">
        <f t="shared" si="201"/>
        <v>1350</v>
      </c>
      <c r="X136" s="487">
        <f t="shared" si="199"/>
        <v>150</v>
      </c>
      <c r="Y136" s="529">
        <f t="shared" si="202"/>
        <v>945</v>
      </c>
      <c r="Z136" s="529">
        <f t="shared" si="203"/>
        <v>270</v>
      </c>
      <c r="AA136" s="529">
        <f t="shared" si="204"/>
        <v>135</v>
      </c>
      <c r="AB136" s="416">
        <v>0</v>
      </c>
      <c r="AC136" s="417" t="s">
        <v>354</v>
      </c>
      <c r="AD136" s="227"/>
      <c r="AE136" s="241">
        <v>7</v>
      </c>
      <c r="AF136" s="204" t="str">
        <f t="shared" si="113"/>
        <v>Fournitures de formation</v>
      </c>
      <c r="AG136" s="486">
        <f>AI136/($AI136+$AK136)</f>
        <v>0.9</v>
      </c>
      <c r="AH136" s="486">
        <f>AK136/($AI136+$AK136)</f>
        <v>0.1</v>
      </c>
      <c r="AI136" s="487">
        <f>I136+W136</f>
        <v>2700</v>
      </c>
      <c r="AJ136" s="487">
        <f>N136+AB136</f>
        <v>0</v>
      </c>
      <c r="AK136" s="487">
        <f>J136+X136</f>
        <v>300</v>
      </c>
      <c r="AL136" s="487">
        <f t="shared" si="112"/>
        <v>3000</v>
      </c>
      <c r="AM136" s="316">
        <f t="shared" si="107"/>
        <v>1350</v>
      </c>
      <c r="AN136" s="316">
        <f t="shared" si="108"/>
        <v>0</v>
      </c>
      <c r="AO136" s="316">
        <f t="shared" si="109"/>
        <v>1350</v>
      </c>
      <c r="AP136" s="316">
        <f t="shared" si="110"/>
        <v>0</v>
      </c>
      <c r="AQ136" s="169" t="s">
        <v>898</v>
      </c>
      <c r="AR136" s="169" t="s">
        <v>349</v>
      </c>
    </row>
    <row r="137" spans="1:44" s="169" customFormat="1" ht="26" x14ac:dyDescent="0.3">
      <c r="A137" s="488"/>
      <c r="B137" s="489" t="s">
        <v>941</v>
      </c>
      <c r="C137" s="489"/>
      <c r="D137" s="490"/>
      <c r="E137" s="491"/>
      <c r="F137" s="492"/>
      <c r="G137" s="493"/>
      <c r="H137" s="493"/>
      <c r="I137" s="494"/>
      <c r="J137" s="495"/>
      <c r="K137" s="495"/>
      <c r="L137" s="495"/>
      <c r="M137" s="495"/>
      <c r="N137" s="494"/>
      <c r="O137" s="496"/>
      <c r="Q137" s="489"/>
      <c r="R137" s="490"/>
      <c r="S137" s="491"/>
      <c r="T137" s="492"/>
      <c r="U137" s="493"/>
      <c r="V137" s="493"/>
      <c r="W137" s="495"/>
      <c r="X137" s="495"/>
      <c r="Y137" s="495"/>
      <c r="Z137" s="495"/>
      <c r="AA137" s="495"/>
      <c r="AB137" s="494"/>
      <c r="AC137" s="498"/>
      <c r="AD137" s="182"/>
      <c r="AE137" s="204"/>
      <c r="AF137" s="204" t="str">
        <f t="shared" si="113"/>
        <v xml:space="preserve">Organisation de clubs de lecture/apprentissage pour adolescents dans les centres technique et agricoles </v>
      </c>
      <c r="AG137" s="493"/>
      <c r="AH137" s="493"/>
      <c r="AI137" s="495"/>
      <c r="AJ137" s="495"/>
      <c r="AK137" s="495"/>
      <c r="AL137" s="495"/>
      <c r="AM137" s="317">
        <f t="shared" si="107"/>
        <v>0</v>
      </c>
      <c r="AN137" s="317">
        <f t="shared" si="108"/>
        <v>0</v>
      </c>
      <c r="AO137" s="317">
        <f t="shared" si="109"/>
        <v>0</v>
      </c>
      <c r="AP137" s="317">
        <f t="shared" si="110"/>
        <v>0</v>
      </c>
    </row>
    <row r="138" spans="1:44" s="169" customFormat="1" ht="39" x14ac:dyDescent="0.3">
      <c r="A138" s="509">
        <v>8</v>
      </c>
      <c r="B138" s="510" t="s">
        <v>942</v>
      </c>
      <c r="C138" s="409" t="s">
        <v>943</v>
      </c>
      <c r="D138" s="410">
        <v>100</v>
      </c>
      <c r="E138" s="411">
        <v>20</v>
      </c>
      <c r="F138" s="412">
        <v>1</v>
      </c>
      <c r="G138" s="503">
        <v>0.9</v>
      </c>
      <c r="H138" s="503">
        <v>0.1</v>
      </c>
      <c r="I138" s="416">
        <f t="shared" si="200"/>
        <v>1800</v>
      </c>
      <c r="J138" s="487">
        <f>D138*E138*F138*H138</f>
        <v>200</v>
      </c>
      <c r="K138" s="529">
        <f>I138*70/100</f>
        <v>1260</v>
      </c>
      <c r="L138" s="529">
        <f>I138*20/100</f>
        <v>360</v>
      </c>
      <c r="M138" s="529">
        <f>I138*10/100</f>
        <v>180</v>
      </c>
      <c r="N138" s="416">
        <v>0</v>
      </c>
      <c r="O138" s="507" t="s">
        <v>944</v>
      </c>
      <c r="P138" s="171"/>
      <c r="Q138" s="409" t="s">
        <v>943</v>
      </c>
      <c r="R138" s="418">
        <v>100</v>
      </c>
      <c r="S138" s="411">
        <v>20</v>
      </c>
      <c r="T138" s="411">
        <v>1</v>
      </c>
      <c r="U138" s="503">
        <v>0.9</v>
      </c>
      <c r="V138" s="503">
        <v>0.1</v>
      </c>
      <c r="W138" s="506">
        <f t="shared" si="201"/>
        <v>1800</v>
      </c>
      <c r="X138" s="487">
        <f t="shared" si="199"/>
        <v>200</v>
      </c>
      <c r="Y138" s="529">
        <f t="shared" ref="Y138" si="205">W138*70/100</f>
        <v>1260</v>
      </c>
      <c r="Z138" s="529">
        <f t="shared" ref="Z138" si="206">W138*20/100</f>
        <v>360</v>
      </c>
      <c r="AA138" s="529">
        <f t="shared" ref="AA138" si="207">W138*10/100</f>
        <v>180</v>
      </c>
      <c r="AB138" s="416">
        <v>0</v>
      </c>
      <c r="AC138" s="417" t="s">
        <v>944</v>
      </c>
      <c r="AD138" s="227"/>
      <c r="AE138" s="241">
        <v>8</v>
      </c>
      <c r="AF138" s="204" t="str">
        <f t="shared" si="113"/>
        <v>Achat de livres pour les clubs de lectures</v>
      </c>
      <c r="AG138" s="486">
        <f>AI138/($AI138+$AK138)</f>
        <v>0.9</v>
      </c>
      <c r="AH138" s="486">
        <f>AK138/($AI138+$AK138)</f>
        <v>0.1</v>
      </c>
      <c r="AI138" s="506">
        <f>I138+W138</f>
        <v>3600</v>
      </c>
      <c r="AJ138" s="506">
        <f>N138+AB138</f>
        <v>0</v>
      </c>
      <c r="AK138" s="487">
        <f>J138+X138</f>
        <v>400</v>
      </c>
      <c r="AL138" s="487">
        <f t="shared" ref="AL138:AL201" si="208">AI138+AJ138+AK138</f>
        <v>4000</v>
      </c>
      <c r="AM138" s="316">
        <f t="shared" ref="AM138:AM201" si="209">I138</f>
        <v>1800</v>
      </c>
      <c r="AN138" s="316">
        <f t="shared" ref="AN138:AN201" si="210">N138</f>
        <v>0</v>
      </c>
      <c r="AO138" s="316">
        <f t="shared" ref="AO138:AO201" si="211">W138</f>
        <v>1800</v>
      </c>
      <c r="AP138" s="316">
        <f t="shared" ref="AP138:AP201" si="212">AB138</f>
        <v>0</v>
      </c>
      <c r="AQ138" s="169" t="s">
        <v>898</v>
      </c>
      <c r="AR138" s="169" t="s">
        <v>349</v>
      </c>
    </row>
    <row r="139" spans="1:44" ht="32.25" customHeight="1" x14ac:dyDescent="0.3">
      <c r="A139" s="480" t="s">
        <v>945</v>
      </c>
      <c r="B139" s="861" t="s">
        <v>307</v>
      </c>
      <c r="C139" s="862"/>
      <c r="D139" s="862"/>
      <c r="E139" s="862"/>
      <c r="F139" s="862"/>
      <c r="G139" s="862"/>
      <c r="H139" s="863"/>
      <c r="I139" s="481">
        <f>SUM(I140:I154)</f>
        <v>32386.5</v>
      </c>
      <c r="J139" s="482">
        <f>SUM(J140:J154)</f>
        <v>3598.5</v>
      </c>
      <c r="K139" s="482">
        <f t="shared" ref="K139:M139" si="213">SUM(K140:K154)</f>
        <v>13631.113636363636</v>
      </c>
      <c r="L139" s="482">
        <f t="shared" si="213"/>
        <v>12668.113636363636</v>
      </c>
      <c r="M139" s="482">
        <f t="shared" si="213"/>
        <v>6087.2727272727279</v>
      </c>
      <c r="N139" s="481">
        <f>SUM(N140:N154)</f>
        <v>0</v>
      </c>
      <c r="O139" s="508"/>
      <c r="Q139" s="538"/>
      <c r="R139" s="539"/>
      <c r="S139" s="538"/>
      <c r="T139" s="539"/>
      <c r="U139" s="539"/>
      <c r="V139" s="484"/>
      <c r="W139" s="482">
        <f>SUM(W140:W154)</f>
        <v>26086.5</v>
      </c>
      <c r="X139" s="482">
        <f>SUM(X140:X154)</f>
        <v>2898.5</v>
      </c>
      <c r="Y139" s="482">
        <f>SUM(Y140:Y154)</f>
        <v>18260.55</v>
      </c>
      <c r="Z139" s="482">
        <f t="shared" ref="Z139:AA139" si="214">SUM(Z140:Z154)</f>
        <v>5217.3</v>
      </c>
      <c r="AA139" s="482">
        <f t="shared" si="214"/>
        <v>2608.65</v>
      </c>
      <c r="AB139" s="481">
        <f>SUM(AB140:AB154)</f>
        <v>0</v>
      </c>
      <c r="AC139" s="508"/>
      <c r="AD139" s="234"/>
      <c r="AE139" s="247" t="s">
        <v>945</v>
      </c>
      <c r="AF139" s="204" t="str">
        <f t="shared" si="113"/>
        <v>Fournir aux adolescents non scolarisés et déscolarisés des communautés ciblées une formation technique en agriculture/en petit élevage et activités liées à la production / transformation alimentaire ou autres métiers choisis et en gestion d’activités génératrices de revenus pour leur réintégration socio-économique</v>
      </c>
      <c r="AG139" s="485">
        <f>AI139/($AI139+$AK139)</f>
        <v>0.9</v>
      </c>
      <c r="AH139" s="485">
        <f>AK139/($AI139+$AK139)</f>
        <v>0.1</v>
      </c>
      <c r="AI139" s="482">
        <f>I139+W139</f>
        <v>58473</v>
      </c>
      <c r="AJ139" s="482">
        <f>N139+AB139</f>
        <v>0</v>
      </c>
      <c r="AK139" s="482">
        <f>J139+X139</f>
        <v>6497</v>
      </c>
      <c r="AL139" s="482">
        <f t="shared" si="208"/>
        <v>64970</v>
      </c>
      <c r="AM139" s="314">
        <f t="shared" si="209"/>
        <v>32386.5</v>
      </c>
      <c r="AN139" s="314">
        <f t="shared" si="210"/>
        <v>0</v>
      </c>
      <c r="AO139" s="314">
        <f t="shared" si="211"/>
        <v>26086.5</v>
      </c>
      <c r="AP139" s="314">
        <f t="shared" si="212"/>
        <v>0</v>
      </c>
    </row>
    <row r="140" spans="1:44" s="169" customFormat="1" ht="26" x14ac:dyDescent="0.3">
      <c r="A140" s="488"/>
      <c r="B140" s="489" t="s">
        <v>452</v>
      </c>
      <c r="C140" s="489"/>
      <c r="D140" s="490"/>
      <c r="E140" s="491"/>
      <c r="F140" s="492"/>
      <c r="G140" s="493"/>
      <c r="H140" s="493"/>
      <c r="I140" s="494"/>
      <c r="J140" s="495"/>
      <c r="K140" s="495"/>
      <c r="L140" s="495"/>
      <c r="M140" s="495"/>
      <c r="N140" s="494"/>
      <c r="O140" s="496"/>
      <c r="Q140" s="489"/>
      <c r="R140" s="490"/>
      <c r="S140" s="491"/>
      <c r="T140" s="492"/>
      <c r="U140" s="493"/>
      <c r="V140" s="493"/>
      <c r="W140" s="495"/>
      <c r="X140" s="495"/>
      <c r="Y140" s="495"/>
      <c r="Z140" s="495"/>
      <c r="AA140" s="495"/>
      <c r="AB140" s="494"/>
      <c r="AC140" s="498"/>
      <c r="AD140" s="182"/>
      <c r="AE140" s="204"/>
      <c r="AF140" s="204" t="str">
        <f t="shared" ref="AF140:AF203" si="215">B140</f>
        <v xml:space="preserve">Former les formateurs à l'agriculture/au petit élevage et aux activités de production/transformation alimentaire </v>
      </c>
      <c r="AG140" s="493"/>
      <c r="AH140" s="493"/>
      <c r="AI140" s="495"/>
      <c r="AJ140" s="495"/>
      <c r="AK140" s="495"/>
      <c r="AL140" s="495"/>
      <c r="AM140" s="317">
        <f t="shared" si="209"/>
        <v>0</v>
      </c>
      <c r="AN140" s="317">
        <f t="shared" si="210"/>
        <v>0</v>
      </c>
      <c r="AO140" s="317">
        <f t="shared" si="211"/>
        <v>0</v>
      </c>
      <c r="AP140" s="317">
        <f t="shared" si="212"/>
        <v>0</v>
      </c>
    </row>
    <row r="141" spans="1:44" s="186" customFormat="1" ht="26" x14ac:dyDescent="0.3">
      <c r="A141" s="408">
        <v>1</v>
      </c>
      <c r="B141" s="409" t="s">
        <v>946</v>
      </c>
      <c r="C141" s="409" t="s">
        <v>387</v>
      </c>
      <c r="D141" s="410">
        <v>50</v>
      </c>
      <c r="E141" s="411">
        <v>2</v>
      </c>
      <c r="F141" s="412">
        <v>3</v>
      </c>
      <c r="G141" s="503">
        <v>0.9</v>
      </c>
      <c r="H141" s="503">
        <v>0.1</v>
      </c>
      <c r="I141" s="416">
        <f t="shared" ref="I141:I154" si="216">D141*E141*F141*G141</f>
        <v>270</v>
      </c>
      <c r="J141" s="487">
        <f>D141*E141*F141*H141</f>
        <v>30</v>
      </c>
      <c r="K141" s="487">
        <f>I141</f>
        <v>270</v>
      </c>
      <c r="L141" s="487"/>
      <c r="M141" s="487"/>
      <c r="N141" s="416">
        <v>0</v>
      </c>
      <c r="O141" s="417" t="s">
        <v>947</v>
      </c>
      <c r="Q141" s="409" t="s">
        <v>387</v>
      </c>
      <c r="R141" s="418">
        <v>50</v>
      </c>
      <c r="S141" s="411">
        <v>2</v>
      </c>
      <c r="T141" s="411">
        <v>3</v>
      </c>
      <c r="U141" s="503">
        <v>0.9</v>
      </c>
      <c r="V141" s="503">
        <v>0.1</v>
      </c>
      <c r="W141" s="506">
        <f t="shared" ref="W141:W154" si="217">R141*S141*T141*U141</f>
        <v>270</v>
      </c>
      <c r="X141" s="487">
        <f t="shared" ref="X141:X145" si="218">R141*S141*T141*V141</f>
        <v>30</v>
      </c>
      <c r="Y141" s="529">
        <f t="shared" ref="Y141:Y145" si="219">W141*70/100</f>
        <v>189</v>
      </c>
      <c r="Z141" s="529">
        <f t="shared" ref="Z141:Z145" si="220">W141*20/100</f>
        <v>54</v>
      </c>
      <c r="AA141" s="529">
        <f t="shared" ref="AA141:AA145" si="221">W141*10/100</f>
        <v>27</v>
      </c>
      <c r="AB141" s="416">
        <v>0</v>
      </c>
      <c r="AC141" s="417" t="s">
        <v>947</v>
      </c>
      <c r="AD141" s="227"/>
      <c r="AE141" s="241">
        <v>1</v>
      </c>
      <c r="AF141" s="204" t="str">
        <f t="shared" si="215"/>
        <v>Lieux de formation  dans deux zones de santé</v>
      </c>
      <c r="AG141" s="486">
        <f>AI141/($AI141+$AK141)</f>
        <v>0.9</v>
      </c>
      <c r="AH141" s="486">
        <f>AK141/($AI141+$AK141)</f>
        <v>0.1</v>
      </c>
      <c r="AI141" s="506">
        <f>I141+W141</f>
        <v>540</v>
      </c>
      <c r="AJ141" s="506">
        <f>N141+AB141</f>
        <v>0</v>
      </c>
      <c r="AK141" s="487">
        <f>J141+X141</f>
        <v>60</v>
      </c>
      <c r="AL141" s="487">
        <f t="shared" si="208"/>
        <v>600</v>
      </c>
      <c r="AM141" s="316">
        <f t="shared" si="209"/>
        <v>270</v>
      </c>
      <c r="AN141" s="316">
        <f t="shared" si="210"/>
        <v>0</v>
      </c>
      <c r="AO141" s="316">
        <f t="shared" si="211"/>
        <v>270</v>
      </c>
      <c r="AP141" s="316">
        <f t="shared" si="212"/>
        <v>0</v>
      </c>
      <c r="AQ141" s="186" t="s">
        <v>898</v>
      </c>
      <c r="AR141" s="169" t="s">
        <v>349</v>
      </c>
    </row>
    <row r="142" spans="1:44" s="169" customFormat="1" x14ac:dyDescent="0.3">
      <c r="A142" s="509">
        <v>2</v>
      </c>
      <c r="B142" s="510" t="s">
        <v>446</v>
      </c>
      <c r="C142" s="409" t="s">
        <v>352</v>
      </c>
      <c r="D142" s="536">
        <v>2</v>
      </c>
      <c r="E142" s="411">
        <v>20</v>
      </c>
      <c r="F142" s="512">
        <v>3</v>
      </c>
      <c r="G142" s="503">
        <v>0.9</v>
      </c>
      <c r="H142" s="503">
        <v>0.1</v>
      </c>
      <c r="I142" s="416">
        <f t="shared" si="216"/>
        <v>108</v>
      </c>
      <c r="J142" s="487">
        <f>D142*E142*F142*H142</f>
        <v>12</v>
      </c>
      <c r="K142" s="487">
        <f>I142</f>
        <v>108</v>
      </c>
      <c r="L142" s="487"/>
      <c r="M142" s="487"/>
      <c r="N142" s="416">
        <v>0</v>
      </c>
      <c r="O142" s="507" t="s">
        <v>948</v>
      </c>
      <c r="Q142" s="409" t="s">
        <v>352</v>
      </c>
      <c r="R142" s="516">
        <v>2</v>
      </c>
      <c r="S142" s="411">
        <v>20</v>
      </c>
      <c r="T142" s="514">
        <v>3</v>
      </c>
      <c r="U142" s="503">
        <v>0.9</v>
      </c>
      <c r="V142" s="503">
        <v>0.1</v>
      </c>
      <c r="W142" s="506">
        <f t="shared" si="217"/>
        <v>108</v>
      </c>
      <c r="X142" s="487">
        <f t="shared" si="218"/>
        <v>12</v>
      </c>
      <c r="Y142" s="529">
        <f t="shared" si="219"/>
        <v>75.599999999999994</v>
      </c>
      <c r="Z142" s="529">
        <f t="shared" si="220"/>
        <v>21.6</v>
      </c>
      <c r="AA142" s="529">
        <f t="shared" si="221"/>
        <v>10.8</v>
      </c>
      <c r="AB142" s="416">
        <v>0</v>
      </c>
      <c r="AC142" s="417" t="s">
        <v>948</v>
      </c>
      <c r="AD142" s="227"/>
      <c r="AE142" s="241">
        <v>2</v>
      </c>
      <c r="AF142" s="204" t="str">
        <f t="shared" si="215"/>
        <v>pause café</v>
      </c>
      <c r="AG142" s="486">
        <f>AI142/($AI142+$AK142)</f>
        <v>0.9</v>
      </c>
      <c r="AH142" s="486">
        <f>AK142/($AI142+$AK142)</f>
        <v>0.1</v>
      </c>
      <c r="AI142" s="506">
        <f>I142+W142</f>
        <v>216</v>
      </c>
      <c r="AJ142" s="506">
        <f>N142+AB142</f>
        <v>0</v>
      </c>
      <c r="AK142" s="487">
        <f>J142+X142</f>
        <v>24</v>
      </c>
      <c r="AL142" s="487">
        <f t="shared" si="208"/>
        <v>240</v>
      </c>
      <c r="AM142" s="316">
        <f t="shared" si="209"/>
        <v>108</v>
      </c>
      <c r="AN142" s="316">
        <f t="shared" si="210"/>
        <v>0</v>
      </c>
      <c r="AO142" s="316">
        <f t="shared" si="211"/>
        <v>108</v>
      </c>
      <c r="AP142" s="316">
        <f t="shared" si="212"/>
        <v>0</v>
      </c>
      <c r="AQ142" s="169" t="s">
        <v>898</v>
      </c>
      <c r="AR142" s="169" t="s">
        <v>349</v>
      </c>
    </row>
    <row r="143" spans="1:44" s="169" customFormat="1" x14ac:dyDescent="0.3">
      <c r="A143" s="509">
        <v>3</v>
      </c>
      <c r="B143" s="510" t="s">
        <v>408</v>
      </c>
      <c r="C143" s="409" t="s">
        <v>352</v>
      </c>
      <c r="D143" s="536">
        <v>5</v>
      </c>
      <c r="E143" s="411">
        <v>20</v>
      </c>
      <c r="F143" s="512">
        <v>3</v>
      </c>
      <c r="G143" s="503">
        <v>0.9</v>
      </c>
      <c r="H143" s="503">
        <v>0.1</v>
      </c>
      <c r="I143" s="416">
        <f t="shared" si="216"/>
        <v>270</v>
      </c>
      <c r="J143" s="487">
        <f>D143*E143*F143*H143</f>
        <v>30</v>
      </c>
      <c r="K143" s="487">
        <f>I143</f>
        <v>270</v>
      </c>
      <c r="L143" s="487"/>
      <c r="M143" s="487"/>
      <c r="N143" s="416">
        <v>0</v>
      </c>
      <c r="O143" s="507" t="s">
        <v>948</v>
      </c>
      <c r="Q143" s="409" t="s">
        <v>352</v>
      </c>
      <c r="R143" s="516">
        <v>5</v>
      </c>
      <c r="S143" s="411">
        <v>20</v>
      </c>
      <c r="T143" s="514">
        <v>3</v>
      </c>
      <c r="U143" s="503">
        <v>0.9</v>
      </c>
      <c r="V143" s="503">
        <v>0.1</v>
      </c>
      <c r="W143" s="506">
        <f t="shared" si="217"/>
        <v>270</v>
      </c>
      <c r="X143" s="487">
        <f t="shared" si="218"/>
        <v>30</v>
      </c>
      <c r="Y143" s="529">
        <f t="shared" si="219"/>
        <v>189</v>
      </c>
      <c r="Z143" s="529">
        <f t="shared" si="220"/>
        <v>54</v>
      </c>
      <c r="AA143" s="529">
        <f t="shared" si="221"/>
        <v>27</v>
      </c>
      <c r="AB143" s="416">
        <v>0</v>
      </c>
      <c r="AC143" s="417" t="s">
        <v>948</v>
      </c>
      <c r="AD143" s="227"/>
      <c r="AE143" s="241">
        <v>3</v>
      </c>
      <c r="AF143" s="204" t="str">
        <f t="shared" si="215"/>
        <v>Repas</v>
      </c>
      <c r="AG143" s="486">
        <f>AI143/($AI143+$AK143)</f>
        <v>0.9</v>
      </c>
      <c r="AH143" s="486">
        <f>AK143/($AI143+$AK143)</f>
        <v>0.1</v>
      </c>
      <c r="AI143" s="506">
        <f>I143+W143</f>
        <v>540</v>
      </c>
      <c r="AJ143" s="506">
        <f>N143+AB143</f>
        <v>0</v>
      </c>
      <c r="AK143" s="487">
        <f>J143+X143</f>
        <v>60</v>
      </c>
      <c r="AL143" s="487">
        <f t="shared" si="208"/>
        <v>600</v>
      </c>
      <c r="AM143" s="316">
        <f t="shared" si="209"/>
        <v>270</v>
      </c>
      <c r="AN143" s="316">
        <f t="shared" si="210"/>
        <v>0</v>
      </c>
      <c r="AO143" s="316">
        <f t="shared" si="211"/>
        <v>270</v>
      </c>
      <c r="AP143" s="316">
        <f t="shared" si="212"/>
        <v>0</v>
      </c>
      <c r="AQ143" s="169" t="s">
        <v>898</v>
      </c>
      <c r="AR143" s="169" t="s">
        <v>349</v>
      </c>
    </row>
    <row r="144" spans="1:44" s="169" customFormat="1" x14ac:dyDescent="0.3">
      <c r="A144" s="509">
        <v>4</v>
      </c>
      <c r="B144" s="510" t="s">
        <v>447</v>
      </c>
      <c r="C144" s="409" t="s">
        <v>352</v>
      </c>
      <c r="D144" s="537">
        <v>2.5</v>
      </c>
      <c r="E144" s="411">
        <v>20</v>
      </c>
      <c r="F144" s="512">
        <v>1</v>
      </c>
      <c r="G144" s="503">
        <v>0.9</v>
      </c>
      <c r="H144" s="503">
        <v>0.1</v>
      </c>
      <c r="I144" s="416">
        <f t="shared" si="216"/>
        <v>45</v>
      </c>
      <c r="J144" s="487">
        <f>D144*E144*F144*H144</f>
        <v>5</v>
      </c>
      <c r="K144" s="487">
        <f>I144</f>
        <v>45</v>
      </c>
      <c r="L144" s="487"/>
      <c r="M144" s="487"/>
      <c r="N144" s="416">
        <v>0</v>
      </c>
      <c r="O144" s="507" t="s">
        <v>354</v>
      </c>
      <c r="Q144" s="409" t="s">
        <v>352</v>
      </c>
      <c r="R144" s="516">
        <v>2.5</v>
      </c>
      <c r="S144" s="411">
        <v>20</v>
      </c>
      <c r="T144" s="514">
        <v>1</v>
      </c>
      <c r="U144" s="503">
        <v>0.9</v>
      </c>
      <c r="V144" s="503">
        <v>0.1</v>
      </c>
      <c r="W144" s="506">
        <f t="shared" si="217"/>
        <v>45</v>
      </c>
      <c r="X144" s="487">
        <f t="shared" si="218"/>
        <v>5</v>
      </c>
      <c r="Y144" s="529">
        <f t="shared" si="219"/>
        <v>31.5</v>
      </c>
      <c r="Z144" s="529">
        <f t="shared" si="220"/>
        <v>9</v>
      </c>
      <c r="AA144" s="529">
        <f t="shared" si="221"/>
        <v>4.5</v>
      </c>
      <c r="AB144" s="416">
        <v>0</v>
      </c>
      <c r="AC144" s="417" t="s">
        <v>354</v>
      </c>
      <c r="AD144" s="227"/>
      <c r="AE144" s="241">
        <v>4</v>
      </c>
      <c r="AF144" s="204" t="str">
        <f t="shared" si="215"/>
        <v>Fournitures de formation</v>
      </c>
      <c r="AG144" s="486">
        <f>AI144/($AI144+$AK144)</f>
        <v>0.9</v>
      </c>
      <c r="AH144" s="486">
        <f>AK144/($AI144+$AK144)</f>
        <v>0.1</v>
      </c>
      <c r="AI144" s="506">
        <f>I144+W144</f>
        <v>90</v>
      </c>
      <c r="AJ144" s="506">
        <f>N144+AB144</f>
        <v>0</v>
      </c>
      <c r="AK144" s="487">
        <f>J144+X144</f>
        <v>10</v>
      </c>
      <c r="AL144" s="487">
        <f t="shared" si="208"/>
        <v>100</v>
      </c>
      <c r="AM144" s="316">
        <f t="shared" si="209"/>
        <v>45</v>
      </c>
      <c r="AN144" s="316">
        <f t="shared" si="210"/>
        <v>0</v>
      </c>
      <c r="AO144" s="316">
        <f t="shared" si="211"/>
        <v>45</v>
      </c>
      <c r="AP144" s="316">
        <f t="shared" si="212"/>
        <v>0</v>
      </c>
      <c r="AQ144" s="169" t="s">
        <v>898</v>
      </c>
      <c r="AR144" s="169" t="s">
        <v>349</v>
      </c>
    </row>
    <row r="145" spans="1:44" s="169" customFormat="1" x14ac:dyDescent="0.3">
      <c r="A145" s="509">
        <v>5</v>
      </c>
      <c r="B145" s="510" t="s">
        <v>456</v>
      </c>
      <c r="C145" s="409" t="s">
        <v>352</v>
      </c>
      <c r="D145" s="536">
        <v>5</v>
      </c>
      <c r="E145" s="411">
        <v>20</v>
      </c>
      <c r="F145" s="512">
        <v>3</v>
      </c>
      <c r="G145" s="503">
        <v>0.9</v>
      </c>
      <c r="H145" s="503">
        <v>0.1</v>
      </c>
      <c r="I145" s="416">
        <f t="shared" si="216"/>
        <v>270</v>
      </c>
      <c r="J145" s="487">
        <f>D145*E145*F145*H145</f>
        <v>30</v>
      </c>
      <c r="K145" s="487">
        <f>I145</f>
        <v>270</v>
      </c>
      <c r="L145" s="487"/>
      <c r="M145" s="487"/>
      <c r="N145" s="416">
        <v>0</v>
      </c>
      <c r="O145" s="507" t="s">
        <v>949</v>
      </c>
      <c r="Q145" s="409" t="s">
        <v>352</v>
      </c>
      <c r="R145" s="516">
        <v>5</v>
      </c>
      <c r="S145" s="411">
        <v>20</v>
      </c>
      <c r="T145" s="514">
        <v>3</v>
      </c>
      <c r="U145" s="503">
        <v>0.9</v>
      </c>
      <c r="V145" s="503">
        <v>0.1</v>
      </c>
      <c r="W145" s="506">
        <f t="shared" si="217"/>
        <v>270</v>
      </c>
      <c r="X145" s="487">
        <f t="shared" si="218"/>
        <v>30</v>
      </c>
      <c r="Y145" s="529">
        <f t="shared" si="219"/>
        <v>189</v>
      </c>
      <c r="Z145" s="529">
        <f t="shared" si="220"/>
        <v>54</v>
      </c>
      <c r="AA145" s="529">
        <f t="shared" si="221"/>
        <v>27</v>
      </c>
      <c r="AB145" s="416">
        <v>0</v>
      </c>
      <c r="AC145" s="417" t="s">
        <v>949</v>
      </c>
      <c r="AD145" s="227"/>
      <c r="AE145" s="241">
        <v>5</v>
      </c>
      <c r="AF145" s="204" t="str">
        <f t="shared" si="215"/>
        <v>Transport</v>
      </c>
      <c r="AG145" s="486">
        <f>AI145/($AI145+$AK145)</f>
        <v>0.9</v>
      </c>
      <c r="AH145" s="486">
        <f>AK145/($AI145+$AK145)</f>
        <v>0.1</v>
      </c>
      <c r="AI145" s="506">
        <f>I145+W145</f>
        <v>540</v>
      </c>
      <c r="AJ145" s="506">
        <f>N145+AB145</f>
        <v>0</v>
      </c>
      <c r="AK145" s="487">
        <f>J145+X145</f>
        <v>60</v>
      </c>
      <c r="AL145" s="487">
        <f t="shared" si="208"/>
        <v>600</v>
      </c>
      <c r="AM145" s="316">
        <f t="shared" si="209"/>
        <v>270</v>
      </c>
      <c r="AN145" s="316">
        <f t="shared" si="210"/>
        <v>0</v>
      </c>
      <c r="AO145" s="316">
        <f t="shared" si="211"/>
        <v>270</v>
      </c>
      <c r="AP145" s="316">
        <f t="shared" si="212"/>
        <v>0</v>
      </c>
      <c r="AQ145" s="169" t="s">
        <v>898</v>
      </c>
      <c r="AR145" s="169" t="s">
        <v>349</v>
      </c>
    </row>
    <row r="146" spans="1:44" s="169" customFormat="1" ht="26" x14ac:dyDescent="0.3">
      <c r="A146" s="488"/>
      <c r="B146" s="489" t="s">
        <v>950</v>
      </c>
      <c r="C146" s="489"/>
      <c r="D146" s="490"/>
      <c r="E146" s="491"/>
      <c r="F146" s="492"/>
      <c r="G146" s="493"/>
      <c r="H146" s="493"/>
      <c r="I146" s="494"/>
      <c r="J146" s="495"/>
      <c r="K146" s="495"/>
      <c r="L146" s="495"/>
      <c r="M146" s="495"/>
      <c r="N146" s="494"/>
      <c r="O146" s="496"/>
      <c r="Q146" s="489"/>
      <c r="R146" s="490"/>
      <c r="S146" s="491"/>
      <c r="T146" s="492"/>
      <c r="U146" s="493"/>
      <c r="V146" s="493"/>
      <c r="W146" s="495"/>
      <c r="X146" s="495"/>
      <c r="Y146" s="495"/>
      <c r="Z146" s="495"/>
      <c r="AA146" s="495"/>
      <c r="AB146" s="494"/>
      <c r="AC146" s="498"/>
      <c r="AD146" s="182"/>
      <c r="AE146" s="204"/>
      <c r="AF146" s="204" t="str">
        <f t="shared" si="215"/>
        <v>Orientation des adolescents cibles vers des centres de formation agricole pour la formation et l'encadrement</v>
      </c>
      <c r="AG146" s="493"/>
      <c r="AH146" s="493"/>
      <c r="AI146" s="495"/>
      <c r="AJ146" s="495"/>
      <c r="AK146" s="495"/>
      <c r="AL146" s="495"/>
      <c r="AM146" s="317">
        <f t="shared" si="209"/>
        <v>0</v>
      </c>
      <c r="AN146" s="317">
        <f t="shared" si="210"/>
        <v>0</v>
      </c>
      <c r="AO146" s="317">
        <f t="shared" si="211"/>
        <v>0</v>
      </c>
      <c r="AP146" s="317">
        <f t="shared" si="212"/>
        <v>0</v>
      </c>
    </row>
    <row r="147" spans="1:44" s="169" customFormat="1" x14ac:dyDescent="0.3">
      <c r="A147" s="509">
        <v>6</v>
      </c>
      <c r="B147" s="510" t="s">
        <v>924</v>
      </c>
      <c r="C147" s="409" t="s">
        <v>355</v>
      </c>
      <c r="D147" s="536">
        <v>15</v>
      </c>
      <c r="E147" s="411">
        <v>200</v>
      </c>
      <c r="F147" s="512">
        <v>2</v>
      </c>
      <c r="G147" s="503">
        <v>0.9</v>
      </c>
      <c r="H147" s="503">
        <v>0.1</v>
      </c>
      <c r="I147" s="416">
        <f t="shared" si="216"/>
        <v>5400</v>
      </c>
      <c r="J147" s="487">
        <f>D147*E147*F147*H147</f>
        <v>600</v>
      </c>
      <c r="K147" s="513">
        <f>I147*4/11</f>
        <v>1963.6363636363637</v>
      </c>
      <c r="L147" s="513">
        <f>I147*4/11</f>
        <v>1963.6363636363637</v>
      </c>
      <c r="M147" s="513">
        <f>I147*3/11</f>
        <v>1472.7272727272727</v>
      </c>
      <c r="N147" s="416">
        <v>0</v>
      </c>
      <c r="O147" s="507" t="s">
        <v>951</v>
      </c>
      <c r="Q147" s="409" t="s">
        <v>355</v>
      </c>
      <c r="R147" s="516">
        <v>15</v>
      </c>
      <c r="S147" s="411">
        <v>200</v>
      </c>
      <c r="T147" s="514">
        <v>1</v>
      </c>
      <c r="U147" s="503">
        <v>0.9</v>
      </c>
      <c r="V147" s="503">
        <v>0.1</v>
      </c>
      <c r="W147" s="506">
        <f t="shared" si="217"/>
        <v>2700</v>
      </c>
      <c r="X147" s="487">
        <f t="shared" ref="X147:X154" si="222">R147*S147*T147*V147</f>
        <v>300</v>
      </c>
      <c r="Y147" s="529">
        <f t="shared" ref="Y147:Y149" si="223">W147*70/100</f>
        <v>1890</v>
      </c>
      <c r="Z147" s="529">
        <f t="shared" ref="Z147:Z149" si="224">W147*20/100</f>
        <v>540</v>
      </c>
      <c r="AA147" s="529">
        <f t="shared" ref="AA147:AA149" si="225">W147*10/100</f>
        <v>270</v>
      </c>
      <c r="AB147" s="416">
        <v>0</v>
      </c>
      <c r="AC147" s="417" t="s">
        <v>952</v>
      </c>
      <c r="AD147" s="227"/>
      <c r="AE147" s="241">
        <v>6</v>
      </c>
      <c r="AF147" s="204" t="str">
        <f t="shared" si="215"/>
        <v>Soutien au paiement des frais d'inscription</v>
      </c>
      <c r="AG147" s="486">
        <f>AI147/($AI147+$AK147)</f>
        <v>0.9</v>
      </c>
      <c r="AH147" s="486">
        <f>AK147/($AI147+$AK147)</f>
        <v>0.1</v>
      </c>
      <c r="AI147" s="506">
        <f>I147+W147</f>
        <v>8100</v>
      </c>
      <c r="AJ147" s="506">
        <f>N147+AB147</f>
        <v>0</v>
      </c>
      <c r="AK147" s="487">
        <f>J147+X147</f>
        <v>900</v>
      </c>
      <c r="AL147" s="487">
        <f t="shared" si="208"/>
        <v>9000</v>
      </c>
      <c r="AM147" s="316">
        <f t="shared" si="209"/>
        <v>5400</v>
      </c>
      <c r="AN147" s="316">
        <f t="shared" si="210"/>
        <v>0</v>
      </c>
      <c r="AO147" s="316">
        <f t="shared" si="211"/>
        <v>2700</v>
      </c>
      <c r="AP147" s="316">
        <f t="shared" si="212"/>
        <v>0</v>
      </c>
      <c r="AQ147" s="169" t="s">
        <v>898</v>
      </c>
      <c r="AR147" s="169" t="s">
        <v>349</v>
      </c>
    </row>
    <row r="148" spans="1:44" s="186" customFormat="1" ht="30" customHeight="1" x14ac:dyDescent="0.3">
      <c r="A148" s="408">
        <v>7</v>
      </c>
      <c r="B148" s="409" t="s">
        <v>926</v>
      </c>
      <c r="C148" s="409" t="s">
        <v>461</v>
      </c>
      <c r="D148" s="410">
        <v>400</v>
      </c>
      <c r="E148" s="411">
        <v>10</v>
      </c>
      <c r="F148" s="412">
        <v>2</v>
      </c>
      <c r="G148" s="503">
        <v>0.9</v>
      </c>
      <c r="H148" s="503">
        <v>0.1</v>
      </c>
      <c r="I148" s="416">
        <f t="shared" si="216"/>
        <v>7200</v>
      </c>
      <c r="J148" s="487">
        <f>D148*E148*F148*H148</f>
        <v>800</v>
      </c>
      <c r="K148" s="513">
        <f>I148*4/11</f>
        <v>2618.181818181818</v>
      </c>
      <c r="L148" s="513">
        <f>I148*4/11</f>
        <v>2618.181818181818</v>
      </c>
      <c r="M148" s="513">
        <f>I148*3/11</f>
        <v>1963.6363636363637</v>
      </c>
      <c r="N148" s="416">
        <v>0</v>
      </c>
      <c r="O148" s="417" t="s">
        <v>953</v>
      </c>
      <c r="Q148" s="409" t="s">
        <v>461</v>
      </c>
      <c r="R148" s="418">
        <v>400</v>
      </c>
      <c r="S148" s="411">
        <v>10</v>
      </c>
      <c r="T148" s="411">
        <v>1</v>
      </c>
      <c r="U148" s="503">
        <v>0.9</v>
      </c>
      <c r="V148" s="503">
        <v>0.1</v>
      </c>
      <c r="W148" s="506">
        <f t="shared" si="217"/>
        <v>3600</v>
      </c>
      <c r="X148" s="487">
        <f t="shared" si="222"/>
        <v>400</v>
      </c>
      <c r="Y148" s="529">
        <f t="shared" si="223"/>
        <v>2520</v>
      </c>
      <c r="Z148" s="529">
        <f t="shared" si="224"/>
        <v>720</v>
      </c>
      <c r="AA148" s="529">
        <f t="shared" si="225"/>
        <v>360</v>
      </c>
      <c r="AB148" s="416">
        <v>0</v>
      </c>
      <c r="AC148" s="417" t="s">
        <v>953</v>
      </c>
      <c r="AD148" s="227"/>
      <c r="AE148" s="241">
        <v>7</v>
      </c>
      <c r="AF148" s="204" t="str">
        <f t="shared" si="215"/>
        <v xml:space="preserve">Soutien matériel fourni aux centres techniques </v>
      </c>
      <c r="AG148" s="486">
        <f>AI148/($AI148+$AK148)</f>
        <v>0.9</v>
      </c>
      <c r="AH148" s="486">
        <f>AK148/($AI148+$AK148)</f>
        <v>0.1</v>
      </c>
      <c r="AI148" s="506">
        <f>I148+W148</f>
        <v>10800</v>
      </c>
      <c r="AJ148" s="506">
        <f>N148+AB148</f>
        <v>0</v>
      </c>
      <c r="AK148" s="487">
        <f>J148+X148</f>
        <v>1200</v>
      </c>
      <c r="AL148" s="487">
        <f t="shared" si="208"/>
        <v>12000</v>
      </c>
      <c r="AM148" s="316">
        <f t="shared" si="209"/>
        <v>7200</v>
      </c>
      <c r="AN148" s="316">
        <f t="shared" si="210"/>
        <v>0</v>
      </c>
      <c r="AO148" s="316">
        <f t="shared" si="211"/>
        <v>3600</v>
      </c>
      <c r="AP148" s="316">
        <f t="shared" si="212"/>
        <v>0</v>
      </c>
      <c r="AQ148" s="186" t="s">
        <v>898</v>
      </c>
      <c r="AR148" s="169" t="s">
        <v>349</v>
      </c>
    </row>
    <row r="149" spans="1:44" s="186" customFormat="1" ht="39" x14ac:dyDescent="0.3">
      <c r="A149" s="408">
        <v>8</v>
      </c>
      <c r="B149" s="409" t="s">
        <v>929</v>
      </c>
      <c r="C149" s="409" t="s">
        <v>355</v>
      </c>
      <c r="D149" s="410">
        <v>60</v>
      </c>
      <c r="E149" s="411">
        <v>20</v>
      </c>
      <c r="F149" s="412">
        <v>9</v>
      </c>
      <c r="G149" s="503">
        <v>0.9</v>
      </c>
      <c r="H149" s="503">
        <v>0.1</v>
      </c>
      <c r="I149" s="416">
        <f t="shared" si="216"/>
        <v>9720</v>
      </c>
      <c r="J149" s="487">
        <f>D149*E149*F149*H149</f>
        <v>1080</v>
      </c>
      <c r="K149" s="513">
        <f>I149*4/11</f>
        <v>3534.5454545454545</v>
      </c>
      <c r="L149" s="513">
        <f>I149*4/11</f>
        <v>3534.5454545454545</v>
      </c>
      <c r="M149" s="513">
        <f>I149*3/11</f>
        <v>2650.909090909091</v>
      </c>
      <c r="N149" s="416">
        <v>0</v>
      </c>
      <c r="O149" s="417" t="s">
        <v>954</v>
      </c>
      <c r="Q149" s="409" t="s">
        <v>355</v>
      </c>
      <c r="R149" s="418">
        <v>60</v>
      </c>
      <c r="S149" s="411">
        <v>20</v>
      </c>
      <c r="T149" s="411">
        <v>9</v>
      </c>
      <c r="U149" s="503">
        <v>0.9</v>
      </c>
      <c r="V149" s="503">
        <v>0.1</v>
      </c>
      <c r="W149" s="506">
        <f t="shared" si="217"/>
        <v>9720</v>
      </c>
      <c r="X149" s="487">
        <f t="shared" si="222"/>
        <v>1080</v>
      </c>
      <c r="Y149" s="529">
        <f t="shared" si="223"/>
        <v>6804</v>
      </c>
      <c r="Z149" s="529">
        <f t="shared" si="224"/>
        <v>1944</v>
      </c>
      <c r="AA149" s="529">
        <f t="shared" si="225"/>
        <v>972</v>
      </c>
      <c r="AB149" s="416">
        <v>0</v>
      </c>
      <c r="AC149" s="417" t="s">
        <v>954</v>
      </c>
      <c r="AD149" s="227"/>
      <c r="AE149" s="241">
        <v>8</v>
      </c>
      <c r="AF149" s="204" t="str">
        <f t="shared" si="215"/>
        <v xml:space="preserve">Soutenir le personnel technique du centre technique </v>
      </c>
      <c r="AG149" s="486">
        <f>AI149/($AI149+$AK149)</f>
        <v>0.9</v>
      </c>
      <c r="AH149" s="486">
        <f>AK149/($AI149+$AK149)</f>
        <v>0.1</v>
      </c>
      <c r="AI149" s="506">
        <f>I149+W149</f>
        <v>19440</v>
      </c>
      <c r="AJ149" s="506">
        <f>N149+AB149</f>
        <v>0</v>
      </c>
      <c r="AK149" s="487">
        <f>J149+X149</f>
        <v>2160</v>
      </c>
      <c r="AL149" s="487">
        <f t="shared" si="208"/>
        <v>21600</v>
      </c>
      <c r="AM149" s="316">
        <f t="shared" si="209"/>
        <v>9720</v>
      </c>
      <c r="AN149" s="316">
        <f t="shared" si="210"/>
        <v>0</v>
      </c>
      <c r="AO149" s="316">
        <f t="shared" si="211"/>
        <v>9720</v>
      </c>
      <c r="AP149" s="316">
        <f t="shared" si="212"/>
        <v>0</v>
      </c>
      <c r="AQ149" s="186" t="s">
        <v>898</v>
      </c>
      <c r="AR149" s="169" t="s">
        <v>349</v>
      </c>
    </row>
    <row r="150" spans="1:44" s="169" customFormat="1" ht="26" x14ac:dyDescent="0.3">
      <c r="A150" s="488"/>
      <c r="B150" s="489" t="s">
        <v>955</v>
      </c>
      <c r="C150" s="489"/>
      <c r="D150" s="490"/>
      <c r="E150" s="491"/>
      <c r="F150" s="492"/>
      <c r="G150" s="493"/>
      <c r="H150" s="493"/>
      <c r="I150" s="494"/>
      <c r="J150" s="495"/>
      <c r="K150" s="495"/>
      <c r="L150" s="495"/>
      <c r="M150" s="495"/>
      <c r="N150" s="494"/>
      <c r="O150" s="496"/>
      <c r="Q150" s="489"/>
      <c r="R150" s="490"/>
      <c r="S150" s="491"/>
      <c r="T150" s="492"/>
      <c r="U150" s="493"/>
      <c r="V150" s="493"/>
      <c r="W150" s="495"/>
      <c r="X150" s="495"/>
      <c r="Y150" s="495"/>
      <c r="Z150" s="495"/>
      <c r="AA150" s="495"/>
      <c r="AB150" s="494"/>
      <c r="AC150" s="498"/>
      <c r="AD150" s="182"/>
      <c r="AE150" s="204"/>
      <c r="AF150" s="204" t="str">
        <f t="shared" si="215"/>
        <v>Développement d'un plan de micro-entreprise pour la réintégration socio-économique des adolescents formés.</v>
      </c>
      <c r="AG150" s="493"/>
      <c r="AH150" s="493"/>
      <c r="AI150" s="495"/>
      <c r="AJ150" s="495"/>
      <c r="AK150" s="495"/>
      <c r="AL150" s="495"/>
      <c r="AM150" s="317">
        <f t="shared" si="209"/>
        <v>0</v>
      </c>
      <c r="AN150" s="317">
        <f t="shared" si="210"/>
        <v>0</v>
      </c>
      <c r="AO150" s="317">
        <f t="shared" si="211"/>
        <v>0</v>
      </c>
      <c r="AP150" s="317">
        <f t="shared" si="212"/>
        <v>0</v>
      </c>
    </row>
    <row r="151" spans="1:44" s="186" customFormat="1" ht="39" x14ac:dyDescent="0.3">
      <c r="A151" s="408">
        <v>10</v>
      </c>
      <c r="B151" s="409" t="s">
        <v>956</v>
      </c>
      <c r="C151" s="409" t="s">
        <v>957</v>
      </c>
      <c r="D151" s="410">
        <v>200</v>
      </c>
      <c r="E151" s="411">
        <v>50</v>
      </c>
      <c r="F151" s="412">
        <v>1</v>
      </c>
      <c r="G151" s="503">
        <v>0.9</v>
      </c>
      <c r="H151" s="503">
        <v>0.1</v>
      </c>
      <c r="I151" s="416">
        <f t="shared" si="216"/>
        <v>9000</v>
      </c>
      <c r="J151" s="487">
        <f>D151*E151*F151*H151</f>
        <v>1000</v>
      </c>
      <c r="K151" s="487">
        <f>I151*50/100</f>
        <v>4500</v>
      </c>
      <c r="L151" s="487">
        <f>I151*50/100</f>
        <v>4500</v>
      </c>
      <c r="M151" s="487"/>
      <c r="N151" s="416">
        <v>0</v>
      </c>
      <c r="O151" s="417" t="s">
        <v>958</v>
      </c>
      <c r="Q151" s="409" t="s">
        <v>957</v>
      </c>
      <c r="R151" s="418">
        <v>200</v>
      </c>
      <c r="S151" s="411">
        <v>50</v>
      </c>
      <c r="T151" s="411">
        <v>1</v>
      </c>
      <c r="U151" s="503">
        <v>0.9</v>
      </c>
      <c r="V151" s="503">
        <v>0.1</v>
      </c>
      <c r="W151" s="506">
        <f t="shared" si="217"/>
        <v>9000</v>
      </c>
      <c r="X151" s="487">
        <f t="shared" si="222"/>
        <v>1000</v>
      </c>
      <c r="Y151" s="529">
        <f t="shared" ref="Y151:Y154" si="226">W151*70/100</f>
        <v>6300</v>
      </c>
      <c r="Z151" s="529">
        <f t="shared" ref="Z151:Z154" si="227">W151*20/100</f>
        <v>1800</v>
      </c>
      <c r="AA151" s="529">
        <f t="shared" ref="AA151:AA154" si="228">W151*10/100</f>
        <v>900</v>
      </c>
      <c r="AB151" s="416">
        <v>0</v>
      </c>
      <c r="AC151" s="417" t="s">
        <v>959</v>
      </c>
      <c r="AD151" s="227"/>
      <c r="AE151" s="241">
        <v>10</v>
      </c>
      <c r="AF151" s="204" t="str">
        <f t="shared" si="215"/>
        <v>Kits de démarrage</v>
      </c>
      <c r="AG151" s="486">
        <f>AI151/($AI151+$AK151)</f>
        <v>0.9</v>
      </c>
      <c r="AH151" s="486">
        <f>AK151/($AI151+$AK151)</f>
        <v>0.1</v>
      </c>
      <c r="AI151" s="506">
        <f>I151+W151</f>
        <v>18000</v>
      </c>
      <c r="AJ151" s="506">
        <f>N151+AB151</f>
        <v>0</v>
      </c>
      <c r="AK151" s="487">
        <f>J151+X151</f>
        <v>2000</v>
      </c>
      <c r="AL151" s="487">
        <f t="shared" si="208"/>
        <v>20000</v>
      </c>
      <c r="AM151" s="316">
        <f t="shared" si="209"/>
        <v>9000</v>
      </c>
      <c r="AN151" s="316">
        <f t="shared" si="210"/>
        <v>0</v>
      </c>
      <c r="AO151" s="316">
        <f t="shared" si="211"/>
        <v>9000</v>
      </c>
      <c r="AP151" s="316">
        <f t="shared" si="212"/>
        <v>0</v>
      </c>
      <c r="AQ151" s="186" t="s">
        <v>898</v>
      </c>
      <c r="AR151" s="169" t="s">
        <v>349</v>
      </c>
    </row>
    <row r="152" spans="1:44" s="182" customFormat="1" x14ac:dyDescent="0.3">
      <c r="A152" s="408">
        <v>12</v>
      </c>
      <c r="B152" s="409" t="s">
        <v>960</v>
      </c>
      <c r="C152" s="409" t="s">
        <v>90</v>
      </c>
      <c r="D152" s="410">
        <v>0</v>
      </c>
      <c r="E152" s="411">
        <v>2</v>
      </c>
      <c r="F152" s="412">
        <v>4</v>
      </c>
      <c r="G152" s="503">
        <v>0.9</v>
      </c>
      <c r="H152" s="503">
        <v>0.1</v>
      </c>
      <c r="I152" s="416">
        <f t="shared" si="216"/>
        <v>0</v>
      </c>
      <c r="J152" s="506">
        <f>D152*E152*F152*H152</f>
        <v>0</v>
      </c>
      <c r="K152" s="506">
        <f>I152*50/100</f>
        <v>0</v>
      </c>
      <c r="L152" s="506">
        <f>I152*50/100</f>
        <v>0</v>
      </c>
      <c r="M152" s="506"/>
      <c r="N152" s="416">
        <v>0</v>
      </c>
      <c r="O152" s="417" t="s">
        <v>961</v>
      </c>
      <c r="Q152" s="409" t="s">
        <v>90</v>
      </c>
      <c r="R152" s="418">
        <v>0</v>
      </c>
      <c r="S152" s="411">
        <v>2</v>
      </c>
      <c r="T152" s="411">
        <v>4</v>
      </c>
      <c r="U152" s="503">
        <v>0.9</v>
      </c>
      <c r="V152" s="503">
        <v>0.1</v>
      </c>
      <c r="W152" s="506">
        <f t="shared" si="217"/>
        <v>0</v>
      </c>
      <c r="X152" s="506">
        <f t="shared" si="222"/>
        <v>0</v>
      </c>
      <c r="Y152" s="531">
        <f t="shared" si="226"/>
        <v>0</v>
      </c>
      <c r="Z152" s="531">
        <f t="shared" si="227"/>
        <v>0</v>
      </c>
      <c r="AA152" s="531">
        <f t="shared" si="228"/>
        <v>0</v>
      </c>
      <c r="AB152" s="416">
        <v>0</v>
      </c>
      <c r="AC152" s="417" t="s">
        <v>961</v>
      </c>
      <c r="AD152" s="227"/>
      <c r="AE152" s="241">
        <v>12</v>
      </c>
      <c r="AF152" s="204" t="str">
        <f t="shared" si="215"/>
        <v>Emolument formateurs</v>
      </c>
      <c r="AG152" s="503"/>
      <c r="AH152" s="503"/>
      <c r="AI152" s="506">
        <f>I152+W152</f>
        <v>0</v>
      </c>
      <c r="AJ152" s="506">
        <f>N152+AB152</f>
        <v>0</v>
      </c>
      <c r="AK152" s="506">
        <f>J152+X152</f>
        <v>0</v>
      </c>
      <c r="AL152" s="506">
        <f t="shared" si="208"/>
        <v>0</v>
      </c>
      <c r="AM152" s="315">
        <f t="shared" si="209"/>
        <v>0</v>
      </c>
      <c r="AN152" s="315">
        <f t="shared" si="210"/>
        <v>0</v>
      </c>
      <c r="AO152" s="315">
        <f t="shared" si="211"/>
        <v>0</v>
      </c>
      <c r="AP152" s="315">
        <f t="shared" si="212"/>
        <v>0</v>
      </c>
      <c r="AQ152" s="182" t="s">
        <v>898</v>
      </c>
      <c r="AR152" s="169" t="s">
        <v>349</v>
      </c>
    </row>
    <row r="153" spans="1:44" s="182" customFormat="1" x14ac:dyDescent="0.3">
      <c r="A153" s="408">
        <v>13</v>
      </c>
      <c r="B153" s="409" t="s">
        <v>962</v>
      </c>
      <c r="C153" s="409" t="s">
        <v>963</v>
      </c>
      <c r="D153" s="410">
        <v>0</v>
      </c>
      <c r="E153" s="411">
        <v>2</v>
      </c>
      <c r="F153" s="412">
        <v>5</v>
      </c>
      <c r="G153" s="503">
        <v>0.9</v>
      </c>
      <c r="H153" s="503">
        <v>0.1</v>
      </c>
      <c r="I153" s="416">
        <f t="shared" si="216"/>
        <v>0</v>
      </c>
      <c r="J153" s="506">
        <f>D153*E153*F153*H153</f>
        <v>0</v>
      </c>
      <c r="K153" s="506">
        <f>I153*50/100</f>
        <v>0</v>
      </c>
      <c r="L153" s="506">
        <f>I153*50/100</f>
        <v>0</v>
      </c>
      <c r="M153" s="506"/>
      <c r="N153" s="416">
        <v>0</v>
      </c>
      <c r="O153" s="417" t="s">
        <v>961</v>
      </c>
      <c r="Q153" s="409" t="s">
        <v>963</v>
      </c>
      <c r="R153" s="418">
        <v>0</v>
      </c>
      <c r="S153" s="411">
        <v>2</v>
      </c>
      <c r="T153" s="411">
        <v>5</v>
      </c>
      <c r="U153" s="503">
        <v>0.9</v>
      </c>
      <c r="V153" s="503">
        <v>0.1</v>
      </c>
      <c r="W153" s="506">
        <f t="shared" si="217"/>
        <v>0</v>
      </c>
      <c r="X153" s="506">
        <f t="shared" si="222"/>
        <v>0</v>
      </c>
      <c r="Y153" s="531">
        <f t="shared" si="226"/>
        <v>0</v>
      </c>
      <c r="Z153" s="531">
        <f t="shared" si="227"/>
        <v>0</v>
      </c>
      <c r="AA153" s="531">
        <f t="shared" si="228"/>
        <v>0</v>
      </c>
      <c r="AB153" s="416">
        <v>0</v>
      </c>
      <c r="AC153" s="417" t="s">
        <v>961</v>
      </c>
      <c r="AD153" s="227"/>
      <c r="AE153" s="241">
        <v>13</v>
      </c>
      <c r="AF153" s="204" t="str">
        <f t="shared" si="215"/>
        <v>DSA des formateurs</v>
      </c>
      <c r="AG153" s="503"/>
      <c r="AH153" s="503"/>
      <c r="AI153" s="506">
        <f>I153+W153</f>
        <v>0</v>
      </c>
      <c r="AJ153" s="506">
        <f>N153+AB153</f>
        <v>0</v>
      </c>
      <c r="AK153" s="506">
        <f>J153+X153</f>
        <v>0</v>
      </c>
      <c r="AL153" s="506">
        <f t="shared" si="208"/>
        <v>0</v>
      </c>
      <c r="AM153" s="315">
        <f t="shared" si="209"/>
        <v>0</v>
      </c>
      <c r="AN153" s="315">
        <f t="shared" si="210"/>
        <v>0</v>
      </c>
      <c r="AO153" s="315">
        <f t="shared" si="211"/>
        <v>0</v>
      </c>
      <c r="AP153" s="315">
        <f t="shared" si="212"/>
        <v>0</v>
      </c>
      <c r="AQ153" s="182" t="s">
        <v>898</v>
      </c>
      <c r="AR153" s="169" t="s">
        <v>349</v>
      </c>
    </row>
    <row r="154" spans="1:44" s="182" customFormat="1" x14ac:dyDescent="0.3">
      <c r="A154" s="408">
        <v>14</v>
      </c>
      <c r="B154" s="409" t="s">
        <v>424</v>
      </c>
      <c r="C154" s="409" t="s">
        <v>425</v>
      </c>
      <c r="D154" s="410">
        <v>2.5</v>
      </c>
      <c r="E154" s="411">
        <v>46</v>
      </c>
      <c r="F154" s="412">
        <v>1</v>
      </c>
      <c r="G154" s="503">
        <v>0.9</v>
      </c>
      <c r="H154" s="503">
        <v>0.1</v>
      </c>
      <c r="I154" s="416">
        <f t="shared" si="216"/>
        <v>103.5</v>
      </c>
      <c r="J154" s="506">
        <f>D154*E154*F154*H154</f>
        <v>11.5</v>
      </c>
      <c r="K154" s="506">
        <f>I154*50/100</f>
        <v>51.75</v>
      </c>
      <c r="L154" s="506">
        <f>I154*50/100</f>
        <v>51.75</v>
      </c>
      <c r="M154" s="506"/>
      <c r="N154" s="416">
        <v>0</v>
      </c>
      <c r="O154" s="417" t="s">
        <v>354</v>
      </c>
      <c r="Q154" s="409" t="s">
        <v>425</v>
      </c>
      <c r="R154" s="418">
        <v>2.5</v>
      </c>
      <c r="S154" s="411">
        <v>46</v>
      </c>
      <c r="T154" s="411">
        <v>1</v>
      </c>
      <c r="U154" s="503">
        <v>0.9</v>
      </c>
      <c r="V154" s="503">
        <v>0.1</v>
      </c>
      <c r="W154" s="506">
        <f t="shared" si="217"/>
        <v>103.5</v>
      </c>
      <c r="X154" s="506">
        <f t="shared" si="222"/>
        <v>11.5</v>
      </c>
      <c r="Y154" s="531">
        <f t="shared" si="226"/>
        <v>72.45</v>
      </c>
      <c r="Z154" s="531">
        <f t="shared" si="227"/>
        <v>20.7</v>
      </c>
      <c r="AA154" s="531">
        <f t="shared" si="228"/>
        <v>10.35</v>
      </c>
      <c r="AB154" s="416">
        <v>0</v>
      </c>
      <c r="AC154" s="417" t="s">
        <v>354</v>
      </c>
      <c r="AD154" s="227"/>
      <c r="AE154" s="241">
        <v>14</v>
      </c>
      <c r="AF154" s="204" t="str">
        <f t="shared" si="215"/>
        <v>Kits participants</v>
      </c>
      <c r="AG154" s="503">
        <f>AI154/($AI154+$AK154)</f>
        <v>0.9</v>
      </c>
      <c r="AH154" s="503">
        <f>AK154/($AI154+$AK154)</f>
        <v>0.1</v>
      </c>
      <c r="AI154" s="506">
        <f>I154+W154</f>
        <v>207</v>
      </c>
      <c r="AJ154" s="506">
        <f>N154+AB154</f>
        <v>0</v>
      </c>
      <c r="AK154" s="506">
        <f>J154+X154</f>
        <v>23</v>
      </c>
      <c r="AL154" s="506">
        <f t="shared" si="208"/>
        <v>230</v>
      </c>
      <c r="AM154" s="315">
        <f t="shared" si="209"/>
        <v>103.5</v>
      </c>
      <c r="AN154" s="315">
        <f t="shared" si="210"/>
        <v>0</v>
      </c>
      <c r="AO154" s="315">
        <f t="shared" si="211"/>
        <v>103.5</v>
      </c>
      <c r="AP154" s="315">
        <f t="shared" si="212"/>
        <v>0</v>
      </c>
      <c r="AQ154" s="182" t="s">
        <v>898</v>
      </c>
      <c r="AR154" s="169" t="s">
        <v>349</v>
      </c>
    </row>
    <row r="155" spans="1:44" ht="31.5" customHeight="1" x14ac:dyDescent="0.3">
      <c r="A155" s="480" t="s">
        <v>254</v>
      </c>
      <c r="B155" s="861" t="s">
        <v>308</v>
      </c>
      <c r="C155" s="862"/>
      <c r="D155" s="862"/>
      <c r="E155" s="862"/>
      <c r="F155" s="862"/>
      <c r="G155" s="862"/>
      <c r="H155" s="863"/>
      <c r="I155" s="481">
        <f>SUM(I156:I165)</f>
        <v>7506</v>
      </c>
      <c r="J155" s="482">
        <f t="shared" ref="J155:N155" si="229">SUM(J156:J165)</f>
        <v>834</v>
      </c>
      <c r="K155" s="482">
        <f t="shared" si="229"/>
        <v>4626</v>
      </c>
      <c r="L155" s="482">
        <f t="shared" si="229"/>
        <v>2880</v>
      </c>
      <c r="M155" s="482">
        <f t="shared" si="229"/>
        <v>0</v>
      </c>
      <c r="N155" s="481">
        <f t="shared" si="229"/>
        <v>0</v>
      </c>
      <c r="O155" s="508"/>
      <c r="Q155" s="538"/>
      <c r="R155" s="539"/>
      <c r="S155" s="538"/>
      <c r="T155" s="539"/>
      <c r="U155" s="539"/>
      <c r="V155" s="484"/>
      <c r="W155" s="482">
        <f t="shared" ref="W155:AB155" si="230">SUM(W156:W165)</f>
        <v>1926</v>
      </c>
      <c r="X155" s="482">
        <f t="shared" si="230"/>
        <v>214</v>
      </c>
      <c r="Y155" s="482">
        <f t="shared" si="230"/>
        <v>1926</v>
      </c>
      <c r="Z155" s="482">
        <f t="shared" si="230"/>
        <v>0</v>
      </c>
      <c r="AA155" s="482">
        <f t="shared" si="230"/>
        <v>0</v>
      </c>
      <c r="AB155" s="481">
        <f t="shared" si="230"/>
        <v>0</v>
      </c>
      <c r="AC155" s="508"/>
      <c r="AD155" s="234"/>
      <c r="AE155" s="247" t="s">
        <v>254</v>
      </c>
      <c r="AF155" s="204" t="str">
        <f t="shared" si="215"/>
        <v>Établir et soutenir le fonctionnement de 40 clubs de la paix, prenant en compte le Genre et la prévention des VBG et AES dans les centres d'apprentissage et agricoles d'adolescents ciblées</v>
      </c>
      <c r="AG155" s="485"/>
      <c r="AH155" s="485"/>
      <c r="AI155" s="482">
        <f t="shared" ref="AI155:AL155" si="231">SUM(AI156:AI165)</f>
        <v>9432</v>
      </c>
      <c r="AJ155" s="482">
        <f t="shared" si="231"/>
        <v>0</v>
      </c>
      <c r="AK155" s="482">
        <f t="shared" si="231"/>
        <v>1048</v>
      </c>
      <c r="AL155" s="482">
        <f t="shared" si="231"/>
        <v>10480</v>
      </c>
      <c r="AM155" s="314">
        <f t="shared" si="209"/>
        <v>7506</v>
      </c>
      <c r="AN155" s="314">
        <f t="shared" si="210"/>
        <v>0</v>
      </c>
      <c r="AO155" s="314">
        <f t="shared" si="211"/>
        <v>1926</v>
      </c>
      <c r="AP155" s="314">
        <f t="shared" si="212"/>
        <v>0</v>
      </c>
    </row>
    <row r="156" spans="1:44" s="169" customFormat="1" x14ac:dyDescent="0.3">
      <c r="A156" s="488"/>
      <c r="B156" s="489" t="s">
        <v>453</v>
      </c>
      <c r="C156" s="489"/>
      <c r="D156" s="490"/>
      <c r="E156" s="491"/>
      <c r="F156" s="492"/>
      <c r="G156" s="493"/>
      <c r="H156" s="493"/>
      <c r="I156" s="494"/>
      <c r="J156" s="495"/>
      <c r="K156" s="495"/>
      <c r="L156" s="495"/>
      <c r="M156" s="495"/>
      <c r="N156" s="494"/>
      <c r="O156" s="496"/>
      <c r="Q156" s="489"/>
      <c r="R156" s="490"/>
      <c r="S156" s="491"/>
      <c r="T156" s="492"/>
      <c r="U156" s="493"/>
      <c r="V156" s="493"/>
      <c r="W156" s="495"/>
      <c r="X156" s="495"/>
      <c r="Y156" s="495"/>
      <c r="Z156" s="495"/>
      <c r="AA156" s="495"/>
      <c r="AB156" s="494"/>
      <c r="AC156" s="498"/>
      <c r="AD156" s="182"/>
      <c r="AE156" s="204"/>
      <c r="AF156" s="204" t="str">
        <f t="shared" si="215"/>
        <v>Formation des formateurs sur le programme routier</v>
      </c>
      <c r="AG156" s="493"/>
      <c r="AH156" s="493"/>
      <c r="AI156" s="495"/>
      <c r="AJ156" s="495"/>
      <c r="AK156" s="495"/>
      <c r="AL156" s="495"/>
      <c r="AM156" s="317">
        <f t="shared" si="209"/>
        <v>0</v>
      </c>
      <c r="AN156" s="317">
        <f t="shared" si="210"/>
        <v>0</v>
      </c>
      <c r="AO156" s="317">
        <f t="shared" si="211"/>
        <v>0</v>
      </c>
      <c r="AP156" s="317">
        <f t="shared" si="212"/>
        <v>0</v>
      </c>
    </row>
    <row r="157" spans="1:44" s="186" customFormat="1" ht="26" x14ac:dyDescent="0.3">
      <c r="A157" s="408">
        <v>1</v>
      </c>
      <c r="B157" s="409" t="s">
        <v>454</v>
      </c>
      <c r="C157" s="409" t="s">
        <v>355</v>
      </c>
      <c r="D157" s="410">
        <v>2</v>
      </c>
      <c r="E157" s="411">
        <v>40</v>
      </c>
      <c r="F157" s="412">
        <v>3</v>
      </c>
      <c r="G157" s="503">
        <v>0.9</v>
      </c>
      <c r="H157" s="503">
        <v>0.1</v>
      </c>
      <c r="I157" s="416">
        <f t="shared" ref="I157:I165" si="232">D157*E157*F157*G157</f>
        <v>216</v>
      </c>
      <c r="J157" s="487">
        <f t="shared" ref="J157:J165" si="233">D157*E157*F157*H157</f>
        <v>24</v>
      </c>
      <c r="K157" s="487">
        <f t="shared" ref="K157:K164" si="234">I157</f>
        <v>216</v>
      </c>
      <c r="L157" s="487"/>
      <c r="M157" s="487"/>
      <c r="N157" s="416">
        <v>0</v>
      </c>
      <c r="O157" s="417" t="s">
        <v>455</v>
      </c>
      <c r="Q157" s="409" t="s">
        <v>355</v>
      </c>
      <c r="R157" s="418">
        <v>2</v>
      </c>
      <c r="S157" s="411">
        <v>40</v>
      </c>
      <c r="T157" s="411">
        <v>3</v>
      </c>
      <c r="U157" s="503">
        <v>0.9</v>
      </c>
      <c r="V157" s="503">
        <v>0.1</v>
      </c>
      <c r="W157" s="506">
        <f t="shared" ref="W157:W165" si="235">R157*S157*T157*U157</f>
        <v>216</v>
      </c>
      <c r="X157" s="487">
        <f t="shared" ref="X157:X165" si="236">R157*S157*T157*V157</f>
        <v>24</v>
      </c>
      <c r="Y157" s="487">
        <f t="shared" ref="Y157:Y165" si="237">W157</f>
        <v>216</v>
      </c>
      <c r="Z157" s="487"/>
      <c r="AA157" s="487"/>
      <c r="AB157" s="416">
        <v>0</v>
      </c>
      <c r="AC157" s="417" t="s">
        <v>455</v>
      </c>
      <c r="AD157" s="227"/>
      <c r="AE157" s="241">
        <v>1</v>
      </c>
      <c r="AF157" s="204" t="str">
        <f t="shared" si="215"/>
        <v>Pause café</v>
      </c>
      <c r="AG157" s="486">
        <f t="shared" ref="AG157:AG165" si="238">AI157/($AI157+$AK157)</f>
        <v>0.9</v>
      </c>
      <c r="AH157" s="486">
        <f t="shared" ref="AH157:AH165" si="239">AK157/($AI157+$AK157)</f>
        <v>0.1</v>
      </c>
      <c r="AI157" s="506">
        <f t="shared" ref="AI157:AI165" si="240">I157+W157</f>
        <v>432</v>
      </c>
      <c r="AJ157" s="506">
        <f t="shared" ref="AJ157:AJ165" si="241">N157+AB157</f>
        <v>0</v>
      </c>
      <c r="AK157" s="487">
        <f t="shared" ref="AK157:AK165" si="242">J157+X157</f>
        <v>48</v>
      </c>
      <c r="AL157" s="487">
        <f t="shared" si="208"/>
        <v>480</v>
      </c>
      <c r="AM157" s="316">
        <f t="shared" si="209"/>
        <v>216</v>
      </c>
      <c r="AN157" s="316">
        <f t="shared" si="210"/>
        <v>0</v>
      </c>
      <c r="AO157" s="316">
        <f t="shared" si="211"/>
        <v>216</v>
      </c>
      <c r="AP157" s="316">
        <f t="shared" si="212"/>
        <v>0</v>
      </c>
      <c r="AQ157" s="186" t="s">
        <v>898</v>
      </c>
      <c r="AR157" s="169" t="s">
        <v>349</v>
      </c>
    </row>
    <row r="158" spans="1:44" s="186" customFormat="1" ht="26" x14ac:dyDescent="0.3">
      <c r="A158" s="408">
        <v>2</v>
      </c>
      <c r="B158" s="409" t="s">
        <v>408</v>
      </c>
      <c r="C158" s="409" t="s">
        <v>355</v>
      </c>
      <c r="D158" s="410">
        <v>5</v>
      </c>
      <c r="E158" s="411">
        <v>40</v>
      </c>
      <c r="F158" s="412">
        <v>3</v>
      </c>
      <c r="G158" s="503">
        <v>0.9</v>
      </c>
      <c r="H158" s="503">
        <v>0.1</v>
      </c>
      <c r="I158" s="416">
        <f t="shared" si="232"/>
        <v>540</v>
      </c>
      <c r="J158" s="487">
        <f t="shared" si="233"/>
        <v>60</v>
      </c>
      <c r="K158" s="487">
        <f t="shared" si="234"/>
        <v>540</v>
      </c>
      <c r="L158" s="487"/>
      <c r="M158" s="487"/>
      <c r="N158" s="416">
        <v>0</v>
      </c>
      <c r="O158" s="417" t="s">
        <v>455</v>
      </c>
      <c r="Q158" s="409" t="s">
        <v>355</v>
      </c>
      <c r="R158" s="418">
        <v>5</v>
      </c>
      <c r="S158" s="411">
        <v>40</v>
      </c>
      <c r="T158" s="411">
        <v>3</v>
      </c>
      <c r="U158" s="503">
        <v>0.9</v>
      </c>
      <c r="V158" s="503">
        <v>0.1</v>
      </c>
      <c r="W158" s="506">
        <f t="shared" si="235"/>
        <v>540</v>
      </c>
      <c r="X158" s="487">
        <f t="shared" si="236"/>
        <v>60</v>
      </c>
      <c r="Y158" s="487">
        <f t="shared" si="237"/>
        <v>540</v>
      </c>
      <c r="Z158" s="487"/>
      <c r="AA158" s="487"/>
      <c r="AB158" s="416">
        <v>0</v>
      </c>
      <c r="AC158" s="417" t="s">
        <v>455</v>
      </c>
      <c r="AD158" s="227"/>
      <c r="AE158" s="241">
        <v>2</v>
      </c>
      <c r="AF158" s="204" t="str">
        <f t="shared" si="215"/>
        <v>Repas</v>
      </c>
      <c r="AG158" s="486">
        <f t="shared" si="238"/>
        <v>0.9</v>
      </c>
      <c r="AH158" s="486">
        <f t="shared" si="239"/>
        <v>0.1</v>
      </c>
      <c r="AI158" s="506">
        <f t="shared" si="240"/>
        <v>1080</v>
      </c>
      <c r="AJ158" s="506">
        <f t="shared" si="241"/>
        <v>0</v>
      </c>
      <c r="AK158" s="487">
        <f t="shared" si="242"/>
        <v>120</v>
      </c>
      <c r="AL158" s="487">
        <f t="shared" si="208"/>
        <v>1200</v>
      </c>
      <c r="AM158" s="316">
        <f t="shared" si="209"/>
        <v>540</v>
      </c>
      <c r="AN158" s="316">
        <f t="shared" si="210"/>
        <v>0</v>
      </c>
      <c r="AO158" s="316">
        <f t="shared" si="211"/>
        <v>540</v>
      </c>
      <c r="AP158" s="316">
        <f t="shared" si="212"/>
        <v>0</v>
      </c>
      <c r="AQ158" s="186" t="s">
        <v>898</v>
      </c>
      <c r="AR158" s="169" t="s">
        <v>349</v>
      </c>
    </row>
    <row r="159" spans="1:44" s="186" customFormat="1" x14ac:dyDescent="0.3">
      <c r="A159" s="408">
        <v>3</v>
      </c>
      <c r="B159" s="409" t="s">
        <v>447</v>
      </c>
      <c r="C159" s="409" t="s">
        <v>355</v>
      </c>
      <c r="D159" s="541">
        <v>2.5</v>
      </c>
      <c r="E159" s="411">
        <v>40</v>
      </c>
      <c r="F159" s="412">
        <v>3</v>
      </c>
      <c r="G159" s="503">
        <v>0.9</v>
      </c>
      <c r="H159" s="503">
        <v>0.1</v>
      </c>
      <c r="I159" s="416">
        <f t="shared" si="232"/>
        <v>270</v>
      </c>
      <c r="J159" s="487">
        <f t="shared" si="233"/>
        <v>30</v>
      </c>
      <c r="K159" s="487">
        <f t="shared" si="234"/>
        <v>270</v>
      </c>
      <c r="L159" s="487"/>
      <c r="M159" s="487"/>
      <c r="N159" s="416">
        <v>0</v>
      </c>
      <c r="O159" s="417" t="s">
        <v>354</v>
      </c>
      <c r="Q159" s="409" t="s">
        <v>355</v>
      </c>
      <c r="R159" s="418">
        <v>2.5</v>
      </c>
      <c r="S159" s="411">
        <v>40</v>
      </c>
      <c r="T159" s="411">
        <v>3</v>
      </c>
      <c r="U159" s="503">
        <v>0.9</v>
      </c>
      <c r="V159" s="503">
        <v>0.1</v>
      </c>
      <c r="W159" s="506">
        <f t="shared" si="235"/>
        <v>270</v>
      </c>
      <c r="X159" s="487">
        <f t="shared" si="236"/>
        <v>30</v>
      </c>
      <c r="Y159" s="487">
        <f t="shared" si="237"/>
        <v>270</v>
      </c>
      <c r="Z159" s="487"/>
      <c r="AA159" s="487"/>
      <c r="AB159" s="416">
        <v>0</v>
      </c>
      <c r="AC159" s="417" t="s">
        <v>354</v>
      </c>
      <c r="AD159" s="227"/>
      <c r="AE159" s="241">
        <v>3</v>
      </c>
      <c r="AF159" s="204" t="str">
        <f t="shared" si="215"/>
        <v>Fournitures de formation</v>
      </c>
      <c r="AG159" s="486">
        <f t="shared" si="238"/>
        <v>0.9</v>
      </c>
      <c r="AH159" s="486">
        <f t="shared" si="239"/>
        <v>0.1</v>
      </c>
      <c r="AI159" s="506">
        <f t="shared" si="240"/>
        <v>540</v>
      </c>
      <c r="AJ159" s="506">
        <f t="shared" si="241"/>
        <v>0</v>
      </c>
      <c r="AK159" s="487">
        <f t="shared" si="242"/>
        <v>60</v>
      </c>
      <c r="AL159" s="487">
        <f t="shared" si="208"/>
        <v>600</v>
      </c>
      <c r="AM159" s="316">
        <f t="shared" si="209"/>
        <v>270</v>
      </c>
      <c r="AN159" s="316">
        <f t="shared" si="210"/>
        <v>0</v>
      </c>
      <c r="AO159" s="316">
        <f t="shared" si="211"/>
        <v>270</v>
      </c>
      <c r="AP159" s="316">
        <f t="shared" si="212"/>
        <v>0</v>
      </c>
      <c r="AQ159" s="186" t="s">
        <v>898</v>
      </c>
      <c r="AR159" s="169" t="s">
        <v>349</v>
      </c>
    </row>
    <row r="160" spans="1:44" s="186" customFormat="1" ht="26" x14ac:dyDescent="0.3">
      <c r="A160" s="408">
        <v>4</v>
      </c>
      <c r="B160" s="409" t="s">
        <v>456</v>
      </c>
      <c r="C160" s="409" t="s">
        <v>352</v>
      </c>
      <c r="D160" s="410">
        <v>5</v>
      </c>
      <c r="E160" s="411">
        <v>40</v>
      </c>
      <c r="F160" s="412">
        <v>3</v>
      </c>
      <c r="G160" s="503">
        <v>0.9</v>
      </c>
      <c r="H160" s="503">
        <v>0.1</v>
      </c>
      <c r="I160" s="416">
        <f t="shared" si="232"/>
        <v>540</v>
      </c>
      <c r="J160" s="487">
        <f t="shared" si="233"/>
        <v>60</v>
      </c>
      <c r="K160" s="487">
        <f t="shared" si="234"/>
        <v>540</v>
      </c>
      <c r="L160" s="487"/>
      <c r="M160" s="487"/>
      <c r="N160" s="416">
        <v>0</v>
      </c>
      <c r="O160" s="417" t="s">
        <v>455</v>
      </c>
      <c r="Q160" s="409" t="s">
        <v>352</v>
      </c>
      <c r="R160" s="418">
        <v>5</v>
      </c>
      <c r="S160" s="411">
        <v>40</v>
      </c>
      <c r="T160" s="411">
        <v>3</v>
      </c>
      <c r="U160" s="503">
        <v>0.9</v>
      </c>
      <c r="V160" s="503">
        <v>0.1</v>
      </c>
      <c r="W160" s="506">
        <f t="shared" si="235"/>
        <v>540</v>
      </c>
      <c r="X160" s="487">
        <f t="shared" si="236"/>
        <v>60</v>
      </c>
      <c r="Y160" s="487">
        <f t="shared" si="237"/>
        <v>540</v>
      </c>
      <c r="Z160" s="487"/>
      <c r="AA160" s="487"/>
      <c r="AB160" s="416">
        <v>0</v>
      </c>
      <c r="AC160" s="417" t="s">
        <v>455</v>
      </c>
      <c r="AD160" s="227"/>
      <c r="AE160" s="241">
        <v>4</v>
      </c>
      <c r="AF160" s="204" t="str">
        <f t="shared" si="215"/>
        <v>Transport</v>
      </c>
      <c r="AG160" s="486">
        <f t="shared" si="238"/>
        <v>0.9</v>
      </c>
      <c r="AH160" s="486">
        <f t="shared" si="239"/>
        <v>0.1</v>
      </c>
      <c r="AI160" s="506">
        <f t="shared" si="240"/>
        <v>1080</v>
      </c>
      <c r="AJ160" s="506">
        <f t="shared" si="241"/>
        <v>0</v>
      </c>
      <c r="AK160" s="487">
        <f t="shared" si="242"/>
        <v>120</v>
      </c>
      <c r="AL160" s="487">
        <f t="shared" si="208"/>
        <v>1200</v>
      </c>
      <c r="AM160" s="316">
        <f t="shared" si="209"/>
        <v>540</v>
      </c>
      <c r="AN160" s="316">
        <f t="shared" si="210"/>
        <v>0</v>
      </c>
      <c r="AO160" s="316">
        <f t="shared" si="211"/>
        <v>540</v>
      </c>
      <c r="AP160" s="316">
        <f t="shared" si="212"/>
        <v>0</v>
      </c>
      <c r="AQ160" s="186" t="s">
        <v>898</v>
      </c>
      <c r="AR160" s="169" t="s">
        <v>349</v>
      </c>
    </row>
    <row r="161" spans="1:44" s="186" customFormat="1" x14ac:dyDescent="0.3">
      <c r="A161" s="408">
        <v>5</v>
      </c>
      <c r="B161" s="409" t="s">
        <v>457</v>
      </c>
      <c r="C161" s="409" t="s">
        <v>352</v>
      </c>
      <c r="D161" s="410">
        <v>5</v>
      </c>
      <c r="E161" s="411">
        <v>40</v>
      </c>
      <c r="F161" s="412">
        <v>1</v>
      </c>
      <c r="G161" s="503">
        <v>0.9</v>
      </c>
      <c r="H161" s="503">
        <v>0.1</v>
      </c>
      <c r="I161" s="416">
        <f t="shared" si="232"/>
        <v>180</v>
      </c>
      <c r="J161" s="487">
        <f t="shared" si="233"/>
        <v>20</v>
      </c>
      <c r="K161" s="487">
        <f t="shared" si="234"/>
        <v>180</v>
      </c>
      <c r="L161" s="487"/>
      <c r="M161" s="487"/>
      <c r="N161" s="416">
        <v>0</v>
      </c>
      <c r="O161" s="417" t="s">
        <v>964</v>
      </c>
      <c r="Q161" s="409" t="s">
        <v>352</v>
      </c>
      <c r="R161" s="418">
        <v>5</v>
      </c>
      <c r="S161" s="411">
        <v>40</v>
      </c>
      <c r="T161" s="411">
        <v>1</v>
      </c>
      <c r="U161" s="503">
        <v>0.9</v>
      </c>
      <c r="V161" s="503">
        <v>0.1</v>
      </c>
      <c r="W161" s="506">
        <f t="shared" si="235"/>
        <v>180</v>
      </c>
      <c r="X161" s="487">
        <f t="shared" si="236"/>
        <v>20</v>
      </c>
      <c r="Y161" s="487">
        <f t="shared" si="237"/>
        <v>180</v>
      </c>
      <c r="Z161" s="487"/>
      <c r="AA161" s="487"/>
      <c r="AB161" s="416">
        <v>0</v>
      </c>
      <c r="AC161" s="417" t="s">
        <v>964</v>
      </c>
      <c r="AD161" s="227"/>
      <c r="AE161" s="241">
        <v>5</v>
      </c>
      <c r="AF161" s="204" t="str">
        <f t="shared" si="215"/>
        <v>Impression des modules de formation "Peace Roads"</v>
      </c>
      <c r="AG161" s="486">
        <f t="shared" si="238"/>
        <v>0.9</v>
      </c>
      <c r="AH161" s="486">
        <f t="shared" si="239"/>
        <v>0.1</v>
      </c>
      <c r="AI161" s="506">
        <f t="shared" si="240"/>
        <v>360</v>
      </c>
      <c r="AJ161" s="506">
        <f t="shared" si="241"/>
        <v>0</v>
      </c>
      <c r="AK161" s="487">
        <f t="shared" si="242"/>
        <v>40</v>
      </c>
      <c r="AL161" s="487">
        <f t="shared" si="208"/>
        <v>400</v>
      </c>
      <c r="AM161" s="316">
        <f t="shared" si="209"/>
        <v>180</v>
      </c>
      <c r="AN161" s="316">
        <f t="shared" si="210"/>
        <v>0</v>
      </c>
      <c r="AO161" s="316">
        <f t="shared" si="211"/>
        <v>180</v>
      </c>
      <c r="AP161" s="316">
        <f t="shared" si="212"/>
        <v>0</v>
      </c>
      <c r="AQ161" s="186" t="s">
        <v>898</v>
      </c>
      <c r="AR161" s="169" t="s">
        <v>349</v>
      </c>
    </row>
    <row r="162" spans="1:44" s="186" customFormat="1" x14ac:dyDescent="0.3">
      <c r="A162" s="408">
        <v>6</v>
      </c>
      <c r="B162" s="409" t="s">
        <v>458</v>
      </c>
      <c r="C162" s="409"/>
      <c r="D162" s="410"/>
      <c r="E162" s="411"/>
      <c r="F162" s="412"/>
      <c r="G162" s="503">
        <v>0.9</v>
      </c>
      <c r="H162" s="503">
        <v>0.1</v>
      </c>
      <c r="I162" s="416">
        <f t="shared" si="232"/>
        <v>0</v>
      </c>
      <c r="J162" s="487">
        <f t="shared" si="233"/>
        <v>0</v>
      </c>
      <c r="K162" s="487">
        <f t="shared" si="234"/>
        <v>0</v>
      </c>
      <c r="L162" s="487"/>
      <c r="M162" s="487"/>
      <c r="N162" s="416">
        <v>0</v>
      </c>
      <c r="O162" s="417" t="s">
        <v>459</v>
      </c>
      <c r="Q162" s="409"/>
      <c r="R162" s="418"/>
      <c r="S162" s="411"/>
      <c r="T162" s="411"/>
      <c r="U162" s="503">
        <v>0.9</v>
      </c>
      <c r="V162" s="503">
        <v>0.1</v>
      </c>
      <c r="W162" s="506">
        <f t="shared" si="235"/>
        <v>0</v>
      </c>
      <c r="X162" s="487">
        <f t="shared" si="236"/>
        <v>0</v>
      </c>
      <c r="Y162" s="487">
        <f t="shared" si="237"/>
        <v>0</v>
      </c>
      <c r="Z162" s="487"/>
      <c r="AA162" s="487"/>
      <c r="AB162" s="416">
        <v>0</v>
      </c>
      <c r="AC162" s="417" t="s">
        <v>459</v>
      </c>
      <c r="AD162" s="227"/>
      <c r="AE162" s="241">
        <v>6</v>
      </c>
      <c r="AF162" s="204" t="str">
        <f t="shared" si="215"/>
        <v xml:space="preserve">Réunions du club de la paix organisées dans les centres techniques et agricoles </v>
      </c>
      <c r="AG162" s="486"/>
      <c r="AH162" s="486"/>
      <c r="AI162" s="506">
        <f t="shared" si="240"/>
        <v>0</v>
      </c>
      <c r="AJ162" s="506">
        <f t="shared" si="241"/>
        <v>0</v>
      </c>
      <c r="AK162" s="487">
        <f t="shared" si="242"/>
        <v>0</v>
      </c>
      <c r="AL162" s="487">
        <f t="shared" si="208"/>
        <v>0</v>
      </c>
      <c r="AM162" s="316">
        <f t="shared" si="209"/>
        <v>0</v>
      </c>
      <c r="AN162" s="316">
        <f t="shared" si="210"/>
        <v>0</v>
      </c>
      <c r="AO162" s="316">
        <f t="shared" si="211"/>
        <v>0</v>
      </c>
      <c r="AP162" s="316">
        <f t="shared" si="212"/>
        <v>0</v>
      </c>
      <c r="AQ162" s="186" t="s">
        <v>898</v>
      </c>
      <c r="AR162" s="169" t="s">
        <v>349</v>
      </c>
    </row>
    <row r="163" spans="1:44" s="186" customFormat="1" x14ac:dyDescent="0.3">
      <c r="A163" s="408">
        <v>7</v>
      </c>
      <c r="B163" s="409" t="s">
        <v>460</v>
      </c>
      <c r="C163" s="409" t="s">
        <v>461</v>
      </c>
      <c r="D163" s="410">
        <v>0</v>
      </c>
      <c r="E163" s="411">
        <v>20</v>
      </c>
      <c r="F163" s="412">
        <v>1</v>
      </c>
      <c r="G163" s="503">
        <v>0.9</v>
      </c>
      <c r="H163" s="503">
        <v>0.1</v>
      </c>
      <c r="I163" s="416">
        <f t="shared" si="232"/>
        <v>0</v>
      </c>
      <c r="J163" s="487">
        <f t="shared" si="233"/>
        <v>0</v>
      </c>
      <c r="K163" s="487">
        <f t="shared" si="234"/>
        <v>0</v>
      </c>
      <c r="L163" s="487"/>
      <c r="M163" s="487"/>
      <c r="N163" s="416">
        <v>0</v>
      </c>
      <c r="O163" s="417" t="s">
        <v>397</v>
      </c>
      <c r="Q163" s="409" t="s">
        <v>461</v>
      </c>
      <c r="R163" s="418">
        <v>0</v>
      </c>
      <c r="S163" s="411">
        <v>20</v>
      </c>
      <c r="T163" s="411">
        <v>1</v>
      </c>
      <c r="U163" s="503">
        <v>0.9</v>
      </c>
      <c r="V163" s="503">
        <v>0.1</v>
      </c>
      <c r="W163" s="506">
        <f t="shared" si="235"/>
        <v>0</v>
      </c>
      <c r="X163" s="487">
        <f t="shared" si="236"/>
        <v>0</v>
      </c>
      <c r="Y163" s="487">
        <f t="shared" si="237"/>
        <v>0</v>
      </c>
      <c r="Z163" s="487"/>
      <c r="AA163" s="487"/>
      <c r="AB163" s="416">
        <v>0</v>
      </c>
      <c r="AC163" s="417" t="s">
        <v>397</v>
      </c>
      <c r="AD163" s="227"/>
      <c r="AE163" s="241">
        <v>7</v>
      </c>
      <c r="AF163" s="204" t="str">
        <f t="shared" si="215"/>
        <v xml:space="preserve">Former des clubs de paix dans chaque centre technique et agricole </v>
      </c>
      <c r="AG163" s="486"/>
      <c r="AH163" s="486"/>
      <c r="AI163" s="506">
        <f t="shared" si="240"/>
        <v>0</v>
      </c>
      <c r="AJ163" s="506">
        <f t="shared" si="241"/>
        <v>0</v>
      </c>
      <c r="AK163" s="487">
        <f t="shared" si="242"/>
        <v>0</v>
      </c>
      <c r="AL163" s="487">
        <f t="shared" si="208"/>
        <v>0</v>
      </c>
      <c r="AM163" s="316">
        <f t="shared" si="209"/>
        <v>0</v>
      </c>
      <c r="AN163" s="316">
        <f t="shared" si="210"/>
        <v>0</v>
      </c>
      <c r="AO163" s="316">
        <f t="shared" si="211"/>
        <v>0</v>
      </c>
      <c r="AP163" s="316">
        <f t="shared" si="212"/>
        <v>0</v>
      </c>
      <c r="AQ163" s="186" t="s">
        <v>898</v>
      </c>
      <c r="AR163" s="169" t="s">
        <v>349</v>
      </c>
    </row>
    <row r="164" spans="1:44" s="186" customFormat="1" x14ac:dyDescent="0.3">
      <c r="A164" s="408">
        <v>8</v>
      </c>
      <c r="B164" s="409" t="s">
        <v>462</v>
      </c>
      <c r="C164" s="409" t="s">
        <v>461</v>
      </c>
      <c r="D164" s="410">
        <v>0</v>
      </c>
      <c r="E164" s="411">
        <v>20</v>
      </c>
      <c r="F164" s="412">
        <v>32</v>
      </c>
      <c r="G164" s="503">
        <v>0.9</v>
      </c>
      <c r="H164" s="503">
        <v>0.1</v>
      </c>
      <c r="I164" s="416">
        <f t="shared" si="232"/>
        <v>0</v>
      </c>
      <c r="J164" s="487">
        <f t="shared" si="233"/>
        <v>0</v>
      </c>
      <c r="K164" s="487">
        <f t="shared" si="234"/>
        <v>0</v>
      </c>
      <c r="L164" s="487"/>
      <c r="M164" s="487"/>
      <c r="N164" s="416">
        <v>0</v>
      </c>
      <c r="O164" s="417" t="s">
        <v>397</v>
      </c>
      <c r="Q164" s="409" t="s">
        <v>461</v>
      </c>
      <c r="R164" s="418">
        <v>0</v>
      </c>
      <c r="S164" s="411">
        <v>20</v>
      </c>
      <c r="T164" s="411">
        <v>1</v>
      </c>
      <c r="U164" s="503">
        <v>0.9</v>
      </c>
      <c r="V164" s="503">
        <v>0.1</v>
      </c>
      <c r="W164" s="506">
        <f t="shared" si="235"/>
        <v>0</v>
      </c>
      <c r="X164" s="487">
        <f t="shared" si="236"/>
        <v>0</v>
      </c>
      <c r="Y164" s="487">
        <f t="shared" si="237"/>
        <v>0</v>
      </c>
      <c r="Z164" s="487"/>
      <c r="AA164" s="487"/>
      <c r="AB164" s="416">
        <v>0</v>
      </c>
      <c r="AC164" s="417" t="s">
        <v>397</v>
      </c>
      <c r="AD164" s="227"/>
      <c r="AE164" s="241">
        <v>8</v>
      </c>
      <c r="AF164" s="204" t="str">
        <f t="shared" si="215"/>
        <v>Réunions du club organisées chaque semaine</v>
      </c>
      <c r="AG164" s="486"/>
      <c r="AH164" s="486"/>
      <c r="AI164" s="506">
        <f t="shared" si="240"/>
        <v>0</v>
      </c>
      <c r="AJ164" s="506">
        <f t="shared" si="241"/>
        <v>0</v>
      </c>
      <c r="AK164" s="487">
        <f t="shared" si="242"/>
        <v>0</v>
      </c>
      <c r="AL164" s="487">
        <f t="shared" si="208"/>
        <v>0</v>
      </c>
      <c r="AM164" s="316">
        <f t="shared" si="209"/>
        <v>0</v>
      </c>
      <c r="AN164" s="316">
        <f t="shared" si="210"/>
        <v>0</v>
      </c>
      <c r="AO164" s="316">
        <f t="shared" si="211"/>
        <v>0</v>
      </c>
      <c r="AP164" s="316">
        <f t="shared" si="212"/>
        <v>0</v>
      </c>
      <c r="AQ164" s="186" t="s">
        <v>898</v>
      </c>
      <c r="AR164" s="169" t="s">
        <v>349</v>
      </c>
    </row>
    <row r="165" spans="1:44" s="186" customFormat="1" ht="26" x14ac:dyDescent="0.3">
      <c r="A165" s="408">
        <v>9</v>
      </c>
      <c r="B165" s="409" t="s">
        <v>463</v>
      </c>
      <c r="C165" s="409" t="s">
        <v>355</v>
      </c>
      <c r="D165" s="410">
        <v>5</v>
      </c>
      <c r="E165" s="411">
        <v>40</v>
      </c>
      <c r="F165" s="412">
        <v>32</v>
      </c>
      <c r="G165" s="503">
        <v>0.9</v>
      </c>
      <c r="H165" s="503">
        <v>0.1</v>
      </c>
      <c r="I165" s="416">
        <f t="shared" si="232"/>
        <v>5760</v>
      </c>
      <c r="J165" s="487">
        <f t="shared" si="233"/>
        <v>640</v>
      </c>
      <c r="K165" s="487">
        <f>I165*50/100</f>
        <v>2880</v>
      </c>
      <c r="L165" s="487">
        <f>I165*50/100</f>
        <v>2880</v>
      </c>
      <c r="M165" s="487"/>
      <c r="N165" s="416">
        <v>0</v>
      </c>
      <c r="O165" s="417" t="s">
        <v>965</v>
      </c>
      <c r="Q165" s="409" t="s">
        <v>355</v>
      </c>
      <c r="R165" s="418">
        <v>5</v>
      </c>
      <c r="S165" s="411">
        <v>40</v>
      </c>
      <c r="T165" s="411">
        <v>1</v>
      </c>
      <c r="U165" s="503">
        <v>0.9</v>
      </c>
      <c r="V165" s="503">
        <v>0.1</v>
      </c>
      <c r="W165" s="506">
        <f t="shared" si="235"/>
        <v>180</v>
      </c>
      <c r="X165" s="487">
        <f t="shared" si="236"/>
        <v>20</v>
      </c>
      <c r="Y165" s="487">
        <f t="shared" si="237"/>
        <v>180</v>
      </c>
      <c r="Z165" s="487"/>
      <c r="AA165" s="487"/>
      <c r="AB165" s="416">
        <v>0</v>
      </c>
      <c r="AC165" s="417" t="s">
        <v>965</v>
      </c>
      <c r="AD165" s="227"/>
      <c r="AE165" s="241">
        <v>9</v>
      </c>
      <c r="AF165" s="204" t="str">
        <f t="shared" si="215"/>
        <v>Incitation pour les animateurs de clubs</v>
      </c>
      <c r="AG165" s="486">
        <f t="shared" si="238"/>
        <v>0.9</v>
      </c>
      <c r="AH165" s="486">
        <f t="shared" si="239"/>
        <v>0.1</v>
      </c>
      <c r="AI165" s="506">
        <f t="shared" si="240"/>
        <v>5940</v>
      </c>
      <c r="AJ165" s="506">
        <f t="shared" si="241"/>
        <v>0</v>
      </c>
      <c r="AK165" s="487">
        <f t="shared" si="242"/>
        <v>660</v>
      </c>
      <c r="AL165" s="487">
        <f t="shared" si="208"/>
        <v>6600</v>
      </c>
      <c r="AM165" s="316">
        <f t="shared" si="209"/>
        <v>5760</v>
      </c>
      <c r="AN165" s="316">
        <f t="shared" si="210"/>
        <v>0</v>
      </c>
      <c r="AO165" s="316">
        <f t="shared" si="211"/>
        <v>180</v>
      </c>
      <c r="AP165" s="316">
        <f t="shared" si="212"/>
        <v>0</v>
      </c>
      <c r="AQ165" s="186" t="s">
        <v>898</v>
      </c>
      <c r="AR165" s="169" t="s">
        <v>349</v>
      </c>
    </row>
    <row r="166" spans="1:44" s="169" customFormat="1" ht="22.4" customHeight="1" x14ac:dyDescent="0.3">
      <c r="A166" s="480" t="s">
        <v>255</v>
      </c>
      <c r="B166" s="861" t="s">
        <v>464</v>
      </c>
      <c r="C166" s="862"/>
      <c r="D166" s="862"/>
      <c r="E166" s="862"/>
      <c r="F166" s="862"/>
      <c r="G166" s="862"/>
      <c r="H166" s="863"/>
      <c r="I166" s="481">
        <f>SUM(I167:I169)</f>
        <v>50422.5</v>
      </c>
      <c r="J166" s="482">
        <f t="shared" ref="J166:N166" si="243">SUM(J167:J169)</f>
        <v>89077.5</v>
      </c>
      <c r="K166" s="482">
        <f t="shared" si="243"/>
        <v>35295.75</v>
      </c>
      <c r="L166" s="482">
        <f t="shared" si="243"/>
        <v>10084.5</v>
      </c>
      <c r="M166" s="482">
        <f t="shared" si="243"/>
        <v>5042.25</v>
      </c>
      <c r="N166" s="481">
        <f t="shared" si="243"/>
        <v>0</v>
      </c>
      <c r="O166" s="508"/>
      <c r="P166" s="168"/>
      <c r="Q166" s="538"/>
      <c r="R166" s="539"/>
      <c r="S166" s="538"/>
      <c r="T166" s="539"/>
      <c r="U166" s="539"/>
      <c r="V166" s="484"/>
      <c r="W166" s="482">
        <f t="shared" ref="W166:AB166" si="244">SUM(W167:W169)</f>
        <v>118575</v>
      </c>
      <c r="X166" s="482">
        <f t="shared" si="244"/>
        <v>20925.000000000004</v>
      </c>
      <c r="Y166" s="482">
        <f t="shared" si="244"/>
        <v>83002.5</v>
      </c>
      <c r="Z166" s="482">
        <f t="shared" si="244"/>
        <v>23715</v>
      </c>
      <c r="AA166" s="482">
        <f t="shared" si="244"/>
        <v>11857.5</v>
      </c>
      <c r="AB166" s="481">
        <f t="shared" si="244"/>
        <v>0</v>
      </c>
      <c r="AC166" s="508"/>
      <c r="AD166" s="234"/>
      <c r="AE166" s="204" t="str">
        <f>A166</f>
        <v>2.2.2</v>
      </c>
      <c r="AF166" s="204" t="str">
        <f t="shared" si="215"/>
        <v>Staff Education dans les Centres de Formation techniques</v>
      </c>
      <c r="AG166" s="485"/>
      <c r="AH166" s="485"/>
      <c r="AI166" s="482">
        <f t="shared" ref="AI166:AL166" si="245">SUM(AI167:AI169)</f>
        <v>168997.5</v>
      </c>
      <c r="AJ166" s="482">
        <f t="shared" si="245"/>
        <v>0</v>
      </c>
      <c r="AK166" s="482">
        <f t="shared" si="245"/>
        <v>110002.5</v>
      </c>
      <c r="AL166" s="482">
        <f t="shared" si="245"/>
        <v>279000</v>
      </c>
      <c r="AM166" s="314">
        <f t="shared" si="209"/>
        <v>50422.5</v>
      </c>
      <c r="AN166" s="314">
        <f t="shared" si="210"/>
        <v>0</v>
      </c>
      <c r="AO166" s="314">
        <f t="shared" si="211"/>
        <v>118575</v>
      </c>
      <c r="AP166" s="314">
        <f t="shared" si="212"/>
        <v>0</v>
      </c>
    </row>
    <row r="167" spans="1:44" s="169" customFormat="1" ht="91" x14ac:dyDescent="0.3">
      <c r="A167" s="509">
        <v>10</v>
      </c>
      <c r="B167" s="510" t="s">
        <v>966</v>
      </c>
      <c r="C167" s="409" t="s">
        <v>401</v>
      </c>
      <c r="D167" s="501">
        <v>4500</v>
      </c>
      <c r="E167" s="411">
        <v>1</v>
      </c>
      <c r="F167" s="412">
        <v>9</v>
      </c>
      <c r="G167" s="503">
        <f>I167/(I167+J167)</f>
        <v>0.249</v>
      </c>
      <c r="H167" s="503">
        <f>J167/(I167+J167)</f>
        <v>0.751</v>
      </c>
      <c r="I167" s="416">
        <f>E167*F167*1120.5</f>
        <v>10084.5</v>
      </c>
      <c r="J167" s="506">
        <f>(D167*E167*F167)-I167</f>
        <v>30415.5</v>
      </c>
      <c r="K167" s="529">
        <f>I167*70/100</f>
        <v>7059.15</v>
      </c>
      <c r="L167" s="529">
        <f>I167*20/100</f>
        <v>2016.9</v>
      </c>
      <c r="M167" s="529">
        <f>I167*10/100</f>
        <v>1008.45</v>
      </c>
      <c r="N167" s="416">
        <v>0</v>
      </c>
      <c r="O167" s="507" t="s">
        <v>967</v>
      </c>
      <c r="Q167" s="409" t="s">
        <v>401</v>
      </c>
      <c r="R167" s="501">
        <v>4500</v>
      </c>
      <c r="S167" s="411">
        <v>1</v>
      </c>
      <c r="T167" s="514">
        <v>9</v>
      </c>
      <c r="U167" s="503">
        <v>0.85</v>
      </c>
      <c r="V167" s="503">
        <f>100%-U167</f>
        <v>0.15000000000000002</v>
      </c>
      <c r="W167" s="506">
        <f>R167*S167*T167*U167</f>
        <v>34425</v>
      </c>
      <c r="X167" s="506">
        <f>R167*S167*T167*V167</f>
        <v>6075.0000000000009</v>
      </c>
      <c r="Y167" s="529">
        <f t="shared" ref="Y167:Y169" si="246">W167*70/100</f>
        <v>24097.5</v>
      </c>
      <c r="Z167" s="529">
        <f t="shared" ref="Z167:Z168" si="247">W167*20/100</f>
        <v>6885</v>
      </c>
      <c r="AA167" s="529">
        <f t="shared" ref="AA167:AA168" si="248">W167*10/100</f>
        <v>3442.5</v>
      </c>
      <c r="AB167" s="416">
        <v>0</v>
      </c>
      <c r="AC167" s="417" t="s">
        <v>967</v>
      </c>
      <c r="AD167" s="227"/>
      <c r="AE167" s="241">
        <v>10</v>
      </c>
      <c r="AF167" s="204" t="str">
        <f t="shared" si="215"/>
        <v>1 Meal  Manager (100%)</v>
      </c>
      <c r="AG167" s="486">
        <f t="shared" ref="AG167:AG193" si="249">AI167/($AI167+$AK167)</f>
        <v>0.54949999999999999</v>
      </c>
      <c r="AH167" s="486">
        <f t="shared" ref="AH167:AH193" si="250">AK167/($AI167+$AK167)</f>
        <v>0.45050000000000001</v>
      </c>
      <c r="AI167" s="487">
        <f t="shared" ref="AI167:AI193" si="251">I167+W167</f>
        <v>44509.5</v>
      </c>
      <c r="AJ167" s="487">
        <f t="shared" ref="AJ167:AJ193" si="252">N167+AB167</f>
        <v>0</v>
      </c>
      <c r="AK167" s="487">
        <f t="shared" ref="AK167:AK193" si="253">J167+X167</f>
        <v>36490.5</v>
      </c>
      <c r="AL167" s="487">
        <f t="shared" si="208"/>
        <v>81000</v>
      </c>
      <c r="AM167" s="316">
        <f t="shared" si="209"/>
        <v>10084.5</v>
      </c>
      <c r="AN167" s="316">
        <f t="shared" si="210"/>
        <v>0</v>
      </c>
      <c r="AO167" s="316">
        <f t="shared" si="211"/>
        <v>34425</v>
      </c>
      <c r="AP167" s="316">
        <f t="shared" si="212"/>
        <v>0</v>
      </c>
      <c r="AQ167" s="169" t="s">
        <v>898</v>
      </c>
      <c r="AR167" s="169" t="s">
        <v>349</v>
      </c>
    </row>
    <row r="168" spans="1:44" s="169" customFormat="1" ht="117" x14ac:dyDescent="0.3">
      <c r="A168" s="509">
        <v>11</v>
      </c>
      <c r="B168" s="510" t="s">
        <v>968</v>
      </c>
      <c r="C168" s="409" t="s">
        <v>401</v>
      </c>
      <c r="D168" s="501">
        <v>3000</v>
      </c>
      <c r="E168" s="411">
        <v>2</v>
      </c>
      <c r="F168" s="412">
        <v>9</v>
      </c>
      <c r="G168" s="503">
        <f>I168/(I168+J168)</f>
        <v>0.3735</v>
      </c>
      <c r="H168" s="503">
        <f>J168/(I168+J168)</f>
        <v>0.62649999999999995</v>
      </c>
      <c r="I168" s="416">
        <f>E168*F168*1120.5</f>
        <v>20169</v>
      </c>
      <c r="J168" s="506">
        <f>(D168*E168*F168)-I168</f>
        <v>33831</v>
      </c>
      <c r="K168" s="529">
        <f>I168*70/100</f>
        <v>14118.3</v>
      </c>
      <c r="L168" s="529">
        <f>I168*20/100</f>
        <v>4033.8</v>
      </c>
      <c r="M168" s="529">
        <f>I168*10/100</f>
        <v>2016.9</v>
      </c>
      <c r="N168" s="416">
        <v>0</v>
      </c>
      <c r="O168" s="507" t="s">
        <v>969</v>
      </c>
      <c r="Q168" s="409" t="s">
        <v>401</v>
      </c>
      <c r="R168" s="501">
        <v>3000</v>
      </c>
      <c r="S168" s="411">
        <v>2</v>
      </c>
      <c r="T168" s="514">
        <v>9</v>
      </c>
      <c r="U168" s="503">
        <v>0.85</v>
      </c>
      <c r="V168" s="503">
        <f>100%-U168</f>
        <v>0.15000000000000002</v>
      </c>
      <c r="W168" s="506">
        <f>R168*S168*T168*U168</f>
        <v>45900</v>
      </c>
      <c r="X168" s="506">
        <f>R168*S168*T168*V168</f>
        <v>8100.0000000000009</v>
      </c>
      <c r="Y168" s="529">
        <f t="shared" si="246"/>
        <v>32130</v>
      </c>
      <c r="Z168" s="529">
        <f t="shared" si="247"/>
        <v>9180</v>
      </c>
      <c r="AA168" s="529">
        <f t="shared" si="248"/>
        <v>4590</v>
      </c>
      <c r="AB168" s="416">
        <v>0</v>
      </c>
      <c r="AC168" s="417" t="s">
        <v>969</v>
      </c>
      <c r="AD168" s="227"/>
      <c r="AE168" s="241">
        <v>11</v>
      </c>
      <c r="AF168" s="204" t="str">
        <f t="shared" si="215"/>
        <v>2 MEAL Officer (100%)</v>
      </c>
      <c r="AG168" s="486">
        <f t="shared" si="249"/>
        <v>0.61175000000000002</v>
      </c>
      <c r="AH168" s="486">
        <f t="shared" si="250"/>
        <v>0.38824999999999998</v>
      </c>
      <c r="AI168" s="487">
        <f t="shared" si="251"/>
        <v>66069</v>
      </c>
      <c r="AJ168" s="487">
        <f t="shared" si="252"/>
        <v>0</v>
      </c>
      <c r="AK168" s="487">
        <f t="shared" si="253"/>
        <v>41931</v>
      </c>
      <c r="AL168" s="487">
        <f t="shared" si="208"/>
        <v>108000</v>
      </c>
      <c r="AM168" s="316">
        <f t="shared" si="209"/>
        <v>20169</v>
      </c>
      <c r="AN168" s="316">
        <f t="shared" si="210"/>
        <v>0</v>
      </c>
      <c r="AO168" s="316">
        <f t="shared" si="211"/>
        <v>45900</v>
      </c>
      <c r="AP168" s="316">
        <f t="shared" si="212"/>
        <v>0</v>
      </c>
      <c r="AQ168" s="169" t="s">
        <v>898</v>
      </c>
      <c r="AR168" s="169" t="s">
        <v>349</v>
      </c>
    </row>
    <row r="169" spans="1:44" s="186" customFormat="1" ht="51" customHeight="1" x14ac:dyDescent="0.3">
      <c r="A169" s="408">
        <v>12</v>
      </c>
      <c r="B169" s="409" t="s">
        <v>970</v>
      </c>
      <c r="C169" s="409" t="s">
        <v>401</v>
      </c>
      <c r="D169" s="410">
        <v>2500</v>
      </c>
      <c r="E169" s="411">
        <v>2</v>
      </c>
      <c r="F169" s="515">
        <v>9</v>
      </c>
      <c r="G169" s="503">
        <f>I169/(I169+J169)</f>
        <v>0.44819999999999999</v>
      </c>
      <c r="H169" s="503">
        <f>J169/(I169+J169)</f>
        <v>0.55179999999999996</v>
      </c>
      <c r="I169" s="416">
        <f>E169*F169*1120.5</f>
        <v>20169</v>
      </c>
      <c r="J169" s="506">
        <f>(D169*E169*F169)-I169</f>
        <v>24831</v>
      </c>
      <c r="K169" s="529">
        <f>I169*70/100</f>
        <v>14118.3</v>
      </c>
      <c r="L169" s="529">
        <f>I169*20/100</f>
        <v>4033.8</v>
      </c>
      <c r="M169" s="529">
        <f>I169*10/100</f>
        <v>2016.9</v>
      </c>
      <c r="N169" s="416">
        <v>0</v>
      </c>
      <c r="O169" s="417" t="s">
        <v>971</v>
      </c>
      <c r="Q169" s="409" t="s">
        <v>401</v>
      </c>
      <c r="R169" s="418">
        <v>2500</v>
      </c>
      <c r="S169" s="411">
        <v>2</v>
      </c>
      <c r="T169" s="515">
        <v>9</v>
      </c>
      <c r="U169" s="503">
        <v>0.85</v>
      </c>
      <c r="V169" s="503">
        <f>100%-U169</f>
        <v>0.15000000000000002</v>
      </c>
      <c r="W169" s="506">
        <f>R169*S169*T169*U169</f>
        <v>38250</v>
      </c>
      <c r="X169" s="506">
        <f>R169*S169*T169*V169</f>
        <v>6750.0000000000009</v>
      </c>
      <c r="Y169" s="529">
        <f t="shared" si="246"/>
        <v>26775</v>
      </c>
      <c r="Z169" s="529">
        <f t="shared" ref="Z169" si="254">W169*20/100</f>
        <v>7650</v>
      </c>
      <c r="AA169" s="529">
        <f t="shared" ref="AA169" si="255">W169*10/100</f>
        <v>3825</v>
      </c>
      <c r="AB169" s="416">
        <v>0</v>
      </c>
      <c r="AC169" s="417" t="s">
        <v>972</v>
      </c>
      <c r="AD169" s="227"/>
      <c r="AE169" s="241">
        <v>12</v>
      </c>
      <c r="AF169" s="204" t="str">
        <f t="shared" si="215"/>
        <v>2 Food security and livelihoods coordinators (100%)</v>
      </c>
      <c r="AG169" s="486">
        <f t="shared" si="249"/>
        <v>0.64910000000000001</v>
      </c>
      <c r="AH169" s="486">
        <f t="shared" si="250"/>
        <v>0.35089999999999999</v>
      </c>
      <c r="AI169" s="487">
        <f t="shared" si="251"/>
        <v>58419</v>
      </c>
      <c r="AJ169" s="487">
        <f t="shared" si="252"/>
        <v>0</v>
      </c>
      <c r="AK169" s="487">
        <f t="shared" si="253"/>
        <v>31581</v>
      </c>
      <c r="AL169" s="487">
        <f t="shared" si="208"/>
        <v>90000</v>
      </c>
      <c r="AM169" s="316">
        <f t="shared" si="209"/>
        <v>20169</v>
      </c>
      <c r="AN169" s="316">
        <f t="shared" si="210"/>
        <v>0</v>
      </c>
      <c r="AO169" s="316">
        <f t="shared" si="211"/>
        <v>38250</v>
      </c>
      <c r="AP169" s="316">
        <f t="shared" si="212"/>
        <v>0</v>
      </c>
      <c r="AQ169" s="186" t="s">
        <v>898</v>
      </c>
      <c r="AR169" s="169" t="s">
        <v>349</v>
      </c>
    </row>
    <row r="170" spans="1:44" s="181" customFormat="1" ht="24.75" customHeight="1" x14ac:dyDescent="0.3">
      <c r="A170" s="533" t="s">
        <v>256</v>
      </c>
      <c r="B170" s="474" t="s">
        <v>467</v>
      </c>
      <c r="C170" s="473"/>
      <c r="D170" s="475"/>
      <c r="E170" s="476"/>
      <c r="F170" s="476"/>
      <c r="G170" s="477"/>
      <c r="H170" s="477"/>
      <c r="I170" s="478">
        <f>I171+I175+I190+I198+I205+I209+I215+I229+I231+I236+I239</f>
        <v>771375.88500000001</v>
      </c>
      <c r="J170" s="534">
        <f t="shared" ref="J170:N170" si="256">J171+J175+J190+J198+J205+J209+J215+J229+J231+J236+J239</f>
        <v>10468.825000000001</v>
      </c>
      <c r="K170" s="534">
        <f t="shared" si="256"/>
        <v>490317.38609090907</v>
      </c>
      <c r="L170" s="534">
        <f t="shared" si="256"/>
        <v>173956.7910909091</v>
      </c>
      <c r="M170" s="534">
        <f t="shared" si="256"/>
        <v>107101.70781818181</v>
      </c>
      <c r="N170" s="478">
        <f t="shared" si="256"/>
        <v>109227.51999999999</v>
      </c>
      <c r="O170" s="479"/>
      <c r="Q170" s="473"/>
      <c r="R170" s="475"/>
      <c r="S170" s="476"/>
      <c r="T170" s="476"/>
      <c r="U170" s="477"/>
      <c r="V170" s="477"/>
      <c r="W170" s="534">
        <f t="shared" ref="W170:Y170" si="257">W171+W175+W190+W198+W205+W209+W215+W229+W231+W236+W239</f>
        <v>547511.67500000005</v>
      </c>
      <c r="X170" s="534">
        <f t="shared" si="257"/>
        <v>9387.5250000000015</v>
      </c>
      <c r="Y170" s="534">
        <f t="shared" si="257"/>
        <v>340381.19500000001</v>
      </c>
      <c r="Z170" s="534">
        <f t="shared" ref="Z170:AB170" si="258">Z171+Z175+Z190+Z198+Z205+Z209+Z215+Z229+Z231+Z236+Z239</f>
        <v>121724.505</v>
      </c>
      <c r="AA170" s="534">
        <f t="shared" si="258"/>
        <v>85405.975000000006</v>
      </c>
      <c r="AB170" s="478">
        <f t="shared" si="258"/>
        <v>76109.320000000007</v>
      </c>
      <c r="AC170" s="479"/>
      <c r="AD170" s="232"/>
      <c r="AE170" s="338" t="s">
        <v>256</v>
      </c>
      <c r="AF170" s="245" t="str">
        <f t="shared" si="215"/>
        <v>FORMATIONS SANITAIRES (FOSA)</v>
      </c>
      <c r="AG170" s="477">
        <f t="shared" si="249"/>
        <v>0.98516792505894568</v>
      </c>
      <c r="AH170" s="477">
        <f t="shared" si="250"/>
        <v>1.4832074941054259E-2</v>
      </c>
      <c r="AI170" s="534">
        <f t="shared" si="251"/>
        <v>1318887.56</v>
      </c>
      <c r="AJ170" s="534">
        <f t="shared" si="252"/>
        <v>185336.84</v>
      </c>
      <c r="AK170" s="534">
        <f t="shared" si="253"/>
        <v>19856.350000000002</v>
      </c>
      <c r="AL170" s="534">
        <f t="shared" si="208"/>
        <v>1524080.7500000002</v>
      </c>
      <c r="AM170" s="321">
        <f t="shared" si="209"/>
        <v>771375.88500000001</v>
      </c>
      <c r="AN170" s="321">
        <f t="shared" si="210"/>
        <v>109227.51999999999</v>
      </c>
      <c r="AO170" s="321">
        <f t="shared" si="211"/>
        <v>547511.67500000005</v>
      </c>
      <c r="AP170" s="321">
        <f t="shared" si="212"/>
        <v>76109.320000000007</v>
      </c>
    </row>
    <row r="171" spans="1:44" ht="18.75" customHeight="1" x14ac:dyDescent="0.3">
      <c r="A171" s="480" t="s">
        <v>257</v>
      </c>
      <c r="B171" s="861" t="s">
        <v>309</v>
      </c>
      <c r="C171" s="862"/>
      <c r="D171" s="862"/>
      <c r="E171" s="862"/>
      <c r="F171" s="862"/>
      <c r="G171" s="862"/>
      <c r="H171" s="863"/>
      <c r="I171" s="481">
        <f>SUM(I172:I174)</f>
        <v>104658</v>
      </c>
      <c r="J171" s="482">
        <f>SUM(J172:J174)</f>
        <v>3682</v>
      </c>
      <c r="K171" s="482">
        <f t="shared" ref="K171:M171" si="259">SUM(K172:K174)</f>
        <v>38057.454545454544</v>
      </c>
      <c r="L171" s="482">
        <f t="shared" si="259"/>
        <v>38057.454545454544</v>
      </c>
      <c r="M171" s="482">
        <f t="shared" si="259"/>
        <v>28543.090909090908</v>
      </c>
      <c r="N171" s="481">
        <f>SUM(N172:N174)</f>
        <v>0</v>
      </c>
      <c r="O171" s="508"/>
      <c r="Q171" s="538"/>
      <c r="R171" s="539"/>
      <c r="S171" s="538"/>
      <c r="T171" s="539"/>
      <c r="U171" s="539"/>
      <c r="V171" s="484"/>
      <c r="W171" s="482">
        <f>SUM(W172:W174)</f>
        <v>59403.3</v>
      </c>
      <c r="X171" s="482">
        <f>SUM(X172:X174)</f>
        <v>2570.6999999999998</v>
      </c>
      <c r="Y171" s="482">
        <f>SUM(Y172:Y174)</f>
        <v>19801.099999999999</v>
      </c>
      <c r="Z171" s="482">
        <f t="shared" ref="Z171:AA171" si="260">SUM(Z172:Z174)</f>
        <v>19801.099999999999</v>
      </c>
      <c r="AA171" s="482">
        <f t="shared" si="260"/>
        <v>19801.099999999999</v>
      </c>
      <c r="AB171" s="481">
        <f>SUM(AB172:AB174)</f>
        <v>0</v>
      </c>
      <c r="AC171" s="508"/>
      <c r="AD171" s="234"/>
      <c r="AE171" s="247" t="s">
        <v>257</v>
      </c>
      <c r="AF171" s="204" t="str">
        <f t="shared" si="215"/>
        <v>Organiser chaque mois dans chaque aire de santé la Consultation préscolaire (CPS) en stratégie fixe et avancée (au niveau des centres de santé)</v>
      </c>
      <c r="AG171" s="485">
        <f t="shared" si="249"/>
        <v>0.96328722242446296</v>
      </c>
      <c r="AH171" s="485">
        <f t="shared" si="250"/>
        <v>3.6712777575536946E-2</v>
      </c>
      <c r="AI171" s="482">
        <f t="shared" si="251"/>
        <v>164061.29999999999</v>
      </c>
      <c r="AJ171" s="482">
        <f t="shared" si="252"/>
        <v>0</v>
      </c>
      <c r="AK171" s="482">
        <f t="shared" si="253"/>
        <v>6252.7</v>
      </c>
      <c r="AL171" s="482">
        <f t="shared" si="208"/>
        <v>170314</v>
      </c>
      <c r="AM171" s="314">
        <f t="shared" si="209"/>
        <v>104658</v>
      </c>
      <c r="AN171" s="314">
        <f t="shared" si="210"/>
        <v>0</v>
      </c>
      <c r="AO171" s="314">
        <f t="shared" si="211"/>
        <v>59403.3</v>
      </c>
      <c r="AP171" s="314">
        <f t="shared" si="212"/>
        <v>0</v>
      </c>
    </row>
    <row r="172" spans="1:44" s="169" customFormat="1" ht="26" x14ac:dyDescent="0.3">
      <c r="A172" s="509">
        <v>1</v>
      </c>
      <c r="B172" s="510" t="s">
        <v>973</v>
      </c>
      <c r="C172" s="409" t="s">
        <v>974</v>
      </c>
      <c r="D172" s="410">
        <v>3576</v>
      </c>
      <c r="E172" s="411">
        <v>20</v>
      </c>
      <c r="F172" s="512">
        <v>1</v>
      </c>
      <c r="G172" s="486">
        <v>1</v>
      </c>
      <c r="H172" s="486">
        <v>0</v>
      </c>
      <c r="I172" s="416">
        <f t="shared" ref="I172:I174" si="261">D172*E172*F172*G172</f>
        <v>71520</v>
      </c>
      <c r="J172" s="487">
        <f>D172*E172*F172*H172</f>
        <v>0</v>
      </c>
      <c r="K172" s="513">
        <f>I172*4/11</f>
        <v>26007.272727272728</v>
      </c>
      <c r="L172" s="513">
        <f>I172*4/11</f>
        <v>26007.272727272728</v>
      </c>
      <c r="M172" s="513">
        <f>I172*3/11</f>
        <v>19505.454545454544</v>
      </c>
      <c r="N172" s="416">
        <v>0</v>
      </c>
      <c r="O172" s="507" t="s">
        <v>975</v>
      </c>
      <c r="Q172" s="409" t="s">
        <v>974</v>
      </c>
      <c r="R172" s="516">
        <v>3576</v>
      </c>
      <c r="S172" s="411">
        <v>11</v>
      </c>
      <c r="T172" s="514">
        <v>1</v>
      </c>
      <c r="U172" s="486">
        <v>1</v>
      </c>
      <c r="V172" s="486">
        <v>0</v>
      </c>
      <c r="W172" s="506">
        <f t="shared" ref="W172:W174" si="262">R172*S172*T172*U172</f>
        <v>39336</v>
      </c>
      <c r="X172" s="487">
        <f t="shared" ref="X172:X174" si="263">R172*S172*T172*V172</f>
        <v>0</v>
      </c>
      <c r="Y172" s="513">
        <f>W172*3/9</f>
        <v>13112</v>
      </c>
      <c r="Z172" s="513">
        <f>W172*3/9</f>
        <v>13112</v>
      </c>
      <c r="AA172" s="513">
        <f>W172*3/9</f>
        <v>13112</v>
      </c>
      <c r="AB172" s="416">
        <v>0</v>
      </c>
      <c r="AC172" s="417" t="s">
        <v>975</v>
      </c>
      <c r="AD172" s="227"/>
      <c r="AE172" s="241">
        <v>1</v>
      </c>
      <c r="AF172" s="204" t="str">
        <f t="shared" si="215"/>
        <v>Reprographie des imprimés CPS ( fiches CPS filles et Garcons, rigistre CPS,   etc)</v>
      </c>
      <c r="AG172" s="486"/>
      <c r="AH172" s="486"/>
      <c r="AI172" s="506">
        <f t="shared" si="251"/>
        <v>110856</v>
      </c>
      <c r="AJ172" s="506">
        <f t="shared" si="252"/>
        <v>0</v>
      </c>
      <c r="AK172" s="487">
        <f t="shared" si="253"/>
        <v>0</v>
      </c>
      <c r="AL172" s="487">
        <f t="shared" si="208"/>
        <v>110856</v>
      </c>
      <c r="AM172" s="316">
        <f t="shared" si="209"/>
        <v>71520</v>
      </c>
      <c r="AN172" s="316">
        <f t="shared" si="210"/>
        <v>0</v>
      </c>
      <c r="AO172" s="316">
        <f t="shared" si="211"/>
        <v>39336</v>
      </c>
      <c r="AP172" s="316">
        <f t="shared" si="212"/>
        <v>0</v>
      </c>
      <c r="AQ172" s="169" t="s">
        <v>898</v>
      </c>
      <c r="AR172" s="169" t="s">
        <v>420</v>
      </c>
    </row>
    <row r="173" spans="1:44" s="186" customFormat="1" ht="26" x14ac:dyDescent="0.3">
      <c r="A173" s="408">
        <v>2</v>
      </c>
      <c r="B173" s="409" t="s">
        <v>976</v>
      </c>
      <c r="C173" s="409" t="s">
        <v>468</v>
      </c>
      <c r="D173" s="410">
        <v>1500</v>
      </c>
      <c r="E173" s="411">
        <v>20</v>
      </c>
      <c r="F173" s="412">
        <v>1</v>
      </c>
      <c r="G173" s="503">
        <v>0.9</v>
      </c>
      <c r="H173" s="503">
        <v>0.1</v>
      </c>
      <c r="I173" s="416">
        <f t="shared" si="261"/>
        <v>27000</v>
      </c>
      <c r="J173" s="487">
        <f>D173*E173*F173*H173</f>
        <v>3000</v>
      </c>
      <c r="K173" s="513">
        <f>I173*4/11</f>
        <v>9818.181818181818</v>
      </c>
      <c r="L173" s="513">
        <f>I173*4/11</f>
        <v>9818.181818181818</v>
      </c>
      <c r="M173" s="513">
        <f>I173*3/11</f>
        <v>7363.636363636364</v>
      </c>
      <c r="N173" s="416">
        <v>0</v>
      </c>
      <c r="O173" s="417" t="s">
        <v>977</v>
      </c>
      <c r="Q173" s="409" t="s">
        <v>468</v>
      </c>
      <c r="R173" s="418">
        <v>1500</v>
      </c>
      <c r="S173" s="411">
        <v>11</v>
      </c>
      <c r="T173" s="411">
        <v>1</v>
      </c>
      <c r="U173" s="503">
        <v>0.9</v>
      </c>
      <c r="V173" s="503">
        <v>0.1</v>
      </c>
      <c r="W173" s="506">
        <f t="shared" si="262"/>
        <v>14850</v>
      </c>
      <c r="X173" s="487">
        <f t="shared" si="263"/>
        <v>1650</v>
      </c>
      <c r="Y173" s="513">
        <f t="shared" ref="Y173:Y174" si="264">W173*3/9</f>
        <v>4950</v>
      </c>
      <c r="Z173" s="513">
        <f t="shared" ref="Z173:Z174" si="265">W173*3/9</f>
        <v>4950</v>
      </c>
      <c r="AA173" s="513">
        <f t="shared" ref="AA173:AA174" si="266">W173*3/9</f>
        <v>4950</v>
      </c>
      <c r="AB173" s="416">
        <v>0</v>
      </c>
      <c r="AC173" s="417" t="s">
        <v>977</v>
      </c>
      <c r="AD173" s="227"/>
      <c r="AE173" s="241">
        <v>2</v>
      </c>
      <c r="AF173" s="204" t="str">
        <f t="shared" si="215"/>
        <v>Achat motos</v>
      </c>
      <c r="AG173" s="486">
        <f t="shared" si="249"/>
        <v>0.9</v>
      </c>
      <c r="AH173" s="486">
        <f t="shared" si="250"/>
        <v>0.1</v>
      </c>
      <c r="AI173" s="506">
        <f t="shared" si="251"/>
        <v>41850</v>
      </c>
      <c r="AJ173" s="506">
        <f t="shared" si="252"/>
        <v>0</v>
      </c>
      <c r="AK173" s="487">
        <f t="shared" si="253"/>
        <v>4650</v>
      </c>
      <c r="AL173" s="487">
        <f t="shared" si="208"/>
        <v>46500</v>
      </c>
      <c r="AM173" s="316">
        <f t="shared" si="209"/>
        <v>27000</v>
      </c>
      <c r="AN173" s="316">
        <f t="shared" si="210"/>
        <v>0</v>
      </c>
      <c r="AO173" s="316">
        <f t="shared" si="211"/>
        <v>14850</v>
      </c>
      <c r="AP173" s="316">
        <f t="shared" si="212"/>
        <v>0</v>
      </c>
      <c r="AQ173" s="186" t="s">
        <v>898</v>
      </c>
      <c r="AR173" s="169" t="s">
        <v>420</v>
      </c>
    </row>
    <row r="174" spans="1:44" s="169" customFormat="1" x14ac:dyDescent="0.3">
      <c r="A174" s="509">
        <v>3</v>
      </c>
      <c r="B174" s="510" t="s">
        <v>978</v>
      </c>
      <c r="C174" s="409" t="s">
        <v>469</v>
      </c>
      <c r="D174" s="410">
        <v>1.1000000000000001</v>
      </c>
      <c r="E174" s="411">
        <v>31</v>
      </c>
      <c r="F174" s="512">
        <v>200</v>
      </c>
      <c r="G174" s="503">
        <v>0.9</v>
      </c>
      <c r="H174" s="503">
        <v>0.1</v>
      </c>
      <c r="I174" s="416">
        <f t="shared" si="261"/>
        <v>6138</v>
      </c>
      <c r="J174" s="487">
        <f>D174*E174*F174*H174</f>
        <v>682</v>
      </c>
      <c r="K174" s="513">
        <f>I174*4/11</f>
        <v>2232</v>
      </c>
      <c r="L174" s="513">
        <f>I174*4/11</f>
        <v>2232</v>
      </c>
      <c r="M174" s="513">
        <f>I174*3/11</f>
        <v>1674</v>
      </c>
      <c r="N174" s="416">
        <v>0</v>
      </c>
      <c r="O174" s="507" t="s">
        <v>979</v>
      </c>
      <c r="Q174" s="409" t="s">
        <v>469</v>
      </c>
      <c r="R174" s="516">
        <v>1.1000000000000001</v>
      </c>
      <c r="S174" s="411">
        <v>31</v>
      </c>
      <c r="T174" s="514">
        <v>180</v>
      </c>
      <c r="U174" s="486">
        <v>0.85</v>
      </c>
      <c r="V174" s="486">
        <v>0.15</v>
      </c>
      <c r="W174" s="506">
        <f t="shared" si="262"/>
        <v>5217.3</v>
      </c>
      <c r="X174" s="487">
        <f t="shared" si="263"/>
        <v>920.69999999999993</v>
      </c>
      <c r="Y174" s="513">
        <f t="shared" si="264"/>
        <v>1739.1000000000001</v>
      </c>
      <c r="Z174" s="513">
        <f t="shared" si="265"/>
        <v>1739.1000000000001</v>
      </c>
      <c r="AA174" s="513">
        <f t="shared" si="266"/>
        <v>1739.1000000000001</v>
      </c>
      <c r="AB174" s="416">
        <v>0</v>
      </c>
      <c r="AC174" s="417" t="s">
        <v>979</v>
      </c>
      <c r="AD174" s="227"/>
      <c r="AE174" s="241">
        <v>3</v>
      </c>
      <c r="AF174" s="204" t="str">
        <f t="shared" si="215"/>
        <v>Achat Carburant 20 litres /mois/CS pdt 10 mois</v>
      </c>
      <c r="AG174" s="486">
        <f t="shared" si="249"/>
        <v>0.87631578947368416</v>
      </c>
      <c r="AH174" s="486">
        <f t="shared" si="250"/>
        <v>0.12368421052631577</v>
      </c>
      <c r="AI174" s="506">
        <f t="shared" si="251"/>
        <v>11355.3</v>
      </c>
      <c r="AJ174" s="506">
        <f t="shared" si="252"/>
        <v>0</v>
      </c>
      <c r="AK174" s="487">
        <f t="shared" si="253"/>
        <v>1602.6999999999998</v>
      </c>
      <c r="AL174" s="487">
        <f t="shared" si="208"/>
        <v>12958</v>
      </c>
      <c r="AM174" s="316">
        <f t="shared" si="209"/>
        <v>6138</v>
      </c>
      <c r="AN174" s="316">
        <f t="shared" si="210"/>
        <v>0</v>
      </c>
      <c r="AO174" s="316">
        <f t="shared" si="211"/>
        <v>5217.3</v>
      </c>
      <c r="AP174" s="316">
        <f t="shared" si="212"/>
        <v>0</v>
      </c>
      <c r="AQ174" s="169" t="s">
        <v>898</v>
      </c>
      <c r="AR174" s="169" t="s">
        <v>420</v>
      </c>
    </row>
    <row r="175" spans="1:44" ht="16.5" customHeight="1" x14ac:dyDescent="0.3">
      <c r="A175" s="480" t="s">
        <v>258</v>
      </c>
      <c r="B175" s="861" t="s">
        <v>310</v>
      </c>
      <c r="C175" s="862"/>
      <c r="D175" s="862"/>
      <c r="E175" s="862"/>
      <c r="F175" s="862"/>
      <c r="G175" s="862"/>
      <c r="H175" s="863"/>
      <c r="I175" s="481">
        <f t="shared" ref="I175:N175" si="267">SUM(I176:I189)</f>
        <v>0</v>
      </c>
      <c r="J175" s="482">
        <f t="shared" si="267"/>
        <v>0</v>
      </c>
      <c r="K175" s="482">
        <f t="shared" si="267"/>
        <v>0</v>
      </c>
      <c r="L175" s="482">
        <f t="shared" si="267"/>
        <v>0</v>
      </c>
      <c r="M175" s="482">
        <f t="shared" si="267"/>
        <v>0</v>
      </c>
      <c r="N175" s="481">
        <f t="shared" si="267"/>
        <v>109227.51999999999</v>
      </c>
      <c r="O175" s="508"/>
      <c r="Q175" s="538"/>
      <c r="R175" s="539"/>
      <c r="S175" s="538"/>
      <c r="T175" s="539"/>
      <c r="U175" s="539"/>
      <c r="V175" s="484"/>
      <c r="W175" s="482">
        <f t="shared" ref="W175:Y175" si="268">SUM(W176:W189)</f>
        <v>0</v>
      </c>
      <c r="X175" s="482">
        <f t="shared" si="268"/>
        <v>0</v>
      </c>
      <c r="Y175" s="482">
        <f t="shared" si="268"/>
        <v>0</v>
      </c>
      <c r="Z175" s="482">
        <f t="shared" ref="Z175:AB175" si="269">SUM(Z176:Z189)</f>
        <v>0</v>
      </c>
      <c r="AA175" s="482">
        <f t="shared" si="269"/>
        <v>0</v>
      </c>
      <c r="AB175" s="481">
        <f t="shared" si="269"/>
        <v>76109.320000000007</v>
      </c>
      <c r="AC175" s="508"/>
      <c r="AD175" s="234"/>
      <c r="AE175" s="247" t="s">
        <v>258</v>
      </c>
      <c r="AF175" s="204" t="str">
        <f t="shared" si="215"/>
        <v>Fournir les intrants et matériels pour la prise en charge de la malnutrition aigüe sévère (au niveau des centres de santé)</v>
      </c>
      <c r="AG175" s="485"/>
      <c r="AH175" s="485"/>
      <c r="AI175" s="482">
        <f t="shared" si="251"/>
        <v>0</v>
      </c>
      <c r="AJ175" s="482">
        <f t="shared" si="252"/>
        <v>185336.84</v>
      </c>
      <c r="AK175" s="482">
        <f t="shared" si="253"/>
        <v>0</v>
      </c>
      <c r="AL175" s="482">
        <f>AI175+AJ175+AK175</f>
        <v>185336.84</v>
      </c>
      <c r="AM175" s="314">
        <f t="shared" si="209"/>
        <v>0</v>
      </c>
      <c r="AN175" s="314">
        <f t="shared" si="210"/>
        <v>109227.51999999999</v>
      </c>
      <c r="AO175" s="314">
        <f t="shared" si="211"/>
        <v>0</v>
      </c>
      <c r="AP175" s="314">
        <f t="shared" si="212"/>
        <v>76109.320000000007</v>
      </c>
    </row>
    <row r="176" spans="1:44" s="169" customFormat="1" x14ac:dyDescent="0.3">
      <c r="A176" s="509">
        <v>1</v>
      </c>
      <c r="B176" s="510" t="s">
        <v>980</v>
      </c>
      <c r="C176" s="409" t="s">
        <v>480</v>
      </c>
      <c r="D176" s="536">
        <v>11.54</v>
      </c>
      <c r="E176" s="411">
        <v>66</v>
      </c>
      <c r="F176" s="512">
        <v>1</v>
      </c>
      <c r="G176" s="486">
        <v>1</v>
      </c>
      <c r="H176" s="486">
        <v>0</v>
      </c>
      <c r="I176" s="416">
        <v>0</v>
      </c>
      <c r="J176" s="487">
        <f t="shared" ref="J176:J189" si="270">D176*E176*F176*H176</f>
        <v>0</v>
      </c>
      <c r="K176" s="513">
        <f>I176*4/11</f>
        <v>0</v>
      </c>
      <c r="L176" s="513">
        <f>I176*4/11</f>
        <v>0</v>
      </c>
      <c r="M176" s="513">
        <f>I176*3/11</f>
        <v>0</v>
      </c>
      <c r="N176" s="416">
        <f>D176*E176*F176*G176</f>
        <v>761.64</v>
      </c>
      <c r="O176" s="507" t="s">
        <v>981</v>
      </c>
      <c r="Q176" s="409" t="s">
        <v>480</v>
      </c>
      <c r="R176" s="516">
        <v>11.54</v>
      </c>
      <c r="S176" s="411">
        <v>66</v>
      </c>
      <c r="T176" s="514">
        <v>0</v>
      </c>
      <c r="U176" s="486">
        <v>0.85</v>
      </c>
      <c r="V176" s="486">
        <v>0.15</v>
      </c>
      <c r="W176" s="506">
        <f t="shared" ref="W176:W178" si="271">R176*S176*T176*U176</f>
        <v>0</v>
      </c>
      <c r="X176" s="487">
        <f>R176*S176*T176*V176</f>
        <v>0</v>
      </c>
      <c r="Y176" s="513">
        <f t="shared" ref="Y176:Y178" si="272">W176</f>
        <v>0</v>
      </c>
      <c r="Z176" s="513"/>
      <c r="AA176" s="513"/>
      <c r="AB176" s="416">
        <f>R176*S176*T176*U176</f>
        <v>0</v>
      </c>
      <c r="AC176" s="417" t="s">
        <v>981</v>
      </c>
      <c r="AD176" s="227"/>
      <c r="AE176" s="241">
        <v>1</v>
      </c>
      <c r="AF176" s="204" t="str">
        <f t="shared" si="215"/>
        <v>Balance salter 25 Kg</v>
      </c>
      <c r="AG176" s="486"/>
      <c r="AH176" s="486"/>
      <c r="AI176" s="506">
        <f t="shared" si="251"/>
        <v>0</v>
      </c>
      <c r="AJ176" s="506">
        <f t="shared" si="252"/>
        <v>761.64</v>
      </c>
      <c r="AK176" s="487">
        <f t="shared" si="253"/>
        <v>0</v>
      </c>
      <c r="AL176" s="487">
        <f t="shared" si="208"/>
        <v>761.64</v>
      </c>
      <c r="AM176" s="316">
        <f t="shared" si="209"/>
        <v>0</v>
      </c>
      <c r="AN176" s="316">
        <f t="shared" si="210"/>
        <v>761.64</v>
      </c>
      <c r="AO176" s="316">
        <f t="shared" si="211"/>
        <v>0</v>
      </c>
      <c r="AP176" s="316">
        <f t="shared" si="212"/>
        <v>0</v>
      </c>
      <c r="AQ176" s="169" t="s">
        <v>898</v>
      </c>
      <c r="AR176" s="169" t="s">
        <v>420</v>
      </c>
    </row>
    <row r="177" spans="1:44" s="169" customFormat="1" x14ac:dyDescent="0.3">
      <c r="A177" s="509">
        <v>2</v>
      </c>
      <c r="B177" s="510" t="s">
        <v>982</v>
      </c>
      <c r="C177" s="409" t="s">
        <v>480</v>
      </c>
      <c r="D177" s="536">
        <v>105.34</v>
      </c>
      <c r="E177" s="411">
        <v>66</v>
      </c>
      <c r="F177" s="512">
        <v>1</v>
      </c>
      <c r="G177" s="486">
        <v>1</v>
      </c>
      <c r="H177" s="486">
        <v>0</v>
      </c>
      <c r="I177" s="416">
        <v>0</v>
      </c>
      <c r="J177" s="487">
        <f t="shared" si="270"/>
        <v>0</v>
      </c>
      <c r="K177" s="513">
        <f t="shared" ref="K177:K189" si="273">I177*4/11</f>
        <v>0</v>
      </c>
      <c r="L177" s="513">
        <f t="shared" ref="L177:L189" si="274">I177*4/11</f>
        <v>0</v>
      </c>
      <c r="M177" s="513">
        <f t="shared" ref="M177:M189" si="275">I177*3/11</f>
        <v>0</v>
      </c>
      <c r="N177" s="416">
        <f t="shared" ref="N177:N189" si="276">D177*E177*F177*G177</f>
        <v>6952.4400000000005</v>
      </c>
      <c r="O177" s="507" t="s">
        <v>981</v>
      </c>
      <c r="Q177" s="409" t="s">
        <v>480</v>
      </c>
      <c r="R177" s="516">
        <v>105.34</v>
      </c>
      <c r="S177" s="411">
        <v>66</v>
      </c>
      <c r="T177" s="514">
        <v>0</v>
      </c>
      <c r="U177" s="486">
        <v>0.85</v>
      </c>
      <c r="V177" s="486">
        <v>0.15</v>
      </c>
      <c r="W177" s="506">
        <f t="shared" si="271"/>
        <v>0</v>
      </c>
      <c r="X177" s="487">
        <f t="shared" ref="X177:X189" si="277">R177*S177*T177*V177</f>
        <v>0</v>
      </c>
      <c r="Y177" s="513">
        <f t="shared" si="272"/>
        <v>0</v>
      </c>
      <c r="Z177" s="513"/>
      <c r="AA177" s="513"/>
      <c r="AB177" s="416">
        <f t="shared" ref="AB177:AB189" si="278">R177*S177*T177*U177</f>
        <v>0</v>
      </c>
      <c r="AC177" s="417" t="s">
        <v>981</v>
      </c>
      <c r="AD177" s="227"/>
      <c r="AE177" s="241">
        <v>2</v>
      </c>
      <c r="AF177" s="204" t="str">
        <f t="shared" si="215"/>
        <v>Balance Seca double pesée</v>
      </c>
      <c r="AG177" s="486"/>
      <c r="AH177" s="486"/>
      <c r="AI177" s="506">
        <f t="shared" si="251"/>
        <v>0</v>
      </c>
      <c r="AJ177" s="506">
        <f t="shared" si="252"/>
        <v>6952.4400000000005</v>
      </c>
      <c r="AK177" s="487">
        <f t="shared" si="253"/>
        <v>0</v>
      </c>
      <c r="AL177" s="487">
        <f t="shared" si="208"/>
        <v>6952.4400000000005</v>
      </c>
      <c r="AM177" s="316">
        <f t="shared" si="209"/>
        <v>0</v>
      </c>
      <c r="AN177" s="316">
        <f t="shared" si="210"/>
        <v>6952.4400000000005</v>
      </c>
      <c r="AO177" s="316">
        <f t="shared" si="211"/>
        <v>0</v>
      </c>
      <c r="AP177" s="316">
        <f t="shared" si="212"/>
        <v>0</v>
      </c>
      <c r="AQ177" s="169" t="s">
        <v>898</v>
      </c>
      <c r="AR177" s="169" t="s">
        <v>420</v>
      </c>
    </row>
    <row r="178" spans="1:44" s="169" customFormat="1" x14ac:dyDescent="0.3">
      <c r="A178" s="509">
        <v>3</v>
      </c>
      <c r="B178" s="510" t="s">
        <v>983</v>
      </c>
      <c r="C178" s="409" t="s">
        <v>480</v>
      </c>
      <c r="D178" s="536">
        <v>183.98</v>
      </c>
      <c r="E178" s="411">
        <v>66</v>
      </c>
      <c r="F178" s="512">
        <v>1</v>
      </c>
      <c r="G178" s="486">
        <v>1</v>
      </c>
      <c r="H178" s="486">
        <v>0</v>
      </c>
      <c r="I178" s="416">
        <v>0</v>
      </c>
      <c r="J178" s="487">
        <f t="shared" si="270"/>
        <v>0</v>
      </c>
      <c r="K178" s="513">
        <f t="shared" si="273"/>
        <v>0</v>
      </c>
      <c r="L178" s="513">
        <f t="shared" si="274"/>
        <v>0</v>
      </c>
      <c r="M178" s="513">
        <f t="shared" si="275"/>
        <v>0</v>
      </c>
      <c r="N178" s="416">
        <f t="shared" si="276"/>
        <v>12142.679999999998</v>
      </c>
      <c r="O178" s="507" t="s">
        <v>981</v>
      </c>
      <c r="Q178" s="409" t="s">
        <v>480</v>
      </c>
      <c r="R178" s="516">
        <v>183.98</v>
      </c>
      <c r="S178" s="411">
        <v>66</v>
      </c>
      <c r="T178" s="514">
        <v>0</v>
      </c>
      <c r="U178" s="486">
        <v>0.85</v>
      </c>
      <c r="V178" s="486">
        <v>0.15</v>
      </c>
      <c r="W178" s="506">
        <f t="shared" si="271"/>
        <v>0</v>
      </c>
      <c r="X178" s="487">
        <f t="shared" si="277"/>
        <v>0</v>
      </c>
      <c r="Y178" s="513">
        <f t="shared" si="272"/>
        <v>0</v>
      </c>
      <c r="Z178" s="513"/>
      <c r="AA178" s="513"/>
      <c r="AB178" s="416">
        <f t="shared" si="278"/>
        <v>0</v>
      </c>
      <c r="AC178" s="417" t="s">
        <v>981</v>
      </c>
      <c r="AD178" s="227"/>
      <c r="AE178" s="241">
        <v>3</v>
      </c>
      <c r="AF178" s="204" t="str">
        <f t="shared" si="215"/>
        <v>Toise en bois</v>
      </c>
      <c r="AG178" s="486"/>
      <c r="AH178" s="486"/>
      <c r="AI178" s="506">
        <f t="shared" si="251"/>
        <v>0</v>
      </c>
      <c r="AJ178" s="506">
        <f t="shared" si="252"/>
        <v>12142.679999999998</v>
      </c>
      <c r="AK178" s="487">
        <f t="shared" si="253"/>
        <v>0</v>
      </c>
      <c r="AL178" s="487">
        <f t="shared" si="208"/>
        <v>12142.679999999998</v>
      </c>
      <c r="AM178" s="316">
        <f t="shared" si="209"/>
        <v>0</v>
      </c>
      <c r="AN178" s="316">
        <f t="shared" si="210"/>
        <v>12142.679999999998</v>
      </c>
      <c r="AO178" s="316">
        <f t="shared" si="211"/>
        <v>0</v>
      </c>
      <c r="AP178" s="316">
        <f t="shared" si="212"/>
        <v>0</v>
      </c>
      <c r="AQ178" s="169" t="s">
        <v>898</v>
      </c>
      <c r="AR178" s="169" t="s">
        <v>420</v>
      </c>
    </row>
    <row r="179" spans="1:44" s="169" customFormat="1" ht="26" x14ac:dyDescent="0.3">
      <c r="A179" s="509">
        <v>4</v>
      </c>
      <c r="B179" s="510" t="s">
        <v>984</v>
      </c>
      <c r="C179" s="409" t="s">
        <v>748</v>
      </c>
      <c r="D179" s="536">
        <v>4.24</v>
      </c>
      <c r="E179" s="411">
        <v>1147</v>
      </c>
      <c r="F179" s="512">
        <v>1</v>
      </c>
      <c r="G179" s="486">
        <v>1</v>
      </c>
      <c r="H179" s="486">
        <v>0</v>
      </c>
      <c r="I179" s="416">
        <v>0</v>
      </c>
      <c r="J179" s="487">
        <f t="shared" si="270"/>
        <v>0</v>
      </c>
      <c r="K179" s="513">
        <f t="shared" si="273"/>
        <v>0</v>
      </c>
      <c r="L179" s="513">
        <f t="shared" si="274"/>
        <v>0</v>
      </c>
      <c r="M179" s="513">
        <f t="shared" si="275"/>
        <v>0</v>
      </c>
      <c r="N179" s="416">
        <f t="shared" si="276"/>
        <v>4863.2800000000007</v>
      </c>
      <c r="O179" s="507" t="s">
        <v>985</v>
      </c>
      <c r="Q179" s="409" t="s">
        <v>748</v>
      </c>
      <c r="R179" s="516">
        <v>4.24</v>
      </c>
      <c r="S179" s="411">
        <v>967</v>
      </c>
      <c r="T179" s="514">
        <v>1</v>
      </c>
      <c r="U179" s="486">
        <v>1</v>
      </c>
      <c r="V179" s="486">
        <v>0</v>
      </c>
      <c r="W179" s="506">
        <v>0</v>
      </c>
      <c r="X179" s="487">
        <f t="shared" si="277"/>
        <v>0</v>
      </c>
      <c r="Y179" s="513">
        <f>W179*50/100</f>
        <v>0</v>
      </c>
      <c r="Z179" s="513">
        <f>W179*50/100</f>
        <v>0</v>
      </c>
      <c r="AA179" s="513"/>
      <c r="AB179" s="416">
        <f t="shared" si="278"/>
        <v>4100.08</v>
      </c>
      <c r="AC179" s="417" t="s">
        <v>985</v>
      </c>
      <c r="AD179" s="227"/>
      <c r="AE179" s="241">
        <v>4</v>
      </c>
      <c r="AF179" s="204" t="str">
        <f t="shared" si="215"/>
        <v>MUAC Enfants ( Enfants 99720  année 1  et 84036 année 2 pour 9 mois)</v>
      </c>
      <c r="AG179" s="486"/>
      <c r="AH179" s="486"/>
      <c r="AI179" s="506">
        <f t="shared" si="251"/>
        <v>0</v>
      </c>
      <c r="AJ179" s="506">
        <f t="shared" si="252"/>
        <v>8963.36</v>
      </c>
      <c r="AK179" s="487">
        <f t="shared" si="253"/>
        <v>0</v>
      </c>
      <c r="AL179" s="487">
        <f t="shared" si="208"/>
        <v>8963.36</v>
      </c>
      <c r="AM179" s="316">
        <f t="shared" si="209"/>
        <v>0</v>
      </c>
      <c r="AN179" s="316">
        <f t="shared" si="210"/>
        <v>4863.2800000000007</v>
      </c>
      <c r="AO179" s="316">
        <f t="shared" si="211"/>
        <v>0</v>
      </c>
      <c r="AP179" s="316">
        <f t="shared" si="212"/>
        <v>4100.08</v>
      </c>
      <c r="AQ179" s="169" t="s">
        <v>898</v>
      </c>
      <c r="AR179" s="169" t="s">
        <v>420</v>
      </c>
    </row>
    <row r="180" spans="1:44" s="169" customFormat="1" ht="26" x14ac:dyDescent="0.3">
      <c r="A180" s="509">
        <v>5</v>
      </c>
      <c r="B180" s="510" t="s">
        <v>986</v>
      </c>
      <c r="C180" s="409" t="s">
        <v>987</v>
      </c>
      <c r="D180" s="536">
        <v>9.09</v>
      </c>
      <c r="E180" s="411">
        <v>1113</v>
      </c>
      <c r="F180" s="512">
        <v>1</v>
      </c>
      <c r="G180" s="486">
        <v>1</v>
      </c>
      <c r="H180" s="486">
        <v>0</v>
      </c>
      <c r="I180" s="416">
        <v>0</v>
      </c>
      <c r="J180" s="487">
        <f t="shared" si="270"/>
        <v>0</v>
      </c>
      <c r="K180" s="513">
        <f t="shared" si="273"/>
        <v>0</v>
      </c>
      <c r="L180" s="513">
        <f t="shared" si="274"/>
        <v>0</v>
      </c>
      <c r="M180" s="513">
        <f t="shared" si="275"/>
        <v>0</v>
      </c>
      <c r="N180" s="416">
        <f t="shared" si="276"/>
        <v>10117.17</v>
      </c>
      <c r="O180" s="507" t="s">
        <v>988</v>
      </c>
      <c r="Q180" s="409" t="s">
        <v>987</v>
      </c>
      <c r="R180" s="516">
        <v>9.09</v>
      </c>
      <c r="S180" s="411">
        <v>939</v>
      </c>
      <c r="T180" s="514">
        <v>1</v>
      </c>
      <c r="U180" s="486">
        <v>1</v>
      </c>
      <c r="V180" s="486">
        <v>0</v>
      </c>
      <c r="W180" s="506">
        <v>0</v>
      </c>
      <c r="X180" s="487">
        <f t="shared" si="277"/>
        <v>0</v>
      </c>
      <c r="Y180" s="513">
        <f t="shared" ref="Y180:Y189" si="279">W180*50/100</f>
        <v>0</v>
      </c>
      <c r="Z180" s="513">
        <f t="shared" ref="Z180:Z189" si="280">W180*50/100</f>
        <v>0</v>
      </c>
      <c r="AA180" s="513"/>
      <c r="AB180" s="416">
        <f t="shared" si="278"/>
        <v>8535.51</v>
      </c>
      <c r="AC180" s="417" t="s">
        <v>989</v>
      </c>
      <c r="AD180" s="227"/>
      <c r="AE180" s="241">
        <v>5</v>
      </c>
      <c r="AF180" s="204" t="str">
        <f t="shared" si="215"/>
        <v>MUAC FEFA ( (52776FEFA année 1  et 40770 FEFA année 2 pour 9 mois) 100%</v>
      </c>
      <c r="AG180" s="486"/>
      <c r="AH180" s="486"/>
      <c r="AI180" s="506">
        <f t="shared" si="251"/>
        <v>0</v>
      </c>
      <c r="AJ180" s="506">
        <f t="shared" si="252"/>
        <v>18652.68</v>
      </c>
      <c r="AK180" s="487">
        <f t="shared" si="253"/>
        <v>0</v>
      </c>
      <c r="AL180" s="487">
        <f t="shared" si="208"/>
        <v>18652.68</v>
      </c>
      <c r="AM180" s="316">
        <f t="shared" si="209"/>
        <v>0</v>
      </c>
      <c r="AN180" s="316">
        <f t="shared" si="210"/>
        <v>10117.17</v>
      </c>
      <c r="AO180" s="316">
        <f t="shared" si="211"/>
        <v>0</v>
      </c>
      <c r="AP180" s="316">
        <f t="shared" si="212"/>
        <v>8535.51</v>
      </c>
      <c r="AQ180" s="169" t="s">
        <v>898</v>
      </c>
      <c r="AR180" s="169" t="s">
        <v>420</v>
      </c>
    </row>
    <row r="181" spans="1:44" s="169" customFormat="1" x14ac:dyDescent="0.3">
      <c r="A181" s="509">
        <v>6</v>
      </c>
      <c r="B181" s="510" t="s">
        <v>990</v>
      </c>
      <c r="C181" s="409" t="s">
        <v>743</v>
      </c>
      <c r="D181" s="536">
        <v>42.65</v>
      </c>
      <c r="E181" s="411">
        <v>1525</v>
      </c>
      <c r="F181" s="512">
        <v>1</v>
      </c>
      <c r="G181" s="486">
        <v>1</v>
      </c>
      <c r="H181" s="486">
        <v>0</v>
      </c>
      <c r="I181" s="416">
        <v>0</v>
      </c>
      <c r="J181" s="487">
        <f t="shared" si="270"/>
        <v>0</v>
      </c>
      <c r="K181" s="513">
        <f t="shared" si="273"/>
        <v>0</v>
      </c>
      <c r="L181" s="513">
        <f t="shared" si="274"/>
        <v>0</v>
      </c>
      <c r="M181" s="513">
        <f t="shared" si="275"/>
        <v>0</v>
      </c>
      <c r="N181" s="416">
        <f t="shared" si="276"/>
        <v>65041.25</v>
      </c>
      <c r="O181" s="507" t="s">
        <v>991</v>
      </c>
      <c r="Q181" s="409" t="s">
        <v>743</v>
      </c>
      <c r="R181" s="516">
        <v>42.65</v>
      </c>
      <c r="S181" s="411">
        <v>1286</v>
      </c>
      <c r="T181" s="514">
        <v>1</v>
      </c>
      <c r="U181" s="486">
        <v>1</v>
      </c>
      <c r="V181" s="486">
        <v>0</v>
      </c>
      <c r="W181" s="506">
        <v>0</v>
      </c>
      <c r="X181" s="487">
        <f t="shared" si="277"/>
        <v>0</v>
      </c>
      <c r="Y181" s="513">
        <f t="shared" si="279"/>
        <v>0</v>
      </c>
      <c r="Z181" s="513">
        <f t="shared" si="280"/>
        <v>0</v>
      </c>
      <c r="AA181" s="513"/>
      <c r="AB181" s="416">
        <f t="shared" si="278"/>
        <v>54847.9</v>
      </c>
      <c r="AC181" s="417" t="s">
        <v>991</v>
      </c>
      <c r="AD181" s="227"/>
      <c r="AE181" s="241">
        <v>6</v>
      </c>
      <c r="AF181" s="204" t="str">
        <f t="shared" si="215"/>
        <v>Plumpy nut cart-150</v>
      </c>
      <c r="AG181" s="486"/>
      <c r="AH181" s="486"/>
      <c r="AI181" s="506">
        <f t="shared" si="251"/>
        <v>0</v>
      </c>
      <c r="AJ181" s="506">
        <f t="shared" si="252"/>
        <v>119889.15</v>
      </c>
      <c r="AK181" s="487">
        <f t="shared" si="253"/>
        <v>0</v>
      </c>
      <c r="AL181" s="487">
        <f t="shared" si="208"/>
        <v>119889.15</v>
      </c>
      <c r="AM181" s="316">
        <f t="shared" si="209"/>
        <v>0</v>
      </c>
      <c r="AN181" s="316">
        <f t="shared" si="210"/>
        <v>65041.25</v>
      </c>
      <c r="AO181" s="316">
        <f t="shared" si="211"/>
        <v>0</v>
      </c>
      <c r="AP181" s="316">
        <f t="shared" si="212"/>
        <v>54847.9</v>
      </c>
      <c r="AQ181" s="169" t="s">
        <v>898</v>
      </c>
      <c r="AR181" s="169" t="s">
        <v>420</v>
      </c>
    </row>
    <row r="182" spans="1:44" s="169" customFormat="1" ht="26" x14ac:dyDescent="0.3">
      <c r="A182" s="509">
        <v>7</v>
      </c>
      <c r="B182" s="510" t="s">
        <v>992</v>
      </c>
      <c r="C182" s="409" t="s">
        <v>744</v>
      </c>
      <c r="D182" s="536">
        <v>61.2</v>
      </c>
      <c r="E182" s="411">
        <v>37</v>
      </c>
      <c r="F182" s="512">
        <v>1</v>
      </c>
      <c r="G182" s="486">
        <v>1</v>
      </c>
      <c r="H182" s="486">
        <v>0</v>
      </c>
      <c r="I182" s="416">
        <v>0</v>
      </c>
      <c r="J182" s="487">
        <f t="shared" si="270"/>
        <v>0</v>
      </c>
      <c r="K182" s="513">
        <f t="shared" si="273"/>
        <v>0</v>
      </c>
      <c r="L182" s="513">
        <f t="shared" si="274"/>
        <v>0</v>
      </c>
      <c r="M182" s="513">
        <f t="shared" si="275"/>
        <v>0</v>
      </c>
      <c r="N182" s="416">
        <f t="shared" si="276"/>
        <v>2264.4</v>
      </c>
      <c r="O182" s="507" t="s">
        <v>993</v>
      </c>
      <c r="Q182" s="409" t="s">
        <v>744</v>
      </c>
      <c r="R182" s="516">
        <v>61.2</v>
      </c>
      <c r="S182" s="411">
        <v>31</v>
      </c>
      <c r="T182" s="514">
        <v>1</v>
      </c>
      <c r="U182" s="486">
        <v>1</v>
      </c>
      <c r="V182" s="486">
        <v>0</v>
      </c>
      <c r="W182" s="506">
        <v>0</v>
      </c>
      <c r="X182" s="487">
        <f t="shared" si="277"/>
        <v>0</v>
      </c>
      <c r="Y182" s="513">
        <f t="shared" si="279"/>
        <v>0</v>
      </c>
      <c r="Z182" s="513">
        <f t="shared" si="280"/>
        <v>0</v>
      </c>
      <c r="AA182" s="513"/>
      <c r="AB182" s="416">
        <f t="shared" si="278"/>
        <v>1897.2</v>
      </c>
      <c r="AC182" s="417" t="s">
        <v>993</v>
      </c>
      <c r="AD182" s="227"/>
      <c r="AE182" s="241">
        <v>7</v>
      </c>
      <c r="AF182" s="204" t="str">
        <f t="shared" si="215"/>
        <v>F-75 Therap.milk CAN 400g/CAR-24</v>
      </c>
      <c r="AG182" s="486"/>
      <c r="AH182" s="486"/>
      <c r="AI182" s="506">
        <f t="shared" si="251"/>
        <v>0</v>
      </c>
      <c r="AJ182" s="506">
        <f t="shared" si="252"/>
        <v>4161.6000000000004</v>
      </c>
      <c r="AK182" s="487">
        <f t="shared" si="253"/>
        <v>0</v>
      </c>
      <c r="AL182" s="487">
        <f t="shared" si="208"/>
        <v>4161.6000000000004</v>
      </c>
      <c r="AM182" s="316">
        <f t="shared" si="209"/>
        <v>0</v>
      </c>
      <c r="AN182" s="316">
        <f t="shared" si="210"/>
        <v>2264.4</v>
      </c>
      <c r="AO182" s="316">
        <f t="shared" si="211"/>
        <v>0</v>
      </c>
      <c r="AP182" s="316">
        <f t="shared" si="212"/>
        <v>1897.2</v>
      </c>
      <c r="AQ182" s="169" t="s">
        <v>898</v>
      </c>
      <c r="AR182" s="169" t="s">
        <v>420</v>
      </c>
    </row>
    <row r="183" spans="1:44" s="169" customFormat="1" ht="26" x14ac:dyDescent="0.3">
      <c r="A183" s="509">
        <v>8</v>
      </c>
      <c r="B183" s="510" t="s">
        <v>994</v>
      </c>
      <c r="C183" s="409" t="s">
        <v>745</v>
      </c>
      <c r="D183" s="536">
        <v>71.08</v>
      </c>
      <c r="E183" s="411">
        <v>48</v>
      </c>
      <c r="F183" s="512">
        <v>1</v>
      </c>
      <c r="G183" s="486">
        <v>1</v>
      </c>
      <c r="H183" s="486">
        <v>0</v>
      </c>
      <c r="I183" s="416">
        <v>0</v>
      </c>
      <c r="J183" s="487">
        <f t="shared" si="270"/>
        <v>0</v>
      </c>
      <c r="K183" s="513">
        <f t="shared" si="273"/>
        <v>0</v>
      </c>
      <c r="L183" s="513">
        <f t="shared" si="274"/>
        <v>0</v>
      </c>
      <c r="M183" s="513">
        <f t="shared" si="275"/>
        <v>0</v>
      </c>
      <c r="N183" s="416">
        <f t="shared" si="276"/>
        <v>3411.84</v>
      </c>
      <c r="O183" s="507" t="s">
        <v>995</v>
      </c>
      <c r="Q183" s="409" t="s">
        <v>745</v>
      </c>
      <c r="R183" s="516">
        <v>71.08</v>
      </c>
      <c r="S183" s="411">
        <v>46</v>
      </c>
      <c r="T183" s="514">
        <v>1</v>
      </c>
      <c r="U183" s="486">
        <v>1</v>
      </c>
      <c r="V183" s="486">
        <v>0</v>
      </c>
      <c r="W183" s="506">
        <v>0</v>
      </c>
      <c r="X183" s="487">
        <f t="shared" si="277"/>
        <v>0</v>
      </c>
      <c r="Y183" s="513">
        <f t="shared" si="279"/>
        <v>0</v>
      </c>
      <c r="Z183" s="513">
        <f t="shared" si="280"/>
        <v>0</v>
      </c>
      <c r="AA183" s="513"/>
      <c r="AB183" s="416">
        <f t="shared" si="278"/>
        <v>3269.68</v>
      </c>
      <c r="AC183" s="417" t="s">
        <v>995</v>
      </c>
      <c r="AD183" s="227"/>
      <c r="AE183" s="241">
        <v>8</v>
      </c>
      <c r="AF183" s="204" t="str">
        <f t="shared" si="215"/>
        <v>F-100 Therap.milk CAN 400g/CAR-24</v>
      </c>
      <c r="AG183" s="486"/>
      <c r="AH183" s="486"/>
      <c r="AI183" s="506">
        <f t="shared" si="251"/>
        <v>0</v>
      </c>
      <c r="AJ183" s="506">
        <f t="shared" si="252"/>
        <v>6681.52</v>
      </c>
      <c r="AK183" s="487">
        <f t="shared" si="253"/>
        <v>0</v>
      </c>
      <c r="AL183" s="487">
        <f t="shared" si="208"/>
        <v>6681.52</v>
      </c>
      <c r="AM183" s="316">
        <f t="shared" si="209"/>
        <v>0</v>
      </c>
      <c r="AN183" s="316">
        <f t="shared" si="210"/>
        <v>3411.84</v>
      </c>
      <c r="AO183" s="316">
        <f t="shared" si="211"/>
        <v>0</v>
      </c>
      <c r="AP183" s="316">
        <f t="shared" si="212"/>
        <v>3269.68</v>
      </c>
      <c r="AQ183" s="169" t="s">
        <v>898</v>
      </c>
      <c r="AR183" s="169" t="s">
        <v>420</v>
      </c>
    </row>
    <row r="184" spans="1:44" s="169" customFormat="1" ht="26" x14ac:dyDescent="0.3">
      <c r="A184" s="509">
        <v>9</v>
      </c>
      <c r="B184" s="510" t="s">
        <v>996</v>
      </c>
      <c r="C184" s="409" t="s">
        <v>746</v>
      </c>
      <c r="D184" s="536">
        <v>18.02</v>
      </c>
      <c r="E184" s="411">
        <v>26</v>
      </c>
      <c r="F184" s="512">
        <v>1</v>
      </c>
      <c r="G184" s="486">
        <v>1</v>
      </c>
      <c r="H184" s="486">
        <v>0</v>
      </c>
      <c r="I184" s="416">
        <v>0</v>
      </c>
      <c r="J184" s="487">
        <f t="shared" si="270"/>
        <v>0</v>
      </c>
      <c r="K184" s="513">
        <f t="shared" si="273"/>
        <v>0</v>
      </c>
      <c r="L184" s="513">
        <f t="shared" si="274"/>
        <v>0</v>
      </c>
      <c r="M184" s="513">
        <f t="shared" si="275"/>
        <v>0</v>
      </c>
      <c r="N184" s="416">
        <f t="shared" si="276"/>
        <v>468.52</v>
      </c>
      <c r="O184" s="507" t="s">
        <v>997</v>
      </c>
      <c r="Q184" s="409" t="s">
        <v>746</v>
      </c>
      <c r="R184" s="516">
        <v>18.02</v>
      </c>
      <c r="S184" s="411">
        <v>25</v>
      </c>
      <c r="T184" s="514">
        <v>1</v>
      </c>
      <c r="U184" s="486">
        <v>1</v>
      </c>
      <c r="V184" s="486">
        <v>0</v>
      </c>
      <c r="W184" s="506">
        <v>0</v>
      </c>
      <c r="X184" s="487">
        <f t="shared" si="277"/>
        <v>0</v>
      </c>
      <c r="Y184" s="513">
        <f t="shared" si="279"/>
        <v>0</v>
      </c>
      <c r="Z184" s="513">
        <f t="shared" si="280"/>
        <v>0</v>
      </c>
      <c r="AA184" s="513"/>
      <c r="AB184" s="416">
        <f t="shared" si="278"/>
        <v>450.5</v>
      </c>
      <c r="AC184" s="417" t="s">
        <v>997</v>
      </c>
      <c r="AD184" s="227"/>
      <c r="AE184" s="241">
        <v>9</v>
      </c>
      <c r="AF184" s="204" t="str">
        <f t="shared" si="215"/>
        <v xml:space="preserve"> ReSoMal,42g sachet for 1 litre/CAR-100</v>
      </c>
      <c r="AG184" s="486"/>
      <c r="AH184" s="486"/>
      <c r="AI184" s="506">
        <f t="shared" si="251"/>
        <v>0</v>
      </c>
      <c r="AJ184" s="506">
        <f t="shared" si="252"/>
        <v>919.02</v>
      </c>
      <c r="AK184" s="487">
        <f t="shared" si="253"/>
        <v>0</v>
      </c>
      <c r="AL184" s="487">
        <f t="shared" si="208"/>
        <v>919.02</v>
      </c>
      <c r="AM184" s="316">
        <f t="shared" si="209"/>
        <v>0</v>
      </c>
      <c r="AN184" s="316">
        <f t="shared" si="210"/>
        <v>468.52</v>
      </c>
      <c r="AO184" s="316">
        <f t="shared" si="211"/>
        <v>0</v>
      </c>
      <c r="AP184" s="316">
        <f t="shared" si="212"/>
        <v>450.5</v>
      </c>
      <c r="AQ184" s="169" t="s">
        <v>898</v>
      </c>
      <c r="AR184" s="169" t="s">
        <v>420</v>
      </c>
    </row>
    <row r="185" spans="1:44" s="169" customFormat="1" ht="26" x14ac:dyDescent="0.3">
      <c r="A185" s="509">
        <v>10</v>
      </c>
      <c r="B185" s="510" t="s">
        <v>998</v>
      </c>
      <c r="C185" s="409" t="s">
        <v>515</v>
      </c>
      <c r="D185" s="536">
        <v>7.54</v>
      </c>
      <c r="E185" s="411">
        <v>33</v>
      </c>
      <c r="F185" s="512">
        <v>1</v>
      </c>
      <c r="G185" s="486">
        <v>1</v>
      </c>
      <c r="H185" s="486">
        <v>0</v>
      </c>
      <c r="I185" s="416">
        <v>0</v>
      </c>
      <c r="J185" s="487">
        <f t="shared" si="270"/>
        <v>0</v>
      </c>
      <c r="K185" s="513">
        <f t="shared" si="273"/>
        <v>0</v>
      </c>
      <c r="L185" s="513">
        <f t="shared" si="274"/>
        <v>0</v>
      </c>
      <c r="M185" s="513">
        <f t="shared" si="275"/>
        <v>0</v>
      </c>
      <c r="N185" s="416">
        <f t="shared" si="276"/>
        <v>248.82</v>
      </c>
      <c r="O185" s="507" t="s">
        <v>999</v>
      </c>
      <c r="Q185" s="409" t="s">
        <v>515</v>
      </c>
      <c r="R185" s="516">
        <v>7.54</v>
      </c>
      <c r="S185" s="411">
        <v>33</v>
      </c>
      <c r="T185" s="514">
        <v>1</v>
      </c>
      <c r="U185" s="486">
        <v>1</v>
      </c>
      <c r="V185" s="486">
        <v>0</v>
      </c>
      <c r="W185" s="506">
        <v>0</v>
      </c>
      <c r="X185" s="487">
        <f t="shared" si="277"/>
        <v>0</v>
      </c>
      <c r="Y185" s="513">
        <f t="shared" si="279"/>
        <v>0</v>
      </c>
      <c r="Z185" s="513">
        <f t="shared" si="280"/>
        <v>0</v>
      </c>
      <c r="AA185" s="513"/>
      <c r="AB185" s="416">
        <f t="shared" si="278"/>
        <v>248.82</v>
      </c>
      <c r="AC185" s="417" t="s">
        <v>999</v>
      </c>
      <c r="AD185" s="227"/>
      <c r="AE185" s="241">
        <v>10</v>
      </c>
      <c r="AF185" s="204" t="str">
        <f t="shared" si="215"/>
        <v>Vitamine A 100 000 UI Boite de 500</v>
      </c>
      <c r="AG185" s="486"/>
      <c r="AH185" s="486"/>
      <c r="AI185" s="506">
        <f t="shared" si="251"/>
        <v>0</v>
      </c>
      <c r="AJ185" s="506">
        <f t="shared" si="252"/>
        <v>497.64</v>
      </c>
      <c r="AK185" s="487">
        <f t="shared" si="253"/>
        <v>0</v>
      </c>
      <c r="AL185" s="487">
        <f t="shared" si="208"/>
        <v>497.64</v>
      </c>
      <c r="AM185" s="316">
        <f t="shared" si="209"/>
        <v>0</v>
      </c>
      <c r="AN185" s="316">
        <f t="shared" si="210"/>
        <v>248.82</v>
      </c>
      <c r="AO185" s="316">
        <f t="shared" si="211"/>
        <v>0</v>
      </c>
      <c r="AP185" s="316">
        <f t="shared" si="212"/>
        <v>248.82</v>
      </c>
      <c r="AQ185" s="169" t="s">
        <v>898</v>
      </c>
      <c r="AR185" s="169" t="s">
        <v>420</v>
      </c>
    </row>
    <row r="186" spans="1:44" s="169" customFormat="1" ht="26" x14ac:dyDescent="0.3">
      <c r="A186" s="509">
        <v>11</v>
      </c>
      <c r="B186" s="510" t="s">
        <v>1000</v>
      </c>
      <c r="C186" s="409" t="s">
        <v>515</v>
      </c>
      <c r="D186" s="536">
        <v>11.22</v>
      </c>
      <c r="E186" s="411">
        <v>140</v>
      </c>
      <c r="F186" s="512">
        <v>1</v>
      </c>
      <c r="G186" s="486">
        <v>1</v>
      </c>
      <c r="H186" s="486">
        <v>0</v>
      </c>
      <c r="I186" s="416">
        <v>0</v>
      </c>
      <c r="J186" s="487">
        <f t="shared" si="270"/>
        <v>0</v>
      </c>
      <c r="K186" s="513">
        <f t="shared" si="273"/>
        <v>0</v>
      </c>
      <c r="L186" s="513">
        <f t="shared" si="274"/>
        <v>0</v>
      </c>
      <c r="M186" s="513">
        <f t="shared" si="275"/>
        <v>0</v>
      </c>
      <c r="N186" s="416">
        <f t="shared" si="276"/>
        <v>1570.8000000000002</v>
      </c>
      <c r="O186" s="507" t="s">
        <v>1001</v>
      </c>
      <c r="Q186" s="409" t="s">
        <v>515</v>
      </c>
      <c r="R186" s="516">
        <v>11.22</v>
      </c>
      <c r="S186" s="411">
        <v>140</v>
      </c>
      <c r="T186" s="514">
        <v>1</v>
      </c>
      <c r="U186" s="486">
        <v>1</v>
      </c>
      <c r="V186" s="486">
        <v>0</v>
      </c>
      <c r="W186" s="506">
        <v>0</v>
      </c>
      <c r="X186" s="487">
        <f t="shared" si="277"/>
        <v>0</v>
      </c>
      <c r="Y186" s="513">
        <f t="shared" si="279"/>
        <v>0</v>
      </c>
      <c r="Z186" s="513">
        <f t="shared" si="280"/>
        <v>0</v>
      </c>
      <c r="AA186" s="513"/>
      <c r="AB186" s="416">
        <f t="shared" si="278"/>
        <v>1570.8000000000002</v>
      </c>
      <c r="AC186" s="417" t="s">
        <v>1001</v>
      </c>
      <c r="AD186" s="227"/>
      <c r="AE186" s="241">
        <v>11</v>
      </c>
      <c r="AF186" s="204" t="str">
        <f t="shared" si="215"/>
        <v>Vitamine A 200 000 UI Boite de 500</v>
      </c>
      <c r="AG186" s="486"/>
      <c r="AH186" s="486"/>
      <c r="AI186" s="506">
        <f t="shared" si="251"/>
        <v>0</v>
      </c>
      <c r="AJ186" s="506">
        <f t="shared" si="252"/>
        <v>3141.6000000000004</v>
      </c>
      <c r="AK186" s="487">
        <f t="shared" si="253"/>
        <v>0</v>
      </c>
      <c r="AL186" s="487">
        <f t="shared" si="208"/>
        <v>3141.6000000000004</v>
      </c>
      <c r="AM186" s="316">
        <f t="shared" si="209"/>
        <v>0</v>
      </c>
      <c r="AN186" s="316">
        <f t="shared" si="210"/>
        <v>1570.8000000000002</v>
      </c>
      <c r="AO186" s="316">
        <f t="shared" si="211"/>
        <v>0</v>
      </c>
      <c r="AP186" s="316">
        <f t="shared" si="212"/>
        <v>1570.8000000000002</v>
      </c>
      <c r="AQ186" s="169" t="s">
        <v>898</v>
      </c>
      <c r="AR186" s="169" t="s">
        <v>420</v>
      </c>
    </row>
    <row r="187" spans="1:44" s="169" customFormat="1" ht="26" x14ac:dyDescent="0.3">
      <c r="A187" s="509">
        <v>12</v>
      </c>
      <c r="B187" s="510" t="s">
        <v>742</v>
      </c>
      <c r="C187" s="409" t="s">
        <v>747</v>
      </c>
      <c r="D187" s="536">
        <v>0.45</v>
      </c>
      <c r="E187" s="411">
        <v>242</v>
      </c>
      <c r="F187" s="512">
        <v>1</v>
      </c>
      <c r="G187" s="486">
        <v>1</v>
      </c>
      <c r="H187" s="486">
        <v>0</v>
      </c>
      <c r="I187" s="416">
        <v>0</v>
      </c>
      <c r="J187" s="487">
        <f t="shared" si="270"/>
        <v>0</v>
      </c>
      <c r="K187" s="513">
        <f t="shared" si="273"/>
        <v>0</v>
      </c>
      <c r="L187" s="513">
        <f t="shared" si="274"/>
        <v>0</v>
      </c>
      <c r="M187" s="513">
        <f t="shared" si="275"/>
        <v>0</v>
      </c>
      <c r="N187" s="416">
        <f t="shared" si="276"/>
        <v>108.9</v>
      </c>
      <c r="O187" s="507" t="s">
        <v>1002</v>
      </c>
      <c r="Q187" s="409" t="s">
        <v>747</v>
      </c>
      <c r="R187" s="516">
        <v>0.45</v>
      </c>
      <c r="S187" s="411">
        <v>204</v>
      </c>
      <c r="T187" s="514">
        <v>1</v>
      </c>
      <c r="U187" s="486">
        <v>1</v>
      </c>
      <c r="V187" s="486">
        <v>0</v>
      </c>
      <c r="W187" s="506">
        <v>0</v>
      </c>
      <c r="X187" s="487">
        <f t="shared" si="277"/>
        <v>0</v>
      </c>
      <c r="Y187" s="513">
        <f t="shared" si="279"/>
        <v>0</v>
      </c>
      <c r="Z187" s="513">
        <f t="shared" si="280"/>
        <v>0</v>
      </c>
      <c r="AA187" s="513"/>
      <c r="AB187" s="416">
        <f t="shared" si="278"/>
        <v>91.8</v>
      </c>
      <c r="AC187" s="417" t="s">
        <v>1002</v>
      </c>
      <c r="AD187" s="227"/>
      <c r="AE187" s="241">
        <v>12</v>
      </c>
      <c r="AF187" s="204" t="str">
        <f t="shared" si="215"/>
        <v xml:space="preserve">Amoxycilline susp 125mg/5ml, 100 ml, </v>
      </c>
      <c r="AG187" s="486"/>
      <c r="AH187" s="486"/>
      <c r="AI187" s="506">
        <f t="shared" si="251"/>
        <v>0</v>
      </c>
      <c r="AJ187" s="506">
        <f t="shared" si="252"/>
        <v>200.7</v>
      </c>
      <c r="AK187" s="487">
        <f t="shared" si="253"/>
        <v>0</v>
      </c>
      <c r="AL187" s="487">
        <f t="shared" si="208"/>
        <v>200.7</v>
      </c>
      <c r="AM187" s="316">
        <f t="shared" si="209"/>
        <v>0</v>
      </c>
      <c r="AN187" s="316">
        <f t="shared" si="210"/>
        <v>108.9</v>
      </c>
      <c r="AO187" s="316">
        <f t="shared" si="211"/>
        <v>0</v>
      </c>
      <c r="AP187" s="316">
        <f t="shared" si="212"/>
        <v>91.8</v>
      </c>
      <c r="AQ187" s="169" t="s">
        <v>898</v>
      </c>
      <c r="AR187" s="169" t="s">
        <v>420</v>
      </c>
    </row>
    <row r="188" spans="1:44" s="169" customFormat="1" ht="26" x14ac:dyDescent="0.3">
      <c r="A188" s="509">
        <v>13</v>
      </c>
      <c r="B188" s="510" t="s">
        <v>1003</v>
      </c>
      <c r="C188" s="409" t="s">
        <v>515</v>
      </c>
      <c r="D188" s="536">
        <v>3.91</v>
      </c>
      <c r="E188" s="411">
        <v>33</v>
      </c>
      <c r="F188" s="512">
        <v>1</v>
      </c>
      <c r="G188" s="486">
        <v>1</v>
      </c>
      <c r="H188" s="486">
        <v>0</v>
      </c>
      <c r="I188" s="416">
        <v>0</v>
      </c>
      <c r="J188" s="487">
        <f t="shared" si="270"/>
        <v>0</v>
      </c>
      <c r="K188" s="513">
        <f t="shared" si="273"/>
        <v>0</v>
      </c>
      <c r="L188" s="513">
        <f t="shared" si="274"/>
        <v>0</v>
      </c>
      <c r="M188" s="513">
        <f t="shared" si="275"/>
        <v>0</v>
      </c>
      <c r="N188" s="416">
        <f t="shared" si="276"/>
        <v>129.03</v>
      </c>
      <c r="O188" s="507" t="s">
        <v>1004</v>
      </c>
      <c r="Q188" s="409" t="s">
        <v>515</v>
      </c>
      <c r="R188" s="516">
        <v>3.91</v>
      </c>
      <c r="S188" s="411">
        <v>33</v>
      </c>
      <c r="T188" s="514">
        <v>1</v>
      </c>
      <c r="U188" s="486">
        <v>1</v>
      </c>
      <c r="V188" s="486">
        <v>0</v>
      </c>
      <c r="W188" s="506">
        <v>0</v>
      </c>
      <c r="X188" s="487">
        <f t="shared" si="277"/>
        <v>0</v>
      </c>
      <c r="Y188" s="513">
        <f t="shared" si="279"/>
        <v>0</v>
      </c>
      <c r="Z188" s="513">
        <f t="shared" si="280"/>
        <v>0</v>
      </c>
      <c r="AA188" s="513"/>
      <c r="AB188" s="416">
        <f t="shared" si="278"/>
        <v>129.03</v>
      </c>
      <c r="AC188" s="417" t="s">
        <v>1004</v>
      </c>
      <c r="AD188" s="227"/>
      <c r="AE188" s="241">
        <v>13</v>
      </c>
      <c r="AF188" s="204" t="str">
        <f t="shared" si="215"/>
        <v>Mebendazole Cès de 100 Boite de 1000</v>
      </c>
      <c r="AG188" s="486"/>
      <c r="AH188" s="486"/>
      <c r="AI188" s="506">
        <f t="shared" si="251"/>
        <v>0</v>
      </c>
      <c r="AJ188" s="506">
        <f t="shared" si="252"/>
        <v>258.06</v>
      </c>
      <c r="AK188" s="487">
        <f t="shared" si="253"/>
        <v>0</v>
      </c>
      <c r="AL188" s="487">
        <f t="shared" si="208"/>
        <v>258.06</v>
      </c>
      <c r="AM188" s="316">
        <f t="shared" si="209"/>
        <v>0</v>
      </c>
      <c r="AN188" s="316">
        <f t="shared" si="210"/>
        <v>129.03</v>
      </c>
      <c r="AO188" s="316">
        <f t="shared" si="211"/>
        <v>0</v>
      </c>
      <c r="AP188" s="316">
        <f t="shared" si="212"/>
        <v>129.03</v>
      </c>
      <c r="AQ188" s="169" t="s">
        <v>898</v>
      </c>
      <c r="AR188" s="169" t="s">
        <v>420</v>
      </c>
    </row>
    <row r="189" spans="1:44" s="169" customFormat="1" ht="26" x14ac:dyDescent="0.3">
      <c r="A189" s="509">
        <v>14</v>
      </c>
      <c r="B189" s="510" t="s">
        <v>1005</v>
      </c>
      <c r="C189" s="409" t="s">
        <v>515</v>
      </c>
      <c r="D189" s="536">
        <v>2.75</v>
      </c>
      <c r="E189" s="411">
        <v>417</v>
      </c>
      <c r="F189" s="512">
        <v>1</v>
      </c>
      <c r="G189" s="486">
        <v>1</v>
      </c>
      <c r="H189" s="486">
        <v>0</v>
      </c>
      <c r="I189" s="416">
        <v>0</v>
      </c>
      <c r="J189" s="487">
        <f t="shared" si="270"/>
        <v>0</v>
      </c>
      <c r="K189" s="513">
        <f t="shared" si="273"/>
        <v>0</v>
      </c>
      <c r="L189" s="513">
        <f t="shared" si="274"/>
        <v>0</v>
      </c>
      <c r="M189" s="513">
        <f t="shared" si="275"/>
        <v>0</v>
      </c>
      <c r="N189" s="416">
        <f t="shared" si="276"/>
        <v>1146.75</v>
      </c>
      <c r="O189" s="507" t="s">
        <v>1006</v>
      </c>
      <c r="Q189" s="409" t="s">
        <v>515</v>
      </c>
      <c r="R189" s="516">
        <v>2.75</v>
      </c>
      <c r="S189" s="411">
        <v>352</v>
      </c>
      <c r="T189" s="514">
        <v>1</v>
      </c>
      <c r="U189" s="486">
        <v>1</v>
      </c>
      <c r="V189" s="486">
        <v>0</v>
      </c>
      <c r="W189" s="506">
        <v>0</v>
      </c>
      <c r="X189" s="487">
        <f t="shared" si="277"/>
        <v>0</v>
      </c>
      <c r="Y189" s="513">
        <f t="shared" si="279"/>
        <v>0</v>
      </c>
      <c r="Z189" s="513">
        <f t="shared" si="280"/>
        <v>0</v>
      </c>
      <c r="AA189" s="513"/>
      <c r="AB189" s="416">
        <f t="shared" si="278"/>
        <v>968</v>
      </c>
      <c r="AC189" s="417" t="s">
        <v>1006</v>
      </c>
      <c r="AD189" s="227"/>
      <c r="AE189" s="241">
        <v>14</v>
      </c>
      <c r="AF189" s="204" t="str">
        <f t="shared" si="215"/>
        <v>Fer Sulfate + Acide Folique, 200mg+0.25mg (60mg Fe), Tab, 1000, Vrac</v>
      </c>
      <c r="AG189" s="486"/>
      <c r="AH189" s="486"/>
      <c r="AI189" s="506">
        <f t="shared" si="251"/>
        <v>0</v>
      </c>
      <c r="AJ189" s="506">
        <f t="shared" si="252"/>
        <v>2114.75</v>
      </c>
      <c r="AK189" s="487">
        <f t="shared" si="253"/>
        <v>0</v>
      </c>
      <c r="AL189" s="487">
        <f t="shared" si="208"/>
        <v>2114.75</v>
      </c>
      <c r="AM189" s="316">
        <f t="shared" si="209"/>
        <v>0</v>
      </c>
      <c r="AN189" s="316">
        <f t="shared" si="210"/>
        <v>1146.75</v>
      </c>
      <c r="AO189" s="316">
        <f t="shared" si="211"/>
        <v>0</v>
      </c>
      <c r="AP189" s="316">
        <f t="shared" si="212"/>
        <v>968</v>
      </c>
      <c r="AQ189" s="169" t="s">
        <v>898</v>
      </c>
      <c r="AR189" s="169" t="s">
        <v>420</v>
      </c>
    </row>
    <row r="190" spans="1:44" ht="12.75" customHeight="1" x14ac:dyDescent="0.3">
      <c r="A190" s="480" t="s">
        <v>259</v>
      </c>
      <c r="B190" s="861" t="s">
        <v>311</v>
      </c>
      <c r="C190" s="862"/>
      <c r="D190" s="862"/>
      <c r="E190" s="862"/>
      <c r="F190" s="862"/>
      <c r="G190" s="862"/>
      <c r="H190" s="863"/>
      <c r="I190" s="481">
        <f>SUM(I191:I193)</f>
        <v>53100</v>
      </c>
      <c r="J190" s="482">
        <f t="shared" ref="J190:N190" si="281">SUM(J191:J193)</f>
        <v>3150</v>
      </c>
      <c r="K190" s="482">
        <f t="shared" si="281"/>
        <v>19309.090909090908</v>
      </c>
      <c r="L190" s="482">
        <f t="shared" si="281"/>
        <v>19309.090909090908</v>
      </c>
      <c r="M190" s="482">
        <f t="shared" si="281"/>
        <v>14481.818181818182</v>
      </c>
      <c r="N190" s="481">
        <f t="shared" si="281"/>
        <v>0</v>
      </c>
      <c r="O190" s="508"/>
      <c r="Q190" s="538"/>
      <c r="R190" s="539"/>
      <c r="S190" s="538"/>
      <c r="T190" s="539"/>
      <c r="U190" s="539"/>
      <c r="V190" s="484"/>
      <c r="W190" s="482">
        <f t="shared" ref="W190:X190" si="282">SUM(W191:W193)</f>
        <v>53100</v>
      </c>
      <c r="X190" s="482">
        <f t="shared" si="282"/>
        <v>3150</v>
      </c>
      <c r="Y190" s="482">
        <f>SUM(Y191:Y193)</f>
        <v>17700</v>
      </c>
      <c r="Z190" s="482">
        <f t="shared" ref="Z190:AB190" si="283">SUM(Z191:Z193)</f>
        <v>17700</v>
      </c>
      <c r="AA190" s="482">
        <f t="shared" si="283"/>
        <v>17700</v>
      </c>
      <c r="AB190" s="481">
        <f t="shared" si="283"/>
        <v>0</v>
      </c>
      <c r="AC190" s="508"/>
      <c r="AD190" s="234"/>
      <c r="AE190" s="247" t="s">
        <v>259</v>
      </c>
      <c r="AF190" s="204" t="str">
        <f t="shared" si="215"/>
        <v xml:space="preserve">Appuyer le fonctionnement et l’utilisation des services de prise en charge de la malnutrition aigüe sévère dans les structures sanitaires (UNTA et UNTI)  </v>
      </c>
      <c r="AG190" s="485">
        <f t="shared" si="249"/>
        <v>0.94399999999999995</v>
      </c>
      <c r="AH190" s="485">
        <f t="shared" si="250"/>
        <v>5.6000000000000001E-2</v>
      </c>
      <c r="AI190" s="482">
        <f t="shared" si="251"/>
        <v>106200</v>
      </c>
      <c r="AJ190" s="482">
        <f t="shared" si="252"/>
        <v>0</v>
      </c>
      <c r="AK190" s="482">
        <f t="shared" si="253"/>
        <v>6300</v>
      </c>
      <c r="AL190" s="482">
        <f t="shared" si="208"/>
        <v>112500</v>
      </c>
      <c r="AM190" s="314">
        <f t="shared" si="209"/>
        <v>53100</v>
      </c>
      <c r="AN190" s="314">
        <f t="shared" si="210"/>
        <v>0</v>
      </c>
      <c r="AO190" s="314">
        <f t="shared" si="211"/>
        <v>53100</v>
      </c>
      <c r="AP190" s="314">
        <f t="shared" si="212"/>
        <v>0</v>
      </c>
    </row>
    <row r="191" spans="1:44" s="169" customFormat="1" ht="39" x14ac:dyDescent="0.3">
      <c r="A191" s="509">
        <v>1</v>
      </c>
      <c r="B191" s="510" t="s">
        <v>470</v>
      </c>
      <c r="C191" s="409" t="s">
        <v>1007</v>
      </c>
      <c r="D191" s="536">
        <v>750</v>
      </c>
      <c r="E191" s="411">
        <v>33</v>
      </c>
      <c r="F191" s="512">
        <v>1</v>
      </c>
      <c r="G191" s="486">
        <v>1</v>
      </c>
      <c r="H191" s="486">
        <v>0</v>
      </c>
      <c r="I191" s="416">
        <f t="shared" ref="I191:I193" si="284">D191*E191*F191*G191</f>
        <v>24750</v>
      </c>
      <c r="J191" s="487">
        <f>D191*E191*F191*H191</f>
        <v>0</v>
      </c>
      <c r="K191" s="513">
        <f>I191*4/11</f>
        <v>9000</v>
      </c>
      <c r="L191" s="513">
        <f>I191*4/11</f>
        <v>9000</v>
      </c>
      <c r="M191" s="513">
        <f>I191*3/11</f>
        <v>6750</v>
      </c>
      <c r="N191" s="416">
        <v>0</v>
      </c>
      <c r="O191" s="507" t="s">
        <v>1008</v>
      </c>
      <c r="Q191" s="409" t="s">
        <v>1007</v>
      </c>
      <c r="R191" s="516">
        <v>750</v>
      </c>
      <c r="S191" s="411">
        <v>33</v>
      </c>
      <c r="T191" s="514">
        <v>1</v>
      </c>
      <c r="U191" s="486">
        <v>1</v>
      </c>
      <c r="V191" s="486">
        <v>0</v>
      </c>
      <c r="W191" s="506">
        <f t="shared" ref="W191:W193" si="285">R191*S191*T191*U191</f>
        <v>24750</v>
      </c>
      <c r="X191" s="487">
        <f t="shared" ref="X191:X193" si="286">R191*S191*T191*V191</f>
        <v>0</v>
      </c>
      <c r="Y191" s="487">
        <f t="shared" ref="Y191:Y193" si="287">W191*3/9</f>
        <v>8250</v>
      </c>
      <c r="Z191" s="487">
        <f t="shared" ref="Z191:Z193" si="288">W191*3/9</f>
        <v>8250</v>
      </c>
      <c r="AA191" s="487">
        <f t="shared" ref="AA191:AA193" si="289">W191*3/9</f>
        <v>8250</v>
      </c>
      <c r="AB191" s="416">
        <v>0</v>
      </c>
      <c r="AC191" s="417" t="s">
        <v>1008</v>
      </c>
      <c r="AD191" s="227"/>
      <c r="AE191" s="241">
        <v>1</v>
      </c>
      <c r="AF191" s="204" t="str">
        <f t="shared" si="215"/>
        <v>Reprographie des outils de prise en charge (fiches individuelles de suivi UNTI+UNTA, registres UNTI, registres UNTA, carte de beneficiaires, Fiches de references et contre references,, Table P/T, …)</v>
      </c>
      <c r="AG191" s="486"/>
      <c r="AH191" s="486"/>
      <c r="AI191" s="506">
        <f t="shared" si="251"/>
        <v>49500</v>
      </c>
      <c r="AJ191" s="506">
        <f t="shared" si="252"/>
        <v>0</v>
      </c>
      <c r="AK191" s="487">
        <f t="shared" si="253"/>
        <v>0</v>
      </c>
      <c r="AL191" s="487">
        <f t="shared" si="208"/>
        <v>49500</v>
      </c>
      <c r="AM191" s="316">
        <f t="shared" si="209"/>
        <v>24750</v>
      </c>
      <c r="AN191" s="316">
        <f t="shared" si="210"/>
        <v>0</v>
      </c>
      <c r="AO191" s="316">
        <f t="shared" si="211"/>
        <v>24750</v>
      </c>
      <c r="AP191" s="316">
        <f t="shared" si="212"/>
        <v>0</v>
      </c>
      <c r="AQ191" s="169" t="s">
        <v>898</v>
      </c>
      <c r="AR191" s="169" t="s">
        <v>420</v>
      </c>
    </row>
    <row r="192" spans="1:44" s="169" customFormat="1" x14ac:dyDescent="0.3">
      <c r="A192" s="509">
        <v>2</v>
      </c>
      <c r="B192" s="510" t="s">
        <v>1009</v>
      </c>
      <c r="C192" s="409" t="s">
        <v>741</v>
      </c>
      <c r="D192" s="536">
        <v>100</v>
      </c>
      <c r="E192" s="411">
        <v>31</v>
      </c>
      <c r="F192" s="512">
        <v>9</v>
      </c>
      <c r="G192" s="503">
        <v>0.9</v>
      </c>
      <c r="H192" s="503">
        <v>0.1</v>
      </c>
      <c r="I192" s="416">
        <f t="shared" si="284"/>
        <v>25110</v>
      </c>
      <c r="J192" s="487">
        <f>D192*E192*F192*H192</f>
        <v>2790</v>
      </c>
      <c r="K192" s="513">
        <f>I192*4/11</f>
        <v>9130.9090909090901</v>
      </c>
      <c r="L192" s="513">
        <f>I192*4/11</f>
        <v>9130.9090909090901</v>
      </c>
      <c r="M192" s="513">
        <f>I192*3/11</f>
        <v>6848.181818181818</v>
      </c>
      <c r="N192" s="416">
        <v>0</v>
      </c>
      <c r="O192" s="507" t="s">
        <v>1010</v>
      </c>
      <c r="Q192" s="409" t="s">
        <v>741</v>
      </c>
      <c r="R192" s="516">
        <v>100</v>
      </c>
      <c r="S192" s="411">
        <v>31</v>
      </c>
      <c r="T192" s="514">
        <v>9</v>
      </c>
      <c r="U192" s="503">
        <v>0.9</v>
      </c>
      <c r="V192" s="503">
        <v>0.1</v>
      </c>
      <c r="W192" s="506">
        <f t="shared" si="285"/>
        <v>25110</v>
      </c>
      <c r="X192" s="487">
        <f t="shared" si="286"/>
        <v>2790</v>
      </c>
      <c r="Y192" s="487">
        <f t="shared" si="287"/>
        <v>8370</v>
      </c>
      <c r="Z192" s="487">
        <f t="shared" si="288"/>
        <v>8370</v>
      </c>
      <c r="AA192" s="487">
        <f t="shared" si="289"/>
        <v>8370</v>
      </c>
      <c r="AB192" s="416">
        <v>0</v>
      </c>
      <c r="AC192" s="507" t="s">
        <v>1010</v>
      </c>
      <c r="AD192" s="228"/>
      <c r="AE192" s="241">
        <v>2</v>
      </c>
      <c r="AF192" s="204" t="str">
        <f t="shared" si="215"/>
        <v xml:space="preserve">Appui aux 31 UNTA </v>
      </c>
      <c r="AG192" s="486">
        <f t="shared" si="249"/>
        <v>0.9</v>
      </c>
      <c r="AH192" s="486">
        <f t="shared" si="250"/>
        <v>0.1</v>
      </c>
      <c r="AI192" s="506">
        <f t="shared" si="251"/>
        <v>50220</v>
      </c>
      <c r="AJ192" s="506">
        <f t="shared" si="252"/>
        <v>0</v>
      </c>
      <c r="AK192" s="487">
        <f t="shared" si="253"/>
        <v>5580</v>
      </c>
      <c r="AL192" s="487">
        <f t="shared" si="208"/>
        <v>55800</v>
      </c>
      <c r="AM192" s="316">
        <f t="shared" si="209"/>
        <v>25110</v>
      </c>
      <c r="AN192" s="316">
        <f t="shared" si="210"/>
        <v>0</v>
      </c>
      <c r="AO192" s="316">
        <f t="shared" si="211"/>
        <v>25110</v>
      </c>
      <c r="AP192" s="316">
        <f t="shared" si="212"/>
        <v>0</v>
      </c>
      <c r="AQ192" s="169" t="s">
        <v>898</v>
      </c>
      <c r="AR192" s="169" t="s">
        <v>420</v>
      </c>
    </row>
    <row r="193" spans="1:47" s="169" customFormat="1" x14ac:dyDescent="0.3">
      <c r="A193" s="509">
        <v>3</v>
      </c>
      <c r="B193" s="510" t="s">
        <v>1011</v>
      </c>
      <c r="C193" s="409" t="s">
        <v>740</v>
      </c>
      <c r="D193" s="536">
        <v>200</v>
      </c>
      <c r="E193" s="411">
        <v>2</v>
      </c>
      <c r="F193" s="512">
        <v>9</v>
      </c>
      <c r="G193" s="503">
        <v>0.9</v>
      </c>
      <c r="H193" s="503">
        <v>0.1</v>
      </c>
      <c r="I193" s="416">
        <f t="shared" si="284"/>
        <v>3240</v>
      </c>
      <c r="J193" s="487">
        <f>D193*E193*F193*H193</f>
        <v>360</v>
      </c>
      <c r="K193" s="513">
        <f>I193*4/11</f>
        <v>1178.1818181818182</v>
      </c>
      <c r="L193" s="513">
        <f>I193*4/11</f>
        <v>1178.1818181818182</v>
      </c>
      <c r="M193" s="513">
        <f>I193*3/11</f>
        <v>883.63636363636363</v>
      </c>
      <c r="N193" s="416">
        <v>0</v>
      </c>
      <c r="O193" s="507" t="s">
        <v>1012</v>
      </c>
      <c r="Q193" s="409" t="s">
        <v>740</v>
      </c>
      <c r="R193" s="516">
        <v>200</v>
      </c>
      <c r="S193" s="411">
        <v>2</v>
      </c>
      <c r="T193" s="514">
        <v>9</v>
      </c>
      <c r="U193" s="503">
        <v>0.9</v>
      </c>
      <c r="V193" s="503">
        <v>0.1</v>
      </c>
      <c r="W193" s="506">
        <f t="shared" si="285"/>
        <v>3240</v>
      </c>
      <c r="X193" s="487">
        <f t="shared" si="286"/>
        <v>360</v>
      </c>
      <c r="Y193" s="487">
        <f t="shared" si="287"/>
        <v>1080</v>
      </c>
      <c r="Z193" s="487">
        <f t="shared" si="288"/>
        <v>1080</v>
      </c>
      <c r="AA193" s="487">
        <f t="shared" si="289"/>
        <v>1080</v>
      </c>
      <c r="AB193" s="416">
        <v>0</v>
      </c>
      <c r="AC193" s="417" t="s">
        <v>1012</v>
      </c>
      <c r="AD193" s="227"/>
      <c r="AE193" s="241">
        <v>3</v>
      </c>
      <c r="AF193" s="204" t="str">
        <f t="shared" si="215"/>
        <v>Appui aux 2 UNTI</v>
      </c>
      <c r="AG193" s="486">
        <f t="shared" si="249"/>
        <v>0.9</v>
      </c>
      <c r="AH193" s="486">
        <f t="shared" si="250"/>
        <v>0.1</v>
      </c>
      <c r="AI193" s="506">
        <f t="shared" si="251"/>
        <v>6480</v>
      </c>
      <c r="AJ193" s="506">
        <f t="shared" si="252"/>
        <v>0</v>
      </c>
      <c r="AK193" s="487">
        <f t="shared" si="253"/>
        <v>720</v>
      </c>
      <c r="AL193" s="487">
        <f t="shared" si="208"/>
        <v>7200</v>
      </c>
      <c r="AM193" s="316">
        <f t="shared" si="209"/>
        <v>3240</v>
      </c>
      <c r="AN193" s="316">
        <f t="shared" si="210"/>
        <v>0</v>
      </c>
      <c r="AO193" s="316">
        <f t="shared" si="211"/>
        <v>3240</v>
      </c>
      <c r="AP193" s="316">
        <f t="shared" si="212"/>
        <v>0</v>
      </c>
      <c r="AQ193" s="169" t="s">
        <v>898</v>
      </c>
      <c r="AR193" s="169" t="s">
        <v>420</v>
      </c>
    </row>
    <row r="194" spans="1:47" s="172" customFormat="1" x14ac:dyDescent="0.3">
      <c r="A194" s="488"/>
      <c r="B194" s="489" t="s">
        <v>401</v>
      </c>
      <c r="C194" s="489"/>
      <c r="D194" s="490"/>
      <c r="E194" s="491"/>
      <c r="F194" s="492"/>
      <c r="G194" s="493"/>
      <c r="H194" s="493"/>
      <c r="I194" s="494"/>
      <c r="J194" s="495"/>
      <c r="K194" s="495"/>
      <c r="L194" s="495"/>
      <c r="M194" s="495"/>
      <c r="N194" s="494"/>
      <c r="O194" s="496"/>
      <c r="P194" s="169"/>
      <c r="Q194" s="489"/>
      <c r="R194" s="490"/>
      <c r="S194" s="491"/>
      <c r="T194" s="492"/>
      <c r="U194" s="493"/>
      <c r="V194" s="493"/>
      <c r="W194" s="495"/>
      <c r="X194" s="495"/>
      <c r="Y194" s="495"/>
      <c r="Z194" s="495"/>
      <c r="AA194" s="495"/>
      <c r="AB194" s="494"/>
      <c r="AC194" s="498"/>
      <c r="AD194" s="182"/>
      <c r="AE194" s="204"/>
      <c r="AF194" s="204" t="str">
        <f t="shared" si="215"/>
        <v>Staff</v>
      </c>
      <c r="AG194" s="493"/>
      <c r="AH194" s="493"/>
      <c r="AI194" s="495"/>
      <c r="AJ194" s="495"/>
      <c r="AK194" s="495"/>
      <c r="AL194" s="495"/>
      <c r="AM194" s="317">
        <f t="shared" si="209"/>
        <v>0</v>
      </c>
      <c r="AN194" s="317">
        <f t="shared" si="210"/>
        <v>0</v>
      </c>
      <c r="AO194" s="317">
        <f t="shared" si="211"/>
        <v>0</v>
      </c>
      <c r="AP194" s="317">
        <f t="shared" si="212"/>
        <v>0</v>
      </c>
      <c r="AQ194" s="172" t="s">
        <v>898</v>
      </c>
      <c r="AR194" s="169" t="s">
        <v>420</v>
      </c>
      <c r="AT194" s="169"/>
      <c r="AU194" s="169"/>
    </row>
    <row r="195" spans="1:47" s="187" customFormat="1" ht="39" x14ac:dyDescent="0.3">
      <c r="A195" s="408">
        <v>4</v>
      </c>
      <c r="B195" s="409" t="s">
        <v>1013</v>
      </c>
      <c r="C195" s="409" t="s">
        <v>401</v>
      </c>
      <c r="D195" s="410">
        <v>3000</v>
      </c>
      <c r="E195" s="411">
        <v>1</v>
      </c>
      <c r="F195" s="412">
        <v>9</v>
      </c>
      <c r="G195" s="503">
        <f>I195/(I195+J195)</f>
        <v>0.3735</v>
      </c>
      <c r="H195" s="503">
        <f>J195/(I195+J195)</f>
        <v>0.62649999999999995</v>
      </c>
      <c r="I195" s="416">
        <f>E195*F195*1120.5</f>
        <v>10084.5</v>
      </c>
      <c r="J195" s="506">
        <f>(D195*E195*F195)-I195</f>
        <v>16915.5</v>
      </c>
      <c r="K195" s="618">
        <f>I195*4/11</f>
        <v>3667.090909090909</v>
      </c>
      <c r="L195" s="618">
        <f>I195*4/11</f>
        <v>3667.090909090909</v>
      </c>
      <c r="M195" s="618">
        <f>I195*3/11</f>
        <v>2750.318181818182</v>
      </c>
      <c r="N195" s="416">
        <v>0</v>
      </c>
      <c r="O195" s="417" t="s">
        <v>1014</v>
      </c>
      <c r="Q195" s="409" t="s">
        <v>401</v>
      </c>
      <c r="R195" s="418">
        <v>3000</v>
      </c>
      <c r="S195" s="411">
        <v>1</v>
      </c>
      <c r="T195" s="411">
        <v>9</v>
      </c>
      <c r="U195" s="503">
        <f>W195/(W195+X195)</f>
        <v>0.3735</v>
      </c>
      <c r="V195" s="503">
        <f>X195/(W195+X195)</f>
        <v>0.62649999999999995</v>
      </c>
      <c r="W195" s="416">
        <f>S195*T195*1120.5</f>
        <v>10084.5</v>
      </c>
      <c r="X195" s="506">
        <f>(R195*S195*T195)-W195</f>
        <v>16915.5</v>
      </c>
      <c r="Y195" s="419">
        <f>W195*3/9</f>
        <v>3361.5</v>
      </c>
      <c r="Z195" s="419">
        <f>W195*3/9</f>
        <v>3361.5</v>
      </c>
      <c r="AA195" s="419">
        <f>W195*3/9</f>
        <v>3361.5</v>
      </c>
      <c r="AB195" s="416">
        <v>0</v>
      </c>
      <c r="AC195" s="417" t="s">
        <v>1014</v>
      </c>
      <c r="AD195" s="227"/>
      <c r="AE195" s="241">
        <v>4</v>
      </c>
      <c r="AF195" s="204" t="str">
        <f t="shared" si="215"/>
        <v>1 Nutritionalist Coordinator  (100%)</v>
      </c>
      <c r="AG195" s="619">
        <f t="shared" ref="AG195:AG225" si="290">AI195/($AI195+$AK195)</f>
        <v>0.3735</v>
      </c>
      <c r="AH195" s="619">
        <f t="shared" ref="AH195:AH225" si="291">AK195/($AI195+$AK195)</f>
        <v>0.62649999999999995</v>
      </c>
      <c r="AI195" s="419">
        <f t="shared" ref="AI195:AI226" si="292">I195+W195</f>
        <v>20169</v>
      </c>
      <c r="AJ195" s="419">
        <f t="shared" ref="AJ195:AJ258" si="293">N195+AB195</f>
        <v>0</v>
      </c>
      <c r="AK195" s="419">
        <f t="shared" ref="AK195:AK226" si="294">J195+X195</f>
        <v>33831</v>
      </c>
      <c r="AL195" s="419">
        <f t="shared" si="208"/>
        <v>54000</v>
      </c>
      <c r="AM195" s="322">
        <f t="shared" si="209"/>
        <v>10084.5</v>
      </c>
      <c r="AN195" s="322">
        <f t="shared" si="210"/>
        <v>0</v>
      </c>
      <c r="AO195" s="322">
        <f t="shared" si="211"/>
        <v>10084.5</v>
      </c>
      <c r="AP195" s="322">
        <f t="shared" si="212"/>
        <v>0</v>
      </c>
      <c r="AQ195" s="187" t="s">
        <v>898</v>
      </c>
      <c r="AR195" s="168" t="s">
        <v>420</v>
      </c>
      <c r="AT195" s="182"/>
      <c r="AU195" s="182"/>
    </row>
    <row r="196" spans="1:47" s="187" customFormat="1" ht="39" x14ac:dyDescent="0.3">
      <c r="A196" s="408">
        <v>5</v>
      </c>
      <c r="B196" s="409" t="s">
        <v>1015</v>
      </c>
      <c r="C196" s="409" t="s">
        <v>401</v>
      </c>
      <c r="D196" s="410">
        <v>3000</v>
      </c>
      <c r="E196" s="411">
        <v>6</v>
      </c>
      <c r="F196" s="412">
        <v>9</v>
      </c>
      <c r="G196" s="503">
        <f>I196/(I196+J196)</f>
        <v>0.3735</v>
      </c>
      <c r="H196" s="503">
        <f>J196/(I196+J196)</f>
        <v>0.62649999999999995</v>
      </c>
      <c r="I196" s="416">
        <f>E196*F196*1120.5</f>
        <v>60507</v>
      </c>
      <c r="J196" s="506">
        <f>(D196*E196*F196)-I196</f>
        <v>101493</v>
      </c>
      <c r="K196" s="618">
        <f>I196*4/11</f>
        <v>22002.545454545456</v>
      </c>
      <c r="L196" s="618">
        <f>I196*4/11</f>
        <v>22002.545454545456</v>
      </c>
      <c r="M196" s="618">
        <f>I196*3/11</f>
        <v>16501.909090909092</v>
      </c>
      <c r="N196" s="416">
        <v>0</v>
      </c>
      <c r="O196" s="417" t="s">
        <v>472</v>
      </c>
      <c r="Q196" s="409" t="s">
        <v>401</v>
      </c>
      <c r="R196" s="418">
        <v>3000</v>
      </c>
      <c r="S196" s="411">
        <v>6</v>
      </c>
      <c r="T196" s="411">
        <v>9</v>
      </c>
      <c r="U196" s="503">
        <f t="shared" ref="U196:U197" si="295">W196/(W196+X196)</f>
        <v>0.3735</v>
      </c>
      <c r="V196" s="503">
        <f t="shared" ref="V196:V197" si="296">X196/(W196+X196)</f>
        <v>0.62649999999999995</v>
      </c>
      <c r="W196" s="416">
        <f t="shared" ref="W196" si="297">S196*T196*1120.5</f>
        <v>60507</v>
      </c>
      <c r="X196" s="506">
        <f t="shared" ref="X196:X197" si="298">(R196*S196*T196)-W196</f>
        <v>101493</v>
      </c>
      <c r="Y196" s="419">
        <f t="shared" ref="Y196:Y197" si="299">W196*3/9</f>
        <v>20169</v>
      </c>
      <c r="Z196" s="419">
        <f t="shared" ref="Z196:Z197" si="300">W196*3/9</f>
        <v>20169</v>
      </c>
      <c r="AA196" s="419">
        <f t="shared" ref="AA196:AA197" si="301">W196*3/9</f>
        <v>20169</v>
      </c>
      <c r="AB196" s="416">
        <v>0</v>
      </c>
      <c r="AC196" s="417" t="s">
        <v>472</v>
      </c>
      <c r="AD196" s="227"/>
      <c r="AE196" s="241">
        <v>5</v>
      </c>
      <c r="AF196" s="204" t="str">
        <f t="shared" si="215"/>
        <v>6 Nutritionalist  Officers (100%)</v>
      </c>
      <c r="AG196" s="619">
        <f t="shared" si="290"/>
        <v>0.3735</v>
      </c>
      <c r="AH196" s="619">
        <f t="shared" si="291"/>
        <v>0.62649999999999995</v>
      </c>
      <c r="AI196" s="419">
        <f t="shared" si="292"/>
        <v>121014</v>
      </c>
      <c r="AJ196" s="419">
        <f t="shared" si="293"/>
        <v>0</v>
      </c>
      <c r="AK196" s="419">
        <f t="shared" si="294"/>
        <v>202986</v>
      </c>
      <c r="AL196" s="419">
        <f t="shared" si="208"/>
        <v>324000</v>
      </c>
      <c r="AM196" s="322">
        <f t="shared" si="209"/>
        <v>60507</v>
      </c>
      <c r="AN196" s="322">
        <f t="shared" si="210"/>
        <v>0</v>
      </c>
      <c r="AO196" s="322">
        <f t="shared" si="211"/>
        <v>60507</v>
      </c>
      <c r="AP196" s="322">
        <f t="shared" si="212"/>
        <v>0</v>
      </c>
      <c r="AQ196" s="187" t="s">
        <v>898</v>
      </c>
      <c r="AR196" s="168" t="s">
        <v>420</v>
      </c>
      <c r="AT196" s="182"/>
      <c r="AU196" s="182"/>
    </row>
    <row r="197" spans="1:47" s="187" customFormat="1" ht="26" x14ac:dyDescent="0.3">
      <c r="A197" s="408">
        <v>6</v>
      </c>
      <c r="B197" s="409" t="s">
        <v>1016</v>
      </c>
      <c r="C197" s="409" t="s">
        <v>401</v>
      </c>
      <c r="D197" s="410">
        <v>1285.71</v>
      </c>
      <c r="E197" s="411">
        <v>1</v>
      </c>
      <c r="F197" s="412">
        <v>9</v>
      </c>
      <c r="G197" s="503">
        <f>I197/(I197+J197)</f>
        <v>0.58333527778425931</v>
      </c>
      <c r="H197" s="503">
        <f>J197/(I197+J197)</f>
        <v>0.41666472221574069</v>
      </c>
      <c r="I197" s="416">
        <f>E197*F197*750</f>
        <v>6750</v>
      </c>
      <c r="J197" s="506">
        <f>(D197*E197*F197)-I197</f>
        <v>4821.3899999999994</v>
      </c>
      <c r="K197" s="618">
        <f>I197*4/11</f>
        <v>2454.5454545454545</v>
      </c>
      <c r="L197" s="618">
        <f>I197*4/11</f>
        <v>2454.5454545454545</v>
      </c>
      <c r="M197" s="618">
        <f>I197*3/11</f>
        <v>1840.909090909091</v>
      </c>
      <c r="N197" s="416">
        <v>0</v>
      </c>
      <c r="O197" s="417" t="s">
        <v>1017</v>
      </c>
      <c r="Q197" s="409" t="s">
        <v>401</v>
      </c>
      <c r="R197" s="418">
        <v>1285.71</v>
      </c>
      <c r="S197" s="411">
        <v>1</v>
      </c>
      <c r="T197" s="411">
        <v>9</v>
      </c>
      <c r="U197" s="503">
        <f t="shared" si="295"/>
        <v>0.58333527778425931</v>
      </c>
      <c r="V197" s="503">
        <f t="shared" si="296"/>
        <v>0.41666472221574069</v>
      </c>
      <c r="W197" s="416">
        <f>S197*T197*750</f>
        <v>6750</v>
      </c>
      <c r="X197" s="506">
        <f t="shared" si="298"/>
        <v>4821.3899999999994</v>
      </c>
      <c r="Y197" s="419">
        <f t="shared" si="299"/>
        <v>2250</v>
      </c>
      <c r="Z197" s="419">
        <f t="shared" si="300"/>
        <v>2250</v>
      </c>
      <c r="AA197" s="419">
        <f t="shared" si="301"/>
        <v>2250</v>
      </c>
      <c r="AB197" s="416">
        <v>0</v>
      </c>
      <c r="AC197" s="417" t="s">
        <v>1017</v>
      </c>
      <c r="AD197" s="227"/>
      <c r="AE197" s="241">
        <v>6</v>
      </c>
      <c r="AF197" s="204" t="str">
        <f t="shared" si="215"/>
        <v>1 Warehouse Keeper (100%) for management of nutritional inputs</v>
      </c>
      <c r="AG197" s="619">
        <f t="shared" si="290"/>
        <v>0.58333527778425931</v>
      </c>
      <c r="AH197" s="619">
        <f t="shared" si="291"/>
        <v>0.41666472221574069</v>
      </c>
      <c r="AI197" s="419">
        <f t="shared" si="292"/>
        <v>13500</v>
      </c>
      <c r="AJ197" s="419">
        <f t="shared" si="293"/>
        <v>0</v>
      </c>
      <c r="AK197" s="419">
        <f t="shared" si="294"/>
        <v>9642.7799999999988</v>
      </c>
      <c r="AL197" s="419">
        <f t="shared" si="208"/>
        <v>23142.78</v>
      </c>
      <c r="AM197" s="322">
        <f t="shared" si="209"/>
        <v>6750</v>
      </c>
      <c r="AN197" s="322">
        <f t="shared" si="210"/>
        <v>0</v>
      </c>
      <c r="AO197" s="322">
        <f t="shared" si="211"/>
        <v>6750</v>
      </c>
      <c r="AP197" s="322">
        <f t="shared" si="212"/>
        <v>0</v>
      </c>
      <c r="AQ197" s="187" t="s">
        <v>898</v>
      </c>
      <c r="AR197" s="168" t="s">
        <v>420</v>
      </c>
      <c r="AT197" s="182"/>
      <c r="AU197" s="182"/>
    </row>
    <row r="198" spans="1:47" ht="12.75" customHeight="1" x14ac:dyDescent="0.3">
      <c r="A198" s="480" t="s">
        <v>1018</v>
      </c>
      <c r="B198" s="861" t="s">
        <v>312</v>
      </c>
      <c r="C198" s="862"/>
      <c r="D198" s="862"/>
      <c r="E198" s="862"/>
      <c r="F198" s="862"/>
      <c r="G198" s="862"/>
      <c r="H198" s="863"/>
      <c r="I198" s="481">
        <f>SUM(I199:I204)</f>
        <v>17575.875</v>
      </c>
      <c r="J198" s="482">
        <f t="shared" ref="J198:M198" si="302">SUM(J199:J204)</f>
        <v>3101.625</v>
      </c>
      <c r="K198" s="482">
        <f>SUM(K199:K204)</f>
        <v>6391.227272727273</v>
      </c>
      <c r="L198" s="482">
        <f t="shared" si="302"/>
        <v>6391.227272727273</v>
      </c>
      <c r="M198" s="482">
        <f t="shared" si="302"/>
        <v>4793.420454545455</v>
      </c>
      <c r="N198" s="481">
        <f>SUM(N199:N204)</f>
        <v>0</v>
      </c>
      <c r="O198" s="508"/>
      <c r="Q198" s="538"/>
      <c r="R198" s="539"/>
      <c r="S198" s="538"/>
      <c r="T198" s="539"/>
      <c r="U198" s="539"/>
      <c r="V198" s="484"/>
      <c r="W198" s="482">
        <f t="shared" ref="W198:X198" si="303">SUM(W199:W204)</f>
        <v>17575.875</v>
      </c>
      <c r="X198" s="482">
        <f t="shared" si="303"/>
        <v>3101.625</v>
      </c>
      <c r="Y198" s="482">
        <f>SUM(Y199:Y204)</f>
        <v>5858.625</v>
      </c>
      <c r="Z198" s="482">
        <f t="shared" ref="Z198:AA198" si="304">SUM(Z199:Z204)</f>
        <v>5858.625</v>
      </c>
      <c r="AA198" s="482">
        <f t="shared" si="304"/>
        <v>5858.625</v>
      </c>
      <c r="AB198" s="481">
        <f>SUM(AB199:AB204)</f>
        <v>0</v>
      </c>
      <c r="AC198" s="508"/>
      <c r="AD198" s="234"/>
      <c r="AE198" s="247" t="s">
        <v>1018</v>
      </c>
      <c r="AF198" s="204" t="str">
        <f t="shared" si="215"/>
        <v>Accompagner la réalisation des réunions mensuelles de monitorage pour suivre et évaluer chaque mois les indicateurs clés de la Nutrition à assise communautaire (NAC) au niveau des centres de Santé</v>
      </c>
      <c r="AG198" s="485">
        <f t="shared" si="290"/>
        <v>0.85</v>
      </c>
      <c r="AH198" s="485">
        <f t="shared" si="291"/>
        <v>0.15</v>
      </c>
      <c r="AI198" s="482">
        <f t="shared" si="292"/>
        <v>35151.75</v>
      </c>
      <c r="AJ198" s="482">
        <f t="shared" si="293"/>
        <v>0</v>
      </c>
      <c r="AK198" s="482">
        <f t="shared" si="294"/>
        <v>6203.25</v>
      </c>
      <c r="AL198" s="482">
        <f t="shared" si="208"/>
        <v>41355</v>
      </c>
      <c r="AM198" s="314">
        <f t="shared" si="209"/>
        <v>17575.875</v>
      </c>
      <c r="AN198" s="314">
        <f t="shared" si="210"/>
        <v>0</v>
      </c>
      <c r="AO198" s="314">
        <f t="shared" si="211"/>
        <v>17575.875</v>
      </c>
      <c r="AP198" s="314">
        <f t="shared" si="212"/>
        <v>0</v>
      </c>
    </row>
    <row r="199" spans="1:47" s="186" customFormat="1" ht="39" x14ac:dyDescent="0.3">
      <c r="A199" s="408">
        <v>1</v>
      </c>
      <c r="B199" s="409" t="s">
        <v>1019</v>
      </c>
      <c r="C199" s="409" t="s">
        <v>1020</v>
      </c>
      <c r="D199" s="410">
        <v>5</v>
      </c>
      <c r="E199" s="411">
        <v>126</v>
      </c>
      <c r="F199" s="412">
        <v>9</v>
      </c>
      <c r="G199" s="486">
        <v>0.85</v>
      </c>
      <c r="H199" s="486">
        <v>0.15</v>
      </c>
      <c r="I199" s="416">
        <f t="shared" ref="I199:I204" si="305">D199*E199*F199*G199</f>
        <v>4819.5</v>
      </c>
      <c r="J199" s="487">
        <f t="shared" ref="J199:J204" si="306">D199*E199*F199*H199</f>
        <v>850.5</v>
      </c>
      <c r="K199" s="513">
        <f t="shared" ref="K199:K204" si="307">I199*4/11</f>
        <v>1752.5454545454545</v>
      </c>
      <c r="L199" s="513">
        <f t="shared" ref="L199:L204" si="308">I199*4/11</f>
        <v>1752.5454545454545</v>
      </c>
      <c r="M199" s="513">
        <f t="shared" ref="M199:M204" si="309">I199*3/11</f>
        <v>1314.409090909091</v>
      </c>
      <c r="N199" s="416">
        <v>0</v>
      </c>
      <c r="O199" s="417" t="s">
        <v>1021</v>
      </c>
      <c r="Q199" s="409" t="s">
        <v>1020</v>
      </c>
      <c r="R199" s="418">
        <v>5</v>
      </c>
      <c r="S199" s="411">
        <v>126</v>
      </c>
      <c r="T199" s="411">
        <v>9</v>
      </c>
      <c r="U199" s="486">
        <v>0.85</v>
      </c>
      <c r="V199" s="486">
        <v>0.15</v>
      </c>
      <c r="W199" s="506">
        <f t="shared" ref="W199:W204" si="310">R199*S199*T199*U199</f>
        <v>4819.5</v>
      </c>
      <c r="X199" s="487">
        <f>R199*S199*T199*V199</f>
        <v>850.5</v>
      </c>
      <c r="Y199" s="487">
        <f t="shared" ref="Y199:Y204" si="311">W199*3/9</f>
        <v>1606.5</v>
      </c>
      <c r="Z199" s="487">
        <f t="shared" ref="Z199:Z204" si="312">W199*3/9</f>
        <v>1606.5</v>
      </c>
      <c r="AA199" s="487">
        <f t="shared" ref="AA199:AA204" si="313">W199*3/9</f>
        <v>1606.5</v>
      </c>
      <c r="AB199" s="416">
        <v>0</v>
      </c>
      <c r="AC199" s="417" t="s">
        <v>1021</v>
      </c>
      <c r="AD199" s="227"/>
      <c r="AE199" s="241">
        <v>1</v>
      </c>
      <c r="AF199" s="204" t="str">
        <f t="shared" si="215"/>
        <v>Appui (Collation) aux reunions de monitorage au niveau CS</v>
      </c>
      <c r="AG199" s="486"/>
      <c r="AH199" s="486"/>
      <c r="AI199" s="506">
        <f t="shared" si="292"/>
        <v>9639</v>
      </c>
      <c r="AJ199" s="506">
        <f t="shared" si="293"/>
        <v>0</v>
      </c>
      <c r="AK199" s="487">
        <f t="shared" si="294"/>
        <v>1701</v>
      </c>
      <c r="AL199" s="487">
        <f t="shared" si="208"/>
        <v>11340</v>
      </c>
      <c r="AM199" s="316">
        <f t="shared" si="209"/>
        <v>4819.5</v>
      </c>
      <c r="AN199" s="316">
        <f t="shared" si="210"/>
        <v>0</v>
      </c>
      <c r="AO199" s="316">
        <f t="shared" si="211"/>
        <v>4819.5</v>
      </c>
      <c r="AP199" s="316">
        <f t="shared" si="212"/>
        <v>0</v>
      </c>
      <c r="AQ199" s="186" t="s">
        <v>898</v>
      </c>
      <c r="AR199" s="169" t="s">
        <v>420</v>
      </c>
    </row>
    <row r="200" spans="1:47" s="186" customFormat="1" ht="39" x14ac:dyDescent="0.3">
      <c r="A200" s="408">
        <v>2</v>
      </c>
      <c r="B200" s="409" t="s">
        <v>1022</v>
      </c>
      <c r="C200" s="409" t="s">
        <v>1023</v>
      </c>
      <c r="D200" s="410">
        <v>5</v>
      </c>
      <c r="E200" s="411">
        <v>126</v>
      </c>
      <c r="F200" s="412">
        <v>9</v>
      </c>
      <c r="G200" s="486">
        <v>0.85</v>
      </c>
      <c r="H200" s="486">
        <v>0.15</v>
      </c>
      <c r="I200" s="416">
        <f t="shared" si="305"/>
        <v>4819.5</v>
      </c>
      <c r="J200" s="487">
        <f t="shared" si="306"/>
        <v>850.5</v>
      </c>
      <c r="K200" s="513">
        <f t="shared" si="307"/>
        <v>1752.5454545454545</v>
      </c>
      <c r="L200" s="513">
        <f t="shared" si="308"/>
        <v>1752.5454545454545</v>
      </c>
      <c r="M200" s="513">
        <f t="shared" si="309"/>
        <v>1314.409090909091</v>
      </c>
      <c r="N200" s="416">
        <v>0</v>
      </c>
      <c r="O200" s="417" t="s">
        <v>1024</v>
      </c>
      <c r="Q200" s="409" t="s">
        <v>1023</v>
      </c>
      <c r="R200" s="418">
        <v>5</v>
      </c>
      <c r="S200" s="411">
        <v>126</v>
      </c>
      <c r="T200" s="411">
        <v>9</v>
      </c>
      <c r="U200" s="486">
        <v>0.85</v>
      </c>
      <c r="V200" s="486">
        <v>0.15</v>
      </c>
      <c r="W200" s="506">
        <f t="shared" si="310"/>
        <v>4819.5</v>
      </c>
      <c r="X200" s="487">
        <f t="shared" ref="X200:X204" si="314">R200*S200*T200*V200</f>
        <v>850.5</v>
      </c>
      <c r="Y200" s="487">
        <f t="shared" si="311"/>
        <v>1606.5</v>
      </c>
      <c r="Z200" s="487">
        <f t="shared" si="312"/>
        <v>1606.5</v>
      </c>
      <c r="AA200" s="487">
        <f t="shared" si="313"/>
        <v>1606.5</v>
      </c>
      <c r="AB200" s="416">
        <v>0</v>
      </c>
      <c r="AC200" s="417" t="s">
        <v>1024</v>
      </c>
      <c r="AD200" s="227"/>
      <c r="AE200" s="241">
        <v>2</v>
      </c>
      <c r="AF200" s="204" t="str">
        <f t="shared" si="215"/>
        <v>Remboursement Transport aux reunions de monitorage au niveau CS</v>
      </c>
      <c r="AG200" s="486">
        <f t="shared" si="290"/>
        <v>0.85</v>
      </c>
      <c r="AH200" s="486">
        <f t="shared" si="291"/>
        <v>0.15</v>
      </c>
      <c r="AI200" s="506">
        <f t="shared" si="292"/>
        <v>9639</v>
      </c>
      <c r="AJ200" s="506">
        <f t="shared" si="293"/>
        <v>0</v>
      </c>
      <c r="AK200" s="487">
        <f t="shared" si="294"/>
        <v>1701</v>
      </c>
      <c r="AL200" s="487">
        <f t="shared" si="208"/>
        <v>11340</v>
      </c>
      <c r="AM200" s="316">
        <f t="shared" si="209"/>
        <v>4819.5</v>
      </c>
      <c r="AN200" s="316">
        <f t="shared" si="210"/>
        <v>0</v>
      </c>
      <c r="AO200" s="316">
        <f t="shared" si="211"/>
        <v>4819.5</v>
      </c>
      <c r="AP200" s="316">
        <f t="shared" si="212"/>
        <v>0</v>
      </c>
      <c r="AQ200" s="186" t="s">
        <v>898</v>
      </c>
      <c r="AR200" s="169" t="s">
        <v>420</v>
      </c>
    </row>
    <row r="201" spans="1:47" s="186" customFormat="1" x14ac:dyDescent="0.3">
      <c r="A201" s="408">
        <v>3</v>
      </c>
      <c r="B201" s="409" t="s">
        <v>1025</v>
      </c>
      <c r="C201" s="409" t="s">
        <v>1026</v>
      </c>
      <c r="D201" s="410">
        <v>2.5</v>
      </c>
      <c r="E201" s="411">
        <v>31</v>
      </c>
      <c r="F201" s="412">
        <v>9</v>
      </c>
      <c r="G201" s="486">
        <v>0.85</v>
      </c>
      <c r="H201" s="486">
        <v>0.15</v>
      </c>
      <c r="I201" s="416">
        <f t="shared" si="305"/>
        <v>592.875</v>
      </c>
      <c r="J201" s="487">
        <f t="shared" si="306"/>
        <v>104.625</v>
      </c>
      <c r="K201" s="513">
        <f t="shared" si="307"/>
        <v>215.59090909090909</v>
      </c>
      <c r="L201" s="513">
        <f t="shared" si="308"/>
        <v>215.59090909090909</v>
      </c>
      <c r="M201" s="513">
        <f t="shared" si="309"/>
        <v>161.69318181818181</v>
      </c>
      <c r="N201" s="416">
        <v>0</v>
      </c>
      <c r="O201" s="417" t="s">
        <v>1027</v>
      </c>
      <c r="Q201" s="409" t="s">
        <v>1028</v>
      </c>
      <c r="R201" s="418">
        <v>2.5</v>
      </c>
      <c r="S201" s="411">
        <v>31</v>
      </c>
      <c r="T201" s="411">
        <v>9</v>
      </c>
      <c r="U201" s="486">
        <v>0.85</v>
      </c>
      <c r="V201" s="486">
        <v>0.15</v>
      </c>
      <c r="W201" s="506">
        <f t="shared" si="310"/>
        <v>592.875</v>
      </c>
      <c r="X201" s="487">
        <f t="shared" si="314"/>
        <v>104.625</v>
      </c>
      <c r="Y201" s="487">
        <f t="shared" si="311"/>
        <v>197.625</v>
      </c>
      <c r="Z201" s="487">
        <f t="shared" si="312"/>
        <v>197.625</v>
      </c>
      <c r="AA201" s="487">
        <f t="shared" si="313"/>
        <v>197.625</v>
      </c>
      <c r="AB201" s="416">
        <v>0</v>
      </c>
      <c r="AC201" s="417" t="s">
        <v>1027</v>
      </c>
      <c r="AD201" s="227"/>
      <c r="AE201" s="241">
        <v>3</v>
      </c>
      <c r="AF201" s="204" t="str">
        <f t="shared" si="215"/>
        <v>Fournitures (Stylo, carnets, flip chart, maqueurs, papier collant) réunions au niveau de CODESA</v>
      </c>
      <c r="AG201" s="486">
        <f t="shared" si="290"/>
        <v>0.85</v>
      </c>
      <c r="AH201" s="486">
        <f t="shared" si="291"/>
        <v>0.15</v>
      </c>
      <c r="AI201" s="506">
        <f t="shared" si="292"/>
        <v>1185.75</v>
      </c>
      <c r="AJ201" s="506">
        <f t="shared" si="293"/>
        <v>0</v>
      </c>
      <c r="AK201" s="487">
        <f t="shared" si="294"/>
        <v>209.25</v>
      </c>
      <c r="AL201" s="487">
        <f t="shared" si="208"/>
        <v>1395</v>
      </c>
      <c r="AM201" s="316">
        <f t="shared" si="209"/>
        <v>592.875</v>
      </c>
      <c r="AN201" s="316">
        <f t="shared" si="210"/>
        <v>0</v>
      </c>
      <c r="AO201" s="316">
        <f t="shared" si="211"/>
        <v>592.875</v>
      </c>
      <c r="AP201" s="316">
        <f t="shared" si="212"/>
        <v>0</v>
      </c>
      <c r="AQ201" s="186" t="s">
        <v>898</v>
      </c>
      <c r="AR201" s="169" t="s">
        <v>420</v>
      </c>
    </row>
    <row r="202" spans="1:47" s="186" customFormat="1" ht="26" x14ac:dyDescent="0.3">
      <c r="A202" s="408">
        <v>4</v>
      </c>
      <c r="B202" s="409" t="s">
        <v>474</v>
      </c>
      <c r="C202" s="409" t="s">
        <v>475</v>
      </c>
      <c r="D202" s="410">
        <v>10</v>
      </c>
      <c r="E202" s="411">
        <v>45</v>
      </c>
      <c r="F202" s="412">
        <v>9</v>
      </c>
      <c r="G202" s="486">
        <v>0.85</v>
      </c>
      <c r="H202" s="486">
        <v>0.15</v>
      </c>
      <c r="I202" s="416">
        <f t="shared" si="305"/>
        <v>3442.5</v>
      </c>
      <c r="J202" s="487">
        <f t="shared" si="306"/>
        <v>607.5</v>
      </c>
      <c r="K202" s="513">
        <f t="shared" si="307"/>
        <v>1251.8181818181818</v>
      </c>
      <c r="L202" s="513">
        <f t="shared" si="308"/>
        <v>1251.8181818181818</v>
      </c>
      <c r="M202" s="513">
        <f t="shared" si="309"/>
        <v>938.86363636363637</v>
      </c>
      <c r="N202" s="416">
        <v>0</v>
      </c>
      <c r="O202" s="417" t="s">
        <v>1029</v>
      </c>
      <c r="Q202" s="409" t="s">
        <v>475</v>
      </c>
      <c r="R202" s="418">
        <v>10</v>
      </c>
      <c r="S202" s="411">
        <v>45</v>
      </c>
      <c r="T202" s="411">
        <v>9</v>
      </c>
      <c r="U202" s="486">
        <v>0.85</v>
      </c>
      <c r="V202" s="486">
        <v>0.15</v>
      </c>
      <c r="W202" s="506">
        <f t="shared" si="310"/>
        <v>3442.5</v>
      </c>
      <c r="X202" s="487">
        <f t="shared" si="314"/>
        <v>607.5</v>
      </c>
      <c r="Y202" s="487">
        <f t="shared" si="311"/>
        <v>1147.5</v>
      </c>
      <c r="Z202" s="487">
        <f t="shared" si="312"/>
        <v>1147.5</v>
      </c>
      <c r="AA202" s="487">
        <f t="shared" si="313"/>
        <v>1147.5</v>
      </c>
      <c r="AB202" s="416">
        <v>0</v>
      </c>
      <c r="AC202" s="417" t="s">
        <v>1029</v>
      </c>
      <c r="AD202" s="227"/>
      <c r="AE202" s="241">
        <v>4</v>
      </c>
      <c r="AF202" s="204" t="str">
        <f t="shared" si="215"/>
        <v>Appui (Collation) aux reunions de monitorage dans 2 BCZS</v>
      </c>
      <c r="AG202" s="486">
        <f t="shared" si="290"/>
        <v>0.85</v>
      </c>
      <c r="AH202" s="486">
        <f t="shared" si="291"/>
        <v>0.15</v>
      </c>
      <c r="AI202" s="506">
        <f t="shared" si="292"/>
        <v>6885</v>
      </c>
      <c r="AJ202" s="506">
        <f t="shared" si="293"/>
        <v>0</v>
      </c>
      <c r="AK202" s="487">
        <f t="shared" si="294"/>
        <v>1215</v>
      </c>
      <c r="AL202" s="487">
        <f t="shared" ref="AL202:AL261" si="315">AI202+AJ202+AK202</f>
        <v>8100</v>
      </c>
      <c r="AM202" s="316">
        <f t="shared" ref="AM202:AM265" si="316">I202</f>
        <v>3442.5</v>
      </c>
      <c r="AN202" s="316">
        <f t="shared" ref="AN202:AN265" si="317">N202</f>
        <v>0</v>
      </c>
      <c r="AO202" s="316">
        <f t="shared" ref="AO202:AO265" si="318">W202</f>
        <v>3442.5</v>
      </c>
      <c r="AP202" s="316">
        <f t="shared" ref="AP202:AP265" si="319">AB202</f>
        <v>0</v>
      </c>
      <c r="AQ202" s="186" t="s">
        <v>898</v>
      </c>
      <c r="AR202" s="169" t="s">
        <v>420</v>
      </c>
    </row>
    <row r="203" spans="1:47" s="186" customFormat="1" ht="26" x14ac:dyDescent="0.3">
      <c r="A203" s="408">
        <v>5</v>
      </c>
      <c r="B203" s="409" t="s">
        <v>476</v>
      </c>
      <c r="C203" s="409" t="s">
        <v>475</v>
      </c>
      <c r="D203" s="410">
        <v>10</v>
      </c>
      <c r="E203" s="411">
        <v>45</v>
      </c>
      <c r="F203" s="412">
        <v>9</v>
      </c>
      <c r="G203" s="486">
        <v>0.85</v>
      </c>
      <c r="H203" s="486">
        <v>0.15</v>
      </c>
      <c r="I203" s="416">
        <f t="shared" si="305"/>
        <v>3442.5</v>
      </c>
      <c r="J203" s="487">
        <f t="shared" si="306"/>
        <v>607.5</v>
      </c>
      <c r="K203" s="513">
        <f t="shared" si="307"/>
        <v>1251.8181818181818</v>
      </c>
      <c r="L203" s="513">
        <f t="shared" si="308"/>
        <v>1251.8181818181818</v>
      </c>
      <c r="M203" s="513">
        <f t="shared" si="309"/>
        <v>938.86363636363637</v>
      </c>
      <c r="N203" s="416">
        <v>0</v>
      </c>
      <c r="O203" s="417" t="s">
        <v>1030</v>
      </c>
      <c r="Q203" s="409" t="s">
        <v>475</v>
      </c>
      <c r="R203" s="418">
        <v>10</v>
      </c>
      <c r="S203" s="411">
        <v>45</v>
      </c>
      <c r="T203" s="411">
        <v>9</v>
      </c>
      <c r="U203" s="486">
        <v>0.85</v>
      </c>
      <c r="V203" s="486">
        <v>0.15</v>
      </c>
      <c r="W203" s="506">
        <f t="shared" si="310"/>
        <v>3442.5</v>
      </c>
      <c r="X203" s="487">
        <f t="shared" si="314"/>
        <v>607.5</v>
      </c>
      <c r="Y203" s="487">
        <f t="shared" si="311"/>
        <v>1147.5</v>
      </c>
      <c r="Z203" s="487">
        <f t="shared" si="312"/>
        <v>1147.5</v>
      </c>
      <c r="AA203" s="487">
        <f t="shared" si="313"/>
        <v>1147.5</v>
      </c>
      <c r="AB203" s="416">
        <v>0</v>
      </c>
      <c r="AC203" s="417" t="s">
        <v>1030</v>
      </c>
      <c r="AD203" s="227"/>
      <c r="AE203" s="241">
        <v>5</v>
      </c>
      <c r="AF203" s="204" t="str">
        <f t="shared" si="215"/>
        <v>Remboursement transport aux réunions de monitorage au niveau de 2 BCZS</v>
      </c>
      <c r="AG203" s="486">
        <f t="shared" si="290"/>
        <v>0.85</v>
      </c>
      <c r="AH203" s="486">
        <f t="shared" si="291"/>
        <v>0.15</v>
      </c>
      <c r="AI203" s="506">
        <f t="shared" si="292"/>
        <v>6885</v>
      </c>
      <c r="AJ203" s="506">
        <f t="shared" si="293"/>
        <v>0</v>
      </c>
      <c r="AK203" s="487">
        <f t="shared" si="294"/>
        <v>1215</v>
      </c>
      <c r="AL203" s="487">
        <f t="shared" si="315"/>
        <v>8100</v>
      </c>
      <c r="AM203" s="316">
        <f t="shared" si="316"/>
        <v>3442.5</v>
      </c>
      <c r="AN203" s="316">
        <f t="shared" si="317"/>
        <v>0</v>
      </c>
      <c r="AO203" s="316">
        <f t="shared" si="318"/>
        <v>3442.5</v>
      </c>
      <c r="AP203" s="316">
        <f t="shared" si="319"/>
        <v>0</v>
      </c>
      <c r="AQ203" s="186" t="s">
        <v>898</v>
      </c>
      <c r="AR203" s="169" t="s">
        <v>420</v>
      </c>
    </row>
    <row r="204" spans="1:47" s="186" customFormat="1" ht="26" x14ac:dyDescent="0.3">
      <c r="A204" s="408">
        <v>6</v>
      </c>
      <c r="B204" s="409" t="s">
        <v>477</v>
      </c>
      <c r="C204" s="409" t="s">
        <v>478</v>
      </c>
      <c r="D204" s="410">
        <v>30</v>
      </c>
      <c r="E204" s="411">
        <v>2</v>
      </c>
      <c r="F204" s="412">
        <v>9</v>
      </c>
      <c r="G204" s="486">
        <v>0.85</v>
      </c>
      <c r="H204" s="486">
        <v>0.15</v>
      </c>
      <c r="I204" s="416">
        <f t="shared" si="305"/>
        <v>459</v>
      </c>
      <c r="J204" s="487">
        <f t="shared" si="306"/>
        <v>81</v>
      </c>
      <c r="K204" s="513">
        <f t="shared" si="307"/>
        <v>166.90909090909091</v>
      </c>
      <c r="L204" s="513">
        <f t="shared" si="308"/>
        <v>166.90909090909091</v>
      </c>
      <c r="M204" s="513">
        <f t="shared" si="309"/>
        <v>125.18181818181819</v>
      </c>
      <c r="N204" s="416">
        <v>0</v>
      </c>
      <c r="O204" s="417" t="s">
        <v>1031</v>
      </c>
      <c r="Q204" s="409" t="s">
        <v>478</v>
      </c>
      <c r="R204" s="418">
        <v>30</v>
      </c>
      <c r="S204" s="411">
        <v>2</v>
      </c>
      <c r="T204" s="411">
        <v>9</v>
      </c>
      <c r="U204" s="486">
        <v>0.85</v>
      </c>
      <c r="V204" s="486">
        <v>0.15</v>
      </c>
      <c r="W204" s="506">
        <f t="shared" si="310"/>
        <v>459</v>
      </c>
      <c r="X204" s="487">
        <f t="shared" si="314"/>
        <v>81</v>
      </c>
      <c r="Y204" s="487">
        <f t="shared" si="311"/>
        <v>153</v>
      </c>
      <c r="Z204" s="487">
        <f t="shared" si="312"/>
        <v>153</v>
      </c>
      <c r="AA204" s="487">
        <f t="shared" si="313"/>
        <v>153</v>
      </c>
      <c r="AB204" s="416">
        <v>0</v>
      </c>
      <c r="AC204" s="417" t="s">
        <v>1031</v>
      </c>
      <c r="AD204" s="227"/>
      <c r="AE204" s="241">
        <v>6</v>
      </c>
      <c r="AF204" s="204" t="str">
        <f t="shared" ref="AF204:AF267" si="320">B204</f>
        <v xml:space="preserve">Fournitures (Stylo, carnets, flip chart, maqueurs, papier collant) réunions de monitorage au niveau BCZS </v>
      </c>
      <c r="AG204" s="486">
        <f t="shared" si="290"/>
        <v>0.85</v>
      </c>
      <c r="AH204" s="486">
        <f t="shared" si="291"/>
        <v>0.15</v>
      </c>
      <c r="AI204" s="506">
        <f t="shared" si="292"/>
        <v>918</v>
      </c>
      <c r="AJ204" s="506">
        <f t="shared" si="293"/>
        <v>0</v>
      </c>
      <c r="AK204" s="487">
        <f t="shared" si="294"/>
        <v>162</v>
      </c>
      <c r="AL204" s="487">
        <f t="shared" si="315"/>
        <v>1080</v>
      </c>
      <c r="AM204" s="316">
        <f t="shared" si="316"/>
        <v>459</v>
      </c>
      <c r="AN204" s="316">
        <f t="shared" si="317"/>
        <v>0</v>
      </c>
      <c r="AO204" s="316">
        <f t="shared" si="318"/>
        <v>459</v>
      </c>
      <c r="AP204" s="316">
        <f t="shared" si="319"/>
        <v>0</v>
      </c>
      <c r="AQ204" s="186" t="s">
        <v>898</v>
      </c>
      <c r="AR204" s="169" t="s">
        <v>420</v>
      </c>
    </row>
    <row r="205" spans="1:47" x14ac:dyDescent="0.3">
      <c r="A205" s="480" t="s">
        <v>1032</v>
      </c>
      <c r="B205" s="861" t="s">
        <v>1033</v>
      </c>
      <c r="C205" s="862"/>
      <c r="D205" s="862"/>
      <c r="E205" s="862"/>
      <c r="F205" s="862"/>
      <c r="G205" s="862"/>
      <c r="H205" s="863"/>
      <c r="I205" s="481">
        <f>SUM(I206:I208)</f>
        <v>3032.7999999999997</v>
      </c>
      <c r="J205" s="482">
        <f t="shared" ref="J205:M205" si="321">SUM(J206:J208)</f>
        <v>535.20000000000005</v>
      </c>
      <c r="K205" s="482">
        <f t="shared" si="321"/>
        <v>1102.8363636363636</v>
      </c>
      <c r="L205" s="482">
        <f t="shared" si="321"/>
        <v>1102.8363636363636</v>
      </c>
      <c r="M205" s="482">
        <f t="shared" si="321"/>
        <v>827.12727272727273</v>
      </c>
      <c r="N205" s="481">
        <f>SUM(N206:N208)</f>
        <v>0</v>
      </c>
      <c r="O205" s="508"/>
      <c r="Q205" s="538"/>
      <c r="R205" s="539"/>
      <c r="S205" s="538"/>
      <c r="T205" s="539"/>
      <c r="U205" s="539"/>
      <c r="V205" s="484"/>
      <c r="W205" s="482">
        <f t="shared" ref="W205" si="322">SUM(W206:W208)</f>
        <v>3202.7999999999997</v>
      </c>
      <c r="X205" s="482">
        <f>SUM(X206:X208)</f>
        <v>565.20000000000005</v>
      </c>
      <c r="Y205" s="482">
        <f>SUM(Y206:Y208)</f>
        <v>1601.3999999999999</v>
      </c>
      <c r="Z205" s="482">
        <f t="shared" ref="Z205:AA205" si="323">SUM(Z206:Z208)</f>
        <v>1601.3999999999999</v>
      </c>
      <c r="AA205" s="482">
        <f t="shared" si="323"/>
        <v>0</v>
      </c>
      <c r="AB205" s="481">
        <f>SUM(AB206:AB208)</f>
        <v>0</v>
      </c>
      <c r="AC205" s="508"/>
      <c r="AD205" s="234"/>
      <c r="AE205" s="247" t="s">
        <v>1032</v>
      </c>
      <c r="AF205" s="204" t="str">
        <f t="shared" si="320"/>
        <v>Assurer les missions de suivi du projet par le niveau provincial (au niveau des centres de santé)</v>
      </c>
      <c r="AG205" s="485">
        <f t="shared" si="290"/>
        <v>0.85</v>
      </c>
      <c r="AH205" s="485">
        <f t="shared" si="291"/>
        <v>0.15000000000000002</v>
      </c>
      <c r="AI205" s="482">
        <f t="shared" si="292"/>
        <v>6235.5999999999995</v>
      </c>
      <c r="AJ205" s="482">
        <f t="shared" si="293"/>
        <v>0</v>
      </c>
      <c r="AK205" s="482">
        <f t="shared" si="294"/>
        <v>1100.4000000000001</v>
      </c>
      <c r="AL205" s="482">
        <f t="shared" si="315"/>
        <v>7336</v>
      </c>
      <c r="AM205" s="314">
        <f t="shared" si="316"/>
        <v>3032.7999999999997</v>
      </c>
      <c r="AN205" s="314">
        <f t="shared" si="317"/>
        <v>0</v>
      </c>
      <c r="AO205" s="314">
        <f t="shared" si="318"/>
        <v>3202.7999999999997</v>
      </c>
      <c r="AP205" s="314">
        <f t="shared" si="319"/>
        <v>0</v>
      </c>
    </row>
    <row r="206" spans="1:47" s="186" customFormat="1" ht="39" x14ac:dyDescent="0.3">
      <c r="A206" s="408">
        <v>1</v>
      </c>
      <c r="B206" s="409" t="s">
        <v>1034</v>
      </c>
      <c r="C206" s="409" t="s">
        <v>1035</v>
      </c>
      <c r="D206" s="410">
        <v>56</v>
      </c>
      <c r="E206" s="411">
        <v>24</v>
      </c>
      <c r="F206" s="412">
        <v>2</v>
      </c>
      <c r="G206" s="486">
        <v>0.85</v>
      </c>
      <c r="H206" s="486">
        <v>0.15</v>
      </c>
      <c r="I206" s="416">
        <f t="shared" ref="I206:I208" si="324">D206*E206*F206*G206</f>
        <v>2284.7999999999997</v>
      </c>
      <c r="J206" s="487">
        <f>D206*E206*F206*H206</f>
        <v>403.2</v>
      </c>
      <c r="K206" s="513">
        <f>I206*4/11</f>
        <v>830.83636363636356</v>
      </c>
      <c r="L206" s="513">
        <f>I206*4/11</f>
        <v>830.83636363636356</v>
      </c>
      <c r="M206" s="513">
        <f>I206*3/11</f>
        <v>623.12727272727273</v>
      </c>
      <c r="N206" s="416">
        <v>0</v>
      </c>
      <c r="O206" s="417" t="s">
        <v>1036</v>
      </c>
      <c r="Q206" s="409" t="s">
        <v>1035</v>
      </c>
      <c r="R206" s="418">
        <v>56</v>
      </c>
      <c r="S206" s="411">
        <v>24</v>
      </c>
      <c r="T206" s="411">
        <v>2</v>
      </c>
      <c r="U206" s="486">
        <v>0.85</v>
      </c>
      <c r="V206" s="486">
        <v>0.15</v>
      </c>
      <c r="W206" s="506">
        <f t="shared" ref="W206:W208" si="325">R206*S206*T206*U206</f>
        <v>2284.7999999999997</v>
      </c>
      <c r="X206" s="487">
        <f>R206*S206*T206*V206</f>
        <v>403.2</v>
      </c>
      <c r="Y206" s="513">
        <f>W206*50/100</f>
        <v>1142.3999999999999</v>
      </c>
      <c r="Z206" s="513">
        <f>W206*50/100</f>
        <v>1142.3999999999999</v>
      </c>
      <c r="AA206" s="487"/>
      <c r="AB206" s="416">
        <v>0</v>
      </c>
      <c r="AC206" s="417" t="s">
        <v>1036</v>
      </c>
      <c r="AD206" s="227"/>
      <c r="AE206" s="241">
        <v>1</v>
      </c>
      <c r="AF206" s="204" t="str">
        <f t="shared" si="320"/>
        <v>DSA Equipe cadre de la DPS/ PRONANUT coordination provinciale</v>
      </c>
      <c r="AG206" s="486">
        <f t="shared" si="290"/>
        <v>0.85000000000000009</v>
      </c>
      <c r="AH206" s="486">
        <f t="shared" si="291"/>
        <v>0.15000000000000002</v>
      </c>
      <c r="AI206" s="506">
        <f t="shared" si="292"/>
        <v>4569.5999999999995</v>
      </c>
      <c r="AJ206" s="506">
        <f t="shared" si="293"/>
        <v>0</v>
      </c>
      <c r="AK206" s="487">
        <f t="shared" si="294"/>
        <v>806.4</v>
      </c>
      <c r="AL206" s="487">
        <f t="shared" si="315"/>
        <v>5375.9999999999991</v>
      </c>
      <c r="AM206" s="316">
        <f t="shared" si="316"/>
        <v>2284.7999999999997</v>
      </c>
      <c r="AN206" s="316">
        <f t="shared" si="317"/>
        <v>0</v>
      </c>
      <c r="AO206" s="316">
        <f t="shared" si="318"/>
        <v>2284.7999999999997</v>
      </c>
      <c r="AP206" s="316">
        <f t="shared" si="319"/>
        <v>0</v>
      </c>
      <c r="AQ206" s="186" t="s">
        <v>898</v>
      </c>
      <c r="AR206" s="169" t="s">
        <v>420</v>
      </c>
    </row>
    <row r="207" spans="1:47" s="186" customFormat="1" ht="39" x14ac:dyDescent="0.3">
      <c r="A207" s="408">
        <v>2</v>
      </c>
      <c r="B207" s="409" t="s">
        <v>1037</v>
      </c>
      <c r="C207" s="409" t="s">
        <v>1035</v>
      </c>
      <c r="D207" s="410">
        <v>200</v>
      </c>
      <c r="E207" s="411">
        <v>4</v>
      </c>
      <c r="F207" s="412">
        <v>1</v>
      </c>
      <c r="G207" s="486">
        <v>0.85</v>
      </c>
      <c r="H207" s="486">
        <v>0.15</v>
      </c>
      <c r="I207" s="416">
        <f>D207*E207*F207*G207</f>
        <v>680</v>
      </c>
      <c r="J207" s="487">
        <f>D207*E207*F207*H207</f>
        <v>120</v>
      </c>
      <c r="K207" s="513">
        <f>I207*4/11</f>
        <v>247.27272727272728</v>
      </c>
      <c r="L207" s="513">
        <f>I207*4/11</f>
        <v>247.27272727272728</v>
      </c>
      <c r="M207" s="513">
        <f>I207*3/11</f>
        <v>185.45454545454547</v>
      </c>
      <c r="N207" s="416">
        <v>0</v>
      </c>
      <c r="O207" s="417" t="s">
        <v>1038</v>
      </c>
      <c r="Q207" s="409" t="s">
        <v>1035</v>
      </c>
      <c r="R207" s="418">
        <v>200</v>
      </c>
      <c r="S207" s="411">
        <v>3</v>
      </c>
      <c r="T207" s="411">
        <v>1</v>
      </c>
      <c r="U207" s="486">
        <v>0.85</v>
      </c>
      <c r="V207" s="486">
        <v>0.15</v>
      </c>
      <c r="W207" s="506">
        <f t="shared" si="325"/>
        <v>510</v>
      </c>
      <c r="X207" s="487">
        <f t="shared" ref="X207:X208" si="326">R207*S207*T207*V207</f>
        <v>90</v>
      </c>
      <c r="Y207" s="513">
        <f t="shared" ref="Y207:Y208" si="327">W207*50/100</f>
        <v>255</v>
      </c>
      <c r="Z207" s="513">
        <f t="shared" ref="Z207:Z208" si="328">W207*50/100</f>
        <v>255</v>
      </c>
      <c r="AA207" s="487"/>
      <c r="AB207" s="416">
        <v>0</v>
      </c>
      <c r="AC207" s="417" t="s">
        <v>1038</v>
      </c>
      <c r="AD207" s="227"/>
      <c r="AE207" s="241">
        <v>2</v>
      </c>
      <c r="AF207" s="204" t="str">
        <f t="shared" si="320"/>
        <v>Transport Equipe Cadre de la DPS/ PRONANUT coordination provinciale</v>
      </c>
      <c r="AG207" s="486">
        <f t="shared" si="290"/>
        <v>0.85</v>
      </c>
      <c r="AH207" s="486">
        <f t="shared" si="291"/>
        <v>0.15</v>
      </c>
      <c r="AI207" s="506">
        <f t="shared" si="292"/>
        <v>1190</v>
      </c>
      <c r="AJ207" s="506">
        <f t="shared" si="293"/>
        <v>0</v>
      </c>
      <c r="AK207" s="487">
        <f t="shared" si="294"/>
        <v>210</v>
      </c>
      <c r="AL207" s="487">
        <f t="shared" si="315"/>
        <v>1400</v>
      </c>
      <c r="AM207" s="316">
        <f t="shared" si="316"/>
        <v>680</v>
      </c>
      <c r="AN207" s="316">
        <f t="shared" si="317"/>
        <v>0</v>
      </c>
      <c r="AO207" s="316">
        <f t="shared" si="318"/>
        <v>510</v>
      </c>
      <c r="AP207" s="316">
        <f t="shared" si="319"/>
        <v>0</v>
      </c>
      <c r="AQ207" s="186" t="s">
        <v>898</v>
      </c>
      <c r="AR207" s="169" t="s">
        <v>420</v>
      </c>
    </row>
    <row r="208" spans="1:47" s="186" customFormat="1" ht="26" x14ac:dyDescent="0.3">
      <c r="A208" s="408">
        <v>3</v>
      </c>
      <c r="B208" s="409" t="s">
        <v>1039</v>
      </c>
      <c r="C208" s="409" t="s">
        <v>1040</v>
      </c>
      <c r="D208" s="410">
        <v>10</v>
      </c>
      <c r="E208" s="411">
        <v>4</v>
      </c>
      <c r="F208" s="412">
        <v>2</v>
      </c>
      <c r="G208" s="486">
        <v>0.85</v>
      </c>
      <c r="H208" s="486">
        <v>0.15</v>
      </c>
      <c r="I208" s="416">
        <f t="shared" si="324"/>
        <v>68</v>
      </c>
      <c r="J208" s="487">
        <f>D208*E208*F208*H208</f>
        <v>12</v>
      </c>
      <c r="K208" s="513">
        <f>I208*4/11</f>
        <v>24.727272727272727</v>
      </c>
      <c r="L208" s="513">
        <f>I208*4/11</f>
        <v>24.727272727272727</v>
      </c>
      <c r="M208" s="513">
        <f>I208*3/11</f>
        <v>18.545454545454547</v>
      </c>
      <c r="N208" s="416">
        <v>0</v>
      </c>
      <c r="O208" s="417" t="s">
        <v>1041</v>
      </c>
      <c r="Q208" s="409" t="s">
        <v>1040</v>
      </c>
      <c r="R208" s="418">
        <v>10</v>
      </c>
      <c r="S208" s="411">
        <v>24</v>
      </c>
      <c r="T208" s="411">
        <v>2</v>
      </c>
      <c r="U208" s="486">
        <v>0.85</v>
      </c>
      <c r="V208" s="486">
        <v>0.15</v>
      </c>
      <c r="W208" s="506">
        <f t="shared" si="325"/>
        <v>408</v>
      </c>
      <c r="X208" s="487">
        <f t="shared" si="326"/>
        <v>72</v>
      </c>
      <c r="Y208" s="513">
        <f t="shared" si="327"/>
        <v>204</v>
      </c>
      <c r="Z208" s="513">
        <f t="shared" si="328"/>
        <v>204</v>
      </c>
      <c r="AA208" s="487"/>
      <c r="AB208" s="416">
        <v>0</v>
      </c>
      <c r="AC208" s="417" t="s">
        <v>1041</v>
      </c>
      <c r="AD208" s="227"/>
      <c r="AE208" s="241">
        <v>3</v>
      </c>
      <c r="AF208" s="204" t="str">
        <f t="shared" si="320"/>
        <v>Unites Communication DPS/PRONANUT provincial</v>
      </c>
      <c r="AG208" s="486">
        <f t="shared" si="290"/>
        <v>0.85</v>
      </c>
      <c r="AH208" s="486">
        <f t="shared" si="291"/>
        <v>0.15</v>
      </c>
      <c r="AI208" s="506">
        <f t="shared" si="292"/>
        <v>476</v>
      </c>
      <c r="AJ208" s="506">
        <f t="shared" si="293"/>
        <v>0</v>
      </c>
      <c r="AK208" s="487">
        <f t="shared" si="294"/>
        <v>84</v>
      </c>
      <c r="AL208" s="487">
        <f t="shared" si="315"/>
        <v>560</v>
      </c>
      <c r="AM208" s="316">
        <f t="shared" si="316"/>
        <v>68</v>
      </c>
      <c r="AN208" s="316">
        <f t="shared" si="317"/>
        <v>0</v>
      </c>
      <c r="AO208" s="316">
        <f t="shared" si="318"/>
        <v>408</v>
      </c>
      <c r="AP208" s="316">
        <f t="shared" si="319"/>
        <v>0</v>
      </c>
      <c r="AQ208" s="186" t="s">
        <v>898</v>
      </c>
      <c r="AR208" s="169" t="s">
        <v>420</v>
      </c>
    </row>
    <row r="209" spans="1:43" ht="12.75" customHeight="1" x14ac:dyDescent="0.3">
      <c r="A209" s="480" t="s">
        <v>260</v>
      </c>
      <c r="B209" s="861" t="s">
        <v>315</v>
      </c>
      <c r="C209" s="862"/>
      <c r="D209" s="862"/>
      <c r="E209" s="862"/>
      <c r="F209" s="862"/>
      <c r="G209" s="862"/>
      <c r="H209" s="863"/>
      <c r="I209" s="481">
        <f>SUM(I210:I214)</f>
        <v>100950</v>
      </c>
      <c r="J209" s="482">
        <f t="shared" ref="J209:M209" si="329">SUM(J210:J214)</f>
        <v>0</v>
      </c>
      <c r="K209" s="482">
        <f t="shared" si="329"/>
        <v>70665</v>
      </c>
      <c r="L209" s="482">
        <f t="shared" si="329"/>
        <v>20190</v>
      </c>
      <c r="M209" s="482">
        <f t="shared" si="329"/>
        <v>10095</v>
      </c>
      <c r="N209" s="481">
        <f>SUM(N210:N214)</f>
        <v>0</v>
      </c>
      <c r="O209" s="508"/>
      <c r="Q209" s="538"/>
      <c r="R209" s="539"/>
      <c r="S209" s="538"/>
      <c r="T209" s="539"/>
      <c r="U209" s="539"/>
      <c r="V209" s="484"/>
      <c r="W209" s="482">
        <f t="shared" ref="W209:X209" si="330">SUM(W210:W214)</f>
        <v>72750</v>
      </c>
      <c r="X209" s="482">
        <f t="shared" si="330"/>
        <v>0</v>
      </c>
      <c r="Y209" s="482">
        <f>SUM(Y210:Y214)</f>
        <v>50925</v>
      </c>
      <c r="Z209" s="482">
        <f t="shared" ref="Z209:AA209" si="331">SUM(Z210:Z214)</f>
        <v>14550</v>
      </c>
      <c r="AA209" s="482">
        <f t="shared" si="331"/>
        <v>7275</v>
      </c>
      <c r="AB209" s="481">
        <f>SUM(AB210:AB214)</f>
        <v>0</v>
      </c>
      <c r="AC209" s="508"/>
      <c r="AD209" s="234"/>
      <c r="AE209" s="247" t="s">
        <v>260</v>
      </c>
      <c r="AF209" s="204" t="str">
        <f t="shared" si="320"/>
        <v>Construire / Réhabiliter les infrastructures d'eau potable au sein des formations sanitaires, prenant en compte les besoins spécifiques des femmes et des filles</v>
      </c>
      <c r="AG209" s="485">
        <f t="shared" si="290"/>
        <v>1</v>
      </c>
      <c r="AH209" s="485">
        <f t="shared" si="291"/>
        <v>0</v>
      </c>
      <c r="AI209" s="482">
        <f t="shared" si="292"/>
        <v>173700</v>
      </c>
      <c r="AJ209" s="482">
        <f t="shared" si="293"/>
        <v>0</v>
      </c>
      <c r="AK209" s="482">
        <f t="shared" si="294"/>
        <v>0</v>
      </c>
      <c r="AL209" s="482">
        <f t="shared" si="315"/>
        <v>173700</v>
      </c>
      <c r="AM209" s="314">
        <f t="shared" si="316"/>
        <v>100950</v>
      </c>
      <c r="AN209" s="314">
        <f t="shared" si="317"/>
        <v>0</v>
      </c>
      <c r="AO209" s="314">
        <f t="shared" si="318"/>
        <v>72750</v>
      </c>
      <c r="AP209" s="314">
        <f t="shared" si="319"/>
        <v>0</v>
      </c>
    </row>
    <row r="210" spans="1:43" s="186" customFormat="1" ht="26" x14ac:dyDescent="0.35">
      <c r="A210" s="408">
        <v>1</v>
      </c>
      <c r="B210" s="540" t="s">
        <v>1042</v>
      </c>
      <c r="C210" s="409" t="s">
        <v>1043</v>
      </c>
      <c r="D210" s="410">
        <f>440+900</f>
        <v>1340</v>
      </c>
      <c r="E210" s="411">
        <v>15</v>
      </c>
      <c r="F210" s="412">
        <v>1</v>
      </c>
      <c r="G210" s="486">
        <v>1</v>
      </c>
      <c r="H210" s="486">
        <f>100%-G210</f>
        <v>0</v>
      </c>
      <c r="I210" s="416">
        <f t="shared" ref="I210:I214" si="332">D210*E210*F210*G210</f>
        <v>20100</v>
      </c>
      <c r="J210" s="487">
        <f>D210*E210*F210*H210</f>
        <v>0</v>
      </c>
      <c r="K210" s="513">
        <f>I210*70/100</f>
        <v>14070</v>
      </c>
      <c r="L210" s="513">
        <f>I210*20/100</f>
        <v>4020</v>
      </c>
      <c r="M210" s="513">
        <f>I210*10/100</f>
        <v>2010</v>
      </c>
      <c r="N210" s="416">
        <v>0</v>
      </c>
      <c r="O210" s="417" t="s">
        <v>1044</v>
      </c>
      <c r="Q210" s="409" t="s">
        <v>1043</v>
      </c>
      <c r="R210" s="418">
        <f>440+900</f>
        <v>1340</v>
      </c>
      <c r="S210" s="411">
        <v>10</v>
      </c>
      <c r="T210" s="411">
        <v>1</v>
      </c>
      <c r="U210" s="486">
        <v>1</v>
      </c>
      <c r="V210" s="486">
        <f>100%-U210</f>
        <v>0</v>
      </c>
      <c r="W210" s="506">
        <f t="shared" ref="W210:W214" si="333">R210*S210*T210*U210</f>
        <v>13400</v>
      </c>
      <c r="X210" s="487">
        <f t="shared" ref="X210:X214" si="334">R210*S210*T210*V210</f>
        <v>0</v>
      </c>
      <c r="Y210" s="513">
        <f>W210*70/100</f>
        <v>9380</v>
      </c>
      <c r="Z210" s="513">
        <f>W210*20/100</f>
        <v>2680</v>
      </c>
      <c r="AA210" s="487">
        <f>W210*10/100</f>
        <v>1340</v>
      </c>
      <c r="AB210" s="416">
        <v>0</v>
      </c>
      <c r="AC210" s="417" t="s">
        <v>1045</v>
      </c>
      <c r="AD210" s="227"/>
      <c r="AE210" s="241">
        <v>1</v>
      </c>
      <c r="AF210" s="204" t="str">
        <f t="shared" si="320"/>
        <v>Branchement des Centres de Santé aux réseaux d'eau existants</v>
      </c>
      <c r="AG210" s="486">
        <f t="shared" si="290"/>
        <v>1</v>
      </c>
      <c r="AH210" s="486">
        <f t="shared" si="291"/>
        <v>0</v>
      </c>
      <c r="AI210" s="506">
        <f t="shared" si="292"/>
        <v>33500</v>
      </c>
      <c r="AJ210" s="506">
        <f t="shared" si="293"/>
        <v>0</v>
      </c>
      <c r="AK210" s="487">
        <f t="shared" si="294"/>
        <v>0</v>
      </c>
      <c r="AL210" s="487">
        <f t="shared" si="315"/>
        <v>33500</v>
      </c>
      <c r="AM210" s="316">
        <f t="shared" si="316"/>
        <v>20100</v>
      </c>
      <c r="AN210" s="316">
        <f t="shared" si="317"/>
        <v>0</v>
      </c>
      <c r="AO210" s="316">
        <f t="shared" si="318"/>
        <v>13400</v>
      </c>
      <c r="AP210" s="316">
        <f t="shared" si="319"/>
        <v>0</v>
      </c>
      <c r="AQ210" s="186" t="s">
        <v>806</v>
      </c>
    </row>
    <row r="211" spans="1:43" s="186" customFormat="1" ht="39" x14ac:dyDescent="0.35">
      <c r="A211" s="408">
        <v>2</v>
      </c>
      <c r="B211" s="540" t="s">
        <v>1046</v>
      </c>
      <c r="C211" s="409" t="s">
        <v>1043</v>
      </c>
      <c r="D211" s="410">
        <v>1800</v>
      </c>
      <c r="E211" s="411">
        <v>15</v>
      </c>
      <c r="F211" s="412">
        <v>1</v>
      </c>
      <c r="G211" s="486">
        <v>1</v>
      </c>
      <c r="H211" s="486">
        <f t="shared" ref="H211:H214" si="335">100%-G211</f>
        <v>0</v>
      </c>
      <c r="I211" s="416">
        <f t="shared" si="332"/>
        <v>27000</v>
      </c>
      <c r="J211" s="487">
        <f>D211*E211*F211*H211</f>
        <v>0</v>
      </c>
      <c r="K211" s="513">
        <f>I211*70/100</f>
        <v>18900</v>
      </c>
      <c r="L211" s="513">
        <f>I211*20/100</f>
        <v>5400</v>
      </c>
      <c r="M211" s="513">
        <f>I211*10/100</f>
        <v>2700</v>
      </c>
      <c r="N211" s="416">
        <v>0</v>
      </c>
      <c r="O211" s="417" t="s">
        <v>1047</v>
      </c>
      <c r="Q211" s="409" t="s">
        <v>1043</v>
      </c>
      <c r="R211" s="418">
        <v>1800</v>
      </c>
      <c r="S211" s="411">
        <v>10</v>
      </c>
      <c r="T211" s="411">
        <v>1</v>
      </c>
      <c r="U211" s="486">
        <v>1</v>
      </c>
      <c r="V211" s="486">
        <f t="shared" ref="V211:V214" si="336">100%-U211</f>
        <v>0</v>
      </c>
      <c r="W211" s="506">
        <f t="shared" si="333"/>
        <v>18000</v>
      </c>
      <c r="X211" s="487">
        <f t="shared" si="334"/>
        <v>0</v>
      </c>
      <c r="Y211" s="513">
        <f t="shared" ref="Y211:Y214" si="337">W211*70/100</f>
        <v>12600</v>
      </c>
      <c r="Z211" s="513">
        <f t="shared" ref="Z211:Z214" si="338">W211*20/100</f>
        <v>3600</v>
      </c>
      <c r="AA211" s="487">
        <f t="shared" ref="AA211:AA214" si="339">W211*10/100</f>
        <v>1800</v>
      </c>
      <c r="AB211" s="416">
        <v>0</v>
      </c>
      <c r="AC211" s="417" t="s">
        <v>1048</v>
      </c>
      <c r="AD211" s="227"/>
      <c r="AE211" s="241">
        <v>2</v>
      </c>
      <c r="AF211" s="204" t="str">
        <f t="shared" si="320"/>
        <v>Construction de systèmes de collecte d'eau de pluie durable (Centres de Santé)</v>
      </c>
      <c r="AG211" s="486">
        <f t="shared" si="290"/>
        <v>1</v>
      </c>
      <c r="AH211" s="486">
        <f t="shared" si="291"/>
        <v>0</v>
      </c>
      <c r="AI211" s="506">
        <f t="shared" si="292"/>
        <v>45000</v>
      </c>
      <c r="AJ211" s="506">
        <f t="shared" si="293"/>
        <v>0</v>
      </c>
      <c r="AK211" s="487">
        <f t="shared" si="294"/>
        <v>0</v>
      </c>
      <c r="AL211" s="487">
        <f t="shared" si="315"/>
        <v>45000</v>
      </c>
      <c r="AM211" s="316">
        <f t="shared" si="316"/>
        <v>27000</v>
      </c>
      <c r="AN211" s="316">
        <f t="shared" si="317"/>
        <v>0</v>
      </c>
      <c r="AO211" s="316">
        <f t="shared" si="318"/>
        <v>18000</v>
      </c>
      <c r="AP211" s="316">
        <f t="shared" si="319"/>
        <v>0</v>
      </c>
      <c r="AQ211" s="186" t="s">
        <v>806</v>
      </c>
    </row>
    <row r="212" spans="1:43" s="186" customFormat="1" ht="52" x14ac:dyDescent="0.35">
      <c r="A212" s="408">
        <v>3</v>
      </c>
      <c r="B212" s="540" t="s">
        <v>1049</v>
      </c>
      <c r="C212" s="409" t="s">
        <v>425</v>
      </c>
      <c r="D212" s="410">
        <v>2500</v>
      </c>
      <c r="E212" s="411">
        <v>15</v>
      </c>
      <c r="F212" s="412">
        <v>1</v>
      </c>
      <c r="G212" s="486">
        <v>1</v>
      </c>
      <c r="H212" s="486">
        <f t="shared" si="335"/>
        <v>0</v>
      </c>
      <c r="I212" s="416">
        <f t="shared" si="332"/>
        <v>37500</v>
      </c>
      <c r="J212" s="487">
        <f>D212*E212*F212*H212</f>
        <v>0</v>
      </c>
      <c r="K212" s="513">
        <f>I212*70/100</f>
        <v>26250</v>
      </c>
      <c r="L212" s="513">
        <f>I212*20/100</f>
        <v>7500</v>
      </c>
      <c r="M212" s="513">
        <f>I212*10/100</f>
        <v>3750</v>
      </c>
      <c r="N212" s="416">
        <v>0</v>
      </c>
      <c r="O212" s="417" t="s">
        <v>1050</v>
      </c>
      <c r="Q212" s="409" t="s">
        <v>425</v>
      </c>
      <c r="R212" s="418">
        <v>2500</v>
      </c>
      <c r="S212" s="411">
        <v>10</v>
      </c>
      <c r="T212" s="411">
        <v>1</v>
      </c>
      <c r="U212" s="486">
        <v>1</v>
      </c>
      <c r="V212" s="486">
        <f t="shared" si="336"/>
        <v>0</v>
      </c>
      <c r="W212" s="506">
        <f t="shared" si="333"/>
        <v>25000</v>
      </c>
      <c r="X212" s="487">
        <f t="shared" si="334"/>
        <v>0</v>
      </c>
      <c r="Y212" s="513">
        <f t="shared" si="337"/>
        <v>17500</v>
      </c>
      <c r="Z212" s="513">
        <f t="shared" si="338"/>
        <v>5000</v>
      </c>
      <c r="AA212" s="487">
        <f t="shared" si="339"/>
        <v>2500</v>
      </c>
      <c r="AB212" s="416">
        <v>0</v>
      </c>
      <c r="AC212" s="417" t="s">
        <v>1051</v>
      </c>
      <c r="AD212" s="227"/>
      <c r="AE212" s="241">
        <v>3</v>
      </c>
      <c r="AF212" s="204" t="str">
        <f t="shared" si="320"/>
        <v xml:space="preserve">Doter les Centres de santé de kits WATTA pour la production locale du chlore liquide </v>
      </c>
      <c r="AG212" s="486">
        <f t="shared" si="290"/>
        <v>1</v>
      </c>
      <c r="AH212" s="486">
        <f t="shared" si="291"/>
        <v>0</v>
      </c>
      <c r="AI212" s="506">
        <f t="shared" si="292"/>
        <v>62500</v>
      </c>
      <c r="AJ212" s="506">
        <f t="shared" si="293"/>
        <v>0</v>
      </c>
      <c r="AK212" s="487">
        <f t="shared" si="294"/>
        <v>0</v>
      </c>
      <c r="AL212" s="487">
        <f t="shared" si="315"/>
        <v>62500</v>
      </c>
      <c r="AM212" s="316">
        <f t="shared" si="316"/>
        <v>37500</v>
      </c>
      <c r="AN212" s="316">
        <f t="shared" si="317"/>
        <v>0</v>
      </c>
      <c r="AO212" s="316">
        <f t="shared" si="318"/>
        <v>25000</v>
      </c>
      <c r="AP212" s="316">
        <f t="shared" si="319"/>
        <v>0</v>
      </c>
      <c r="AQ212" s="186" t="s">
        <v>806</v>
      </c>
    </row>
    <row r="213" spans="1:43" s="186" customFormat="1" ht="39" x14ac:dyDescent="0.35">
      <c r="A213" s="408">
        <v>4</v>
      </c>
      <c r="B213" s="409" t="s">
        <v>1052</v>
      </c>
      <c r="C213" s="409" t="s">
        <v>830</v>
      </c>
      <c r="D213" s="410">
        <v>1500</v>
      </c>
      <c r="E213" s="411">
        <v>5</v>
      </c>
      <c r="F213" s="412">
        <v>2</v>
      </c>
      <c r="G213" s="486">
        <v>1</v>
      </c>
      <c r="H213" s="486">
        <f t="shared" si="335"/>
        <v>0</v>
      </c>
      <c r="I213" s="416">
        <f t="shared" si="332"/>
        <v>15000</v>
      </c>
      <c r="J213" s="487">
        <f>D213*E213*F213*H213</f>
        <v>0</v>
      </c>
      <c r="K213" s="513">
        <f>I213*70/100</f>
        <v>10500</v>
      </c>
      <c r="L213" s="513">
        <f>I213*20/100</f>
        <v>3000</v>
      </c>
      <c r="M213" s="513">
        <f>I213*10/100</f>
        <v>1500</v>
      </c>
      <c r="N213" s="416">
        <v>0</v>
      </c>
      <c r="O213" s="417" t="s">
        <v>1053</v>
      </c>
      <c r="Q213" s="409" t="s">
        <v>830</v>
      </c>
      <c r="R213" s="418">
        <v>1500</v>
      </c>
      <c r="S213" s="411">
        <v>5</v>
      </c>
      <c r="T213" s="411">
        <v>2</v>
      </c>
      <c r="U213" s="486">
        <v>1</v>
      </c>
      <c r="V213" s="486">
        <f t="shared" si="336"/>
        <v>0</v>
      </c>
      <c r="W213" s="506">
        <f t="shared" si="333"/>
        <v>15000</v>
      </c>
      <c r="X213" s="487">
        <f t="shared" si="334"/>
        <v>0</v>
      </c>
      <c r="Y213" s="513">
        <f t="shared" si="337"/>
        <v>10500</v>
      </c>
      <c r="Z213" s="513">
        <f t="shared" si="338"/>
        <v>3000</v>
      </c>
      <c r="AA213" s="487">
        <f t="shared" si="339"/>
        <v>1500</v>
      </c>
      <c r="AB213" s="416">
        <v>0</v>
      </c>
      <c r="AC213" s="417" t="s">
        <v>1054</v>
      </c>
      <c r="AD213" s="227"/>
      <c r="AE213" s="241">
        <v>4</v>
      </c>
      <c r="AF213" s="204" t="str">
        <f t="shared" si="320"/>
        <v xml:space="preserve">Location camions de transport  des matériels et matériaux </v>
      </c>
      <c r="AG213" s="486">
        <f t="shared" si="290"/>
        <v>1</v>
      </c>
      <c r="AH213" s="486">
        <f t="shared" si="291"/>
        <v>0</v>
      </c>
      <c r="AI213" s="506">
        <f t="shared" si="292"/>
        <v>30000</v>
      </c>
      <c r="AJ213" s="506">
        <f t="shared" si="293"/>
        <v>0</v>
      </c>
      <c r="AK213" s="487">
        <f t="shared" si="294"/>
        <v>0</v>
      </c>
      <c r="AL213" s="487">
        <f t="shared" si="315"/>
        <v>30000</v>
      </c>
      <c r="AM213" s="316">
        <f t="shared" si="316"/>
        <v>15000</v>
      </c>
      <c r="AN213" s="316">
        <f t="shared" si="317"/>
        <v>0</v>
      </c>
      <c r="AO213" s="316">
        <f t="shared" si="318"/>
        <v>15000</v>
      </c>
      <c r="AP213" s="316">
        <f t="shared" si="319"/>
        <v>0</v>
      </c>
      <c r="AQ213" s="186" t="s">
        <v>806</v>
      </c>
    </row>
    <row r="214" spans="1:43" s="186" customFormat="1" ht="26" x14ac:dyDescent="0.35">
      <c r="A214" s="408">
        <v>5</v>
      </c>
      <c r="B214" s="409" t="s">
        <v>833</v>
      </c>
      <c r="C214" s="409" t="s">
        <v>830</v>
      </c>
      <c r="D214" s="410">
        <v>90</v>
      </c>
      <c r="E214" s="411">
        <v>15</v>
      </c>
      <c r="F214" s="412">
        <v>1</v>
      </c>
      <c r="G214" s="486">
        <v>1</v>
      </c>
      <c r="H214" s="486">
        <f t="shared" si="335"/>
        <v>0</v>
      </c>
      <c r="I214" s="416">
        <f t="shared" si="332"/>
        <v>1350</v>
      </c>
      <c r="J214" s="487">
        <f>D214*E214*F214*H214</f>
        <v>0</v>
      </c>
      <c r="K214" s="513">
        <f>I214*70/100</f>
        <v>945</v>
      </c>
      <c r="L214" s="513">
        <f>I214*20/100</f>
        <v>270</v>
      </c>
      <c r="M214" s="513">
        <f>I214*10/100</f>
        <v>135</v>
      </c>
      <c r="N214" s="416">
        <v>0</v>
      </c>
      <c r="O214" s="417" t="s">
        <v>1055</v>
      </c>
      <c r="Q214" s="409" t="s">
        <v>830</v>
      </c>
      <c r="R214" s="418">
        <v>90</v>
      </c>
      <c r="S214" s="411">
        <v>15</v>
      </c>
      <c r="T214" s="411">
        <v>1</v>
      </c>
      <c r="U214" s="486">
        <v>1</v>
      </c>
      <c r="V214" s="486">
        <f t="shared" si="336"/>
        <v>0</v>
      </c>
      <c r="W214" s="506">
        <f t="shared" si="333"/>
        <v>1350</v>
      </c>
      <c r="X214" s="487">
        <f t="shared" si="334"/>
        <v>0</v>
      </c>
      <c r="Y214" s="513">
        <f t="shared" si="337"/>
        <v>945</v>
      </c>
      <c r="Z214" s="513">
        <f t="shared" si="338"/>
        <v>270</v>
      </c>
      <c r="AA214" s="487">
        <f t="shared" si="339"/>
        <v>135</v>
      </c>
      <c r="AB214" s="416">
        <v>0</v>
      </c>
      <c r="AC214" s="417" t="s">
        <v>1056</v>
      </c>
      <c r="AD214" s="227"/>
      <c r="AE214" s="241">
        <v>5</v>
      </c>
      <c r="AF214" s="204" t="str">
        <f t="shared" si="320"/>
        <v>Manutention  chargement et déchargement</v>
      </c>
      <c r="AG214" s="486">
        <f t="shared" si="290"/>
        <v>1</v>
      </c>
      <c r="AH214" s="486">
        <f t="shared" si="291"/>
        <v>0</v>
      </c>
      <c r="AI214" s="506">
        <f t="shared" si="292"/>
        <v>2700</v>
      </c>
      <c r="AJ214" s="506">
        <f t="shared" si="293"/>
        <v>0</v>
      </c>
      <c r="AK214" s="487">
        <f t="shared" si="294"/>
        <v>0</v>
      </c>
      <c r="AL214" s="487">
        <f t="shared" si="315"/>
        <v>2700</v>
      </c>
      <c r="AM214" s="316">
        <f t="shared" si="316"/>
        <v>1350</v>
      </c>
      <c r="AN214" s="316">
        <f t="shared" si="317"/>
        <v>0</v>
      </c>
      <c r="AO214" s="316">
        <f t="shared" si="318"/>
        <v>1350</v>
      </c>
      <c r="AP214" s="316">
        <f t="shared" si="319"/>
        <v>0</v>
      </c>
      <c r="AQ214" s="186" t="s">
        <v>806</v>
      </c>
    </row>
    <row r="215" spans="1:43" ht="30.75" customHeight="1" x14ac:dyDescent="0.3">
      <c r="A215" s="480" t="s">
        <v>261</v>
      </c>
      <c r="B215" s="861" t="s">
        <v>316</v>
      </c>
      <c r="C215" s="862"/>
      <c r="D215" s="862"/>
      <c r="E215" s="862"/>
      <c r="F215" s="862"/>
      <c r="G215" s="862"/>
      <c r="H215" s="863"/>
      <c r="I215" s="481">
        <f t="shared" ref="I215:N215" si="340">SUM(I216:I228)</f>
        <v>332699.31</v>
      </c>
      <c r="J215" s="482">
        <f t="shared" si="340"/>
        <v>0</v>
      </c>
      <c r="K215" s="482">
        <f t="shared" si="340"/>
        <v>232889.51699999999</v>
      </c>
      <c r="L215" s="482">
        <f t="shared" si="340"/>
        <v>66539.861999999994</v>
      </c>
      <c r="M215" s="482">
        <f t="shared" si="340"/>
        <v>33269.930999999997</v>
      </c>
      <c r="N215" s="481">
        <f t="shared" si="340"/>
        <v>0</v>
      </c>
      <c r="O215" s="508"/>
      <c r="Q215" s="538"/>
      <c r="R215" s="539"/>
      <c r="S215" s="538"/>
      <c r="T215" s="539"/>
      <c r="U215" s="539"/>
      <c r="V215" s="484"/>
      <c r="W215" s="482">
        <f t="shared" ref="W215:Y215" si="341">SUM(W216:W228)</f>
        <v>225921.30000000002</v>
      </c>
      <c r="X215" s="482">
        <f t="shared" si="341"/>
        <v>0</v>
      </c>
      <c r="Y215" s="482">
        <f t="shared" si="341"/>
        <v>158144.91000000003</v>
      </c>
      <c r="Z215" s="482">
        <f t="shared" ref="Z215:AB215" si="342">SUM(Z216:Z228)</f>
        <v>45184.259999999995</v>
      </c>
      <c r="AA215" s="482">
        <f t="shared" si="342"/>
        <v>22592.129999999997</v>
      </c>
      <c r="AB215" s="481">
        <f t="shared" si="342"/>
        <v>0</v>
      </c>
      <c r="AC215" s="508"/>
      <c r="AD215" s="234"/>
      <c r="AE215" s="247" t="s">
        <v>261</v>
      </c>
      <c r="AF215" s="204" t="str">
        <f t="shared" si="320"/>
        <v>Construire / Réhabiliter les infrastructures d'assainissement au sein des formations sanitaires (latrines, ouvrages de stockage, douches, traitement et élimination des déchets), prenant en compte les besoins spécifiques des femmes et des filles</v>
      </c>
      <c r="AG215" s="485">
        <f t="shared" si="290"/>
        <v>1</v>
      </c>
      <c r="AH215" s="485">
        <f t="shared" si="291"/>
        <v>0</v>
      </c>
      <c r="AI215" s="482">
        <f t="shared" si="292"/>
        <v>558620.61</v>
      </c>
      <c r="AJ215" s="482">
        <f t="shared" si="293"/>
        <v>0</v>
      </c>
      <c r="AK215" s="482">
        <f t="shared" si="294"/>
        <v>0</v>
      </c>
      <c r="AL215" s="482">
        <f t="shared" si="315"/>
        <v>558620.61</v>
      </c>
      <c r="AM215" s="314">
        <f t="shared" si="316"/>
        <v>332699.31</v>
      </c>
      <c r="AN215" s="314">
        <f t="shared" si="317"/>
        <v>0</v>
      </c>
      <c r="AO215" s="314">
        <f t="shared" si="318"/>
        <v>225921.30000000002</v>
      </c>
      <c r="AP215" s="314">
        <f t="shared" si="319"/>
        <v>0</v>
      </c>
      <c r="AQ215" s="172"/>
    </row>
    <row r="216" spans="1:43" s="186" customFormat="1" ht="39" x14ac:dyDescent="0.35">
      <c r="A216" s="408">
        <v>1</v>
      </c>
      <c r="B216" s="540" t="s">
        <v>1057</v>
      </c>
      <c r="C216" s="409" t="s">
        <v>1058</v>
      </c>
      <c r="D216" s="410">
        <v>1074.98</v>
      </c>
      <c r="E216" s="411">
        <v>30</v>
      </c>
      <c r="F216" s="412">
        <v>1</v>
      </c>
      <c r="G216" s="486">
        <v>1</v>
      </c>
      <c r="H216" s="486">
        <f t="shared" ref="H216:H247" si="343">100%-G216</f>
        <v>0</v>
      </c>
      <c r="I216" s="416">
        <f t="shared" ref="I216:I227" si="344">D216*E216*F216*G216</f>
        <v>32249.4</v>
      </c>
      <c r="J216" s="487">
        <f t="shared" ref="J216:J228" si="345">D216*E216*F216*H216</f>
        <v>0</v>
      </c>
      <c r="K216" s="513">
        <f t="shared" ref="K216:K228" si="346">I216*70/100</f>
        <v>22574.58</v>
      </c>
      <c r="L216" s="513">
        <f t="shared" ref="L216:L228" si="347">I216*20/100</f>
        <v>6449.88</v>
      </c>
      <c r="M216" s="513">
        <f t="shared" ref="M216:M228" si="348">I216*10/100</f>
        <v>3224.94</v>
      </c>
      <c r="N216" s="416">
        <v>0</v>
      </c>
      <c r="O216" s="417" t="s">
        <v>1059</v>
      </c>
      <c r="Q216" s="409" t="s">
        <v>1058</v>
      </c>
      <c r="R216" s="418">
        <v>1074.98</v>
      </c>
      <c r="S216" s="411">
        <v>20</v>
      </c>
      <c r="T216" s="411">
        <v>1</v>
      </c>
      <c r="U216" s="486">
        <v>1</v>
      </c>
      <c r="V216" s="486">
        <f t="shared" ref="V216:V228" si="349">100%-U216</f>
        <v>0</v>
      </c>
      <c r="W216" s="506">
        <f t="shared" ref="W216:W228" si="350">R216*S216*T216*U216</f>
        <v>21499.599999999999</v>
      </c>
      <c r="X216" s="487">
        <f>R216*S216*T216*V216</f>
        <v>0</v>
      </c>
      <c r="Y216" s="513">
        <f>W216*70/100</f>
        <v>15049.72</v>
      </c>
      <c r="Z216" s="513">
        <f>W216*20/100</f>
        <v>4299.92</v>
      </c>
      <c r="AA216" s="487">
        <f>W216*10/100</f>
        <v>2149.96</v>
      </c>
      <c r="AB216" s="416">
        <v>0</v>
      </c>
      <c r="AC216" s="417" t="s">
        <v>1060</v>
      </c>
      <c r="AD216" s="227"/>
      <c r="AE216" s="241">
        <v>1</v>
      </c>
      <c r="AF216" s="204" t="str">
        <f t="shared" si="320"/>
        <v>Construire des portes des douches au sein du centre de sante</v>
      </c>
      <c r="AG216" s="486">
        <f t="shared" si="290"/>
        <v>1</v>
      </c>
      <c r="AH216" s="486">
        <f t="shared" si="291"/>
        <v>0</v>
      </c>
      <c r="AI216" s="506">
        <f t="shared" si="292"/>
        <v>53749</v>
      </c>
      <c r="AJ216" s="506">
        <f t="shared" si="293"/>
        <v>0</v>
      </c>
      <c r="AK216" s="487">
        <f t="shared" si="294"/>
        <v>0</v>
      </c>
      <c r="AL216" s="487">
        <f t="shared" si="315"/>
        <v>53749</v>
      </c>
      <c r="AM216" s="316">
        <f t="shared" si="316"/>
        <v>32249.4</v>
      </c>
      <c r="AN216" s="316">
        <f t="shared" si="317"/>
        <v>0</v>
      </c>
      <c r="AO216" s="316">
        <f t="shared" si="318"/>
        <v>21499.599999999999</v>
      </c>
      <c r="AP216" s="316">
        <f t="shared" si="319"/>
        <v>0</v>
      </c>
      <c r="AQ216" s="186" t="s">
        <v>806</v>
      </c>
    </row>
    <row r="217" spans="1:43" s="186" customFormat="1" ht="26" x14ac:dyDescent="0.35">
      <c r="A217" s="408">
        <v>2</v>
      </c>
      <c r="B217" s="540" t="s">
        <v>1061</v>
      </c>
      <c r="C217" s="409" t="s">
        <v>1062</v>
      </c>
      <c r="D217" s="541">
        <v>197.5</v>
      </c>
      <c r="E217" s="411">
        <v>15</v>
      </c>
      <c r="F217" s="412">
        <v>1</v>
      </c>
      <c r="G217" s="486">
        <v>1</v>
      </c>
      <c r="H217" s="486">
        <f t="shared" si="343"/>
        <v>0</v>
      </c>
      <c r="I217" s="416">
        <f t="shared" si="344"/>
        <v>2962.5</v>
      </c>
      <c r="J217" s="487">
        <f t="shared" si="345"/>
        <v>0</v>
      </c>
      <c r="K217" s="513">
        <f t="shared" si="346"/>
        <v>2073.75</v>
      </c>
      <c r="L217" s="513">
        <f t="shared" si="347"/>
        <v>592.5</v>
      </c>
      <c r="M217" s="513">
        <f t="shared" si="348"/>
        <v>296.25</v>
      </c>
      <c r="N217" s="416">
        <v>0</v>
      </c>
      <c r="O217" s="417" t="s">
        <v>1063</v>
      </c>
      <c r="Q217" s="409" t="s">
        <v>1064</v>
      </c>
      <c r="R217" s="418">
        <v>197.5</v>
      </c>
      <c r="S217" s="411">
        <v>10</v>
      </c>
      <c r="T217" s="411">
        <v>1</v>
      </c>
      <c r="U217" s="486">
        <v>1</v>
      </c>
      <c r="V217" s="486">
        <f t="shared" si="349"/>
        <v>0</v>
      </c>
      <c r="W217" s="506">
        <f t="shared" si="350"/>
        <v>1975</v>
      </c>
      <c r="X217" s="487">
        <f t="shared" ref="X217:X228" si="351">R217*S217*T217*V217</f>
        <v>0</v>
      </c>
      <c r="Y217" s="513">
        <f t="shared" ref="Y217:Y230" si="352">W217*70/100</f>
        <v>1382.5</v>
      </c>
      <c r="Z217" s="513">
        <f t="shared" ref="Z217:Z230" si="353">W217*20/100</f>
        <v>395</v>
      </c>
      <c r="AA217" s="487">
        <f t="shared" ref="AA217:AA230" si="354">W217*10/100</f>
        <v>197.5</v>
      </c>
      <c r="AB217" s="416">
        <v>0</v>
      </c>
      <c r="AC217" s="417" t="s">
        <v>1065</v>
      </c>
      <c r="AD217" s="227"/>
      <c r="AE217" s="241">
        <v>2</v>
      </c>
      <c r="AF217" s="204" t="str">
        <f t="shared" si="320"/>
        <v>Amenager des puits perdus au sein du centre de sante</v>
      </c>
      <c r="AG217" s="486">
        <f t="shared" si="290"/>
        <v>1</v>
      </c>
      <c r="AH217" s="486">
        <f t="shared" si="291"/>
        <v>0</v>
      </c>
      <c r="AI217" s="506">
        <f t="shared" si="292"/>
        <v>4937.5</v>
      </c>
      <c r="AJ217" s="506">
        <f t="shared" si="293"/>
        <v>0</v>
      </c>
      <c r="AK217" s="487">
        <f t="shared" si="294"/>
        <v>0</v>
      </c>
      <c r="AL217" s="487">
        <f t="shared" si="315"/>
        <v>4937.5</v>
      </c>
      <c r="AM217" s="316">
        <f t="shared" si="316"/>
        <v>2962.5</v>
      </c>
      <c r="AN217" s="316">
        <f t="shared" si="317"/>
        <v>0</v>
      </c>
      <c r="AO217" s="316">
        <f t="shared" si="318"/>
        <v>1975</v>
      </c>
      <c r="AP217" s="316">
        <f t="shared" si="319"/>
        <v>0</v>
      </c>
      <c r="AQ217" s="186" t="s">
        <v>806</v>
      </c>
    </row>
    <row r="218" spans="1:43" s="186" customFormat="1" ht="26" x14ac:dyDescent="0.35">
      <c r="A218" s="408">
        <v>3</v>
      </c>
      <c r="B218" s="540" t="s">
        <v>1066</v>
      </c>
      <c r="C218" s="409" t="s">
        <v>814</v>
      </c>
      <c r="D218" s="541">
        <v>2473.56</v>
      </c>
      <c r="E218" s="411">
        <v>30</v>
      </c>
      <c r="F218" s="412">
        <v>1</v>
      </c>
      <c r="G218" s="486">
        <v>1</v>
      </c>
      <c r="H218" s="486">
        <f t="shared" si="343"/>
        <v>0</v>
      </c>
      <c r="I218" s="416">
        <f t="shared" si="344"/>
        <v>74206.8</v>
      </c>
      <c r="J218" s="487">
        <f t="shared" si="345"/>
        <v>0</v>
      </c>
      <c r="K218" s="513">
        <f t="shared" si="346"/>
        <v>51944.76</v>
      </c>
      <c r="L218" s="513">
        <f t="shared" si="347"/>
        <v>14841.36</v>
      </c>
      <c r="M218" s="513">
        <f t="shared" si="348"/>
        <v>7420.68</v>
      </c>
      <c r="N218" s="416">
        <v>0</v>
      </c>
      <c r="O218" s="417" t="s">
        <v>1067</v>
      </c>
      <c r="Q218" s="409" t="s">
        <v>814</v>
      </c>
      <c r="R218" s="418">
        <v>2473.56</v>
      </c>
      <c r="S218" s="411">
        <v>20</v>
      </c>
      <c r="T218" s="411">
        <v>1</v>
      </c>
      <c r="U218" s="486">
        <v>1</v>
      </c>
      <c r="V218" s="486">
        <f t="shared" si="349"/>
        <v>0</v>
      </c>
      <c r="W218" s="506">
        <f t="shared" si="350"/>
        <v>49471.199999999997</v>
      </c>
      <c r="X218" s="487">
        <f t="shared" si="351"/>
        <v>0</v>
      </c>
      <c r="Y218" s="513">
        <f t="shared" si="352"/>
        <v>34629.839999999997</v>
      </c>
      <c r="Z218" s="513">
        <f t="shared" si="353"/>
        <v>9894.24</v>
      </c>
      <c r="AA218" s="487">
        <f t="shared" si="354"/>
        <v>4947.12</v>
      </c>
      <c r="AB218" s="416">
        <v>0</v>
      </c>
      <c r="AC218" s="417" t="s">
        <v>1068</v>
      </c>
      <c r="AD218" s="227"/>
      <c r="AE218" s="241">
        <v>3</v>
      </c>
      <c r="AF218" s="204" t="str">
        <f t="shared" si="320"/>
        <v>Construire des portes des latrines pour les personnes à moblité réduite</v>
      </c>
      <c r="AG218" s="486">
        <f t="shared" si="290"/>
        <v>1</v>
      </c>
      <c r="AH218" s="486">
        <f t="shared" si="291"/>
        <v>0</v>
      </c>
      <c r="AI218" s="506">
        <f t="shared" si="292"/>
        <v>123678</v>
      </c>
      <c r="AJ218" s="506">
        <f t="shared" si="293"/>
        <v>0</v>
      </c>
      <c r="AK218" s="487">
        <f t="shared" si="294"/>
        <v>0</v>
      </c>
      <c r="AL218" s="487">
        <f t="shared" si="315"/>
        <v>123678</v>
      </c>
      <c r="AM218" s="316">
        <f t="shared" si="316"/>
        <v>74206.8</v>
      </c>
      <c r="AN218" s="316">
        <f t="shared" si="317"/>
        <v>0</v>
      </c>
      <c r="AO218" s="316">
        <f t="shared" si="318"/>
        <v>49471.199999999997</v>
      </c>
      <c r="AP218" s="316">
        <f t="shared" si="319"/>
        <v>0</v>
      </c>
      <c r="AQ218" s="186" t="s">
        <v>806</v>
      </c>
    </row>
    <row r="219" spans="1:43" s="186" customFormat="1" ht="39" x14ac:dyDescent="0.35">
      <c r="A219" s="408">
        <v>4</v>
      </c>
      <c r="B219" s="540" t="s">
        <v>1069</v>
      </c>
      <c r="C219" s="409" t="s">
        <v>818</v>
      </c>
      <c r="D219" s="541">
        <v>1479.08</v>
      </c>
      <c r="E219" s="411">
        <v>30</v>
      </c>
      <c r="F219" s="412">
        <v>1</v>
      </c>
      <c r="G219" s="486">
        <v>1</v>
      </c>
      <c r="H219" s="486">
        <f t="shared" si="343"/>
        <v>0</v>
      </c>
      <c r="I219" s="416">
        <f t="shared" si="344"/>
        <v>44372.399999999994</v>
      </c>
      <c r="J219" s="487">
        <f t="shared" si="345"/>
        <v>0</v>
      </c>
      <c r="K219" s="513">
        <f t="shared" si="346"/>
        <v>31060.679999999997</v>
      </c>
      <c r="L219" s="513">
        <f t="shared" si="347"/>
        <v>8874.48</v>
      </c>
      <c r="M219" s="513">
        <f t="shared" si="348"/>
        <v>4437.24</v>
      </c>
      <c r="N219" s="416">
        <v>0</v>
      </c>
      <c r="O219" s="417" t="s">
        <v>1070</v>
      </c>
      <c r="Q219" s="409" t="s">
        <v>818</v>
      </c>
      <c r="R219" s="418">
        <v>1479.08</v>
      </c>
      <c r="S219" s="411">
        <v>20</v>
      </c>
      <c r="T219" s="411">
        <v>1</v>
      </c>
      <c r="U219" s="486">
        <v>1</v>
      </c>
      <c r="V219" s="486">
        <f t="shared" si="349"/>
        <v>0</v>
      </c>
      <c r="W219" s="506">
        <f t="shared" si="350"/>
        <v>29581.599999999999</v>
      </c>
      <c r="X219" s="487">
        <f t="shared" si="351"/>
        <v>0</v>
      </c>
      <c r="Y219" s="513">
        <f t="shared" si="352"/>
        <v>20707.12</v>
      </c>
      <c r="Z219" s="513">
        <f t="shared" si="353"/>
        <v>5916.32</v>
      </c>
      <c r="AA219" s="487">
        <f t="shared" si="354"/>
        <v>2958.16</v>
      </c>
      <c r="AB219" s="416">
        <v>0</v>
      </c>
      <c r="AC219" s="417" t="s">
        <v>1071</v>
      </c>
      <c r="AD219" s="227"/>
      <c r="AE219" s="241">
        <v>4</v>
      </c>
      <c r="AF219" s="204" t="str">
        <f t="shared" si="320"/>
        <v xml:space="preserve">Construire des portes des latrines à double fosses et vidangeables </v>
      </c>
      <c r="AG219" s="486">
        <f t="shared" si="290"/>
        <v>1</v>
      </c>
      <c r="AH219" s="486">
        <f t="shared" si="291"/>
        <v>0</v>
      </c>
      <c r="AI219" s="506">
        <f t="shared" si="292"/>
        <v>73954</v>
      </c>
      <c r="AJ219" s="506">
        <f t="shared" si="293"/>
        <v>0</v>
      </c>
      <c r="AK219" s="487">
        <f t="shared" si="294"/>
        <v>0</v>
      </c>
      <c r="AL219" s="487">
        <f t="shared" si="315"/>
        <v>73954</v>
      </c>
      <c r="AM219" s="316">
        <f t="shared" si="316"/>
        <v>44372.399999999994</v>
      </c>
      <c r="AN219" s="316">
        <f t="shared" si="317"/>
        <v>0</v>
      </c>
      <c r="AO219" s="316">
        <f t="shared" si="318"/>
        <v>29581.599999999999</v>
      </c>
      <c r="AP219" s="316">
        <f t="shared" si="319"/>
        <v>0</v>
      </c>
      <c r="AQ219" s="186" t="s">
        <v>806</v>
      </c>
    </row>
    <row r="220" spans="1:43" s="186" customFormat="1" x14ac:dyDescent="0.35">
      <c r="A220" s="408">
        <v>5</v>
      </c>
      <c r="B220" s="540" t="s">
        <v>1072</v>
      </c>
      <c r="C220" s="409" t="s">
        <v>103</v>
      </c>
      <c r="D220" s="541">
        <v>1092.8</v>
      </c>
      <c r="E220" s="411">
        <v>15</v>
      </c>
      <c r="F220" s="412">
        <v>1</v>
      </c>
      <c r="G220" s="486">
        <v>1</v>
      </c>
      <c r="H220" s="486">
        <f t="shared" si="343"/>
        <v>0</v>
      </c>
      <c r="I220" s="416">
        <f t="shared" si="344"/>
        <v>16392</v>
      </c>
      <c r="J220" s="487">
        <f t="shared" si="345"/>
        <v>0</v>
      </c>
      <c r="K220" s="513">
        <f t="shared" si="346"/>
        <v>11474.4</v>
      </c>
      <c r="L220" s="513">
        <f t="shared" si="347"/>
        <v>3278.4</v>
      </c>
      <c r="M220" s="513">
        <f t="shared" si="348"/>
        <v>1639.2</v>
      </c>
      <c r="N220" s="416">
        <v>0</v>
      </c>
      <c r="O220" s="417" t="s">
        <v>1073</v>
      </c>
      <c r="Q220" s="409" t="s">
        <v>103</v>
      </c>
      <c r="R220" s="418">
        <v>1092.8</v>
      </c>
      <c r="S220" s="411">
        <v>10</v>
      </c>
      <c r="T220" s="411">
        <v>1</v>
      </c>
      <c r="U220" s="486">
        <v>1</v>
      </c>
      <c r="V220" s="486">
        <f t="shared" si="349"/>
        <v>0</v>
      </c>
      <c r="W220" s="506">
        <f t="shared" si="350"/>
        <v>10928</v>
      </c>
      <c r="X220" s="487">
        <f t="shared" si="351"/>
        <v>0</v>
      </c>
      <c r="Y220" s="513">
        <f t="shared" si="352"/>
        <v>7649.6</v>
      </c>
      <c r="Z220" s="513">
        <f t="shared" si="353"/>
        <v>2185.6</v>
      </c>
      <c r="AA220" s="487">
        <f t="shared" si="354"/>
        <v>1092.8</v>
      </c>
      <c r="AB220" s="416">
        <v>0</v>
      </c>
      <c r="AC220" s="417" t="s">
        <v>1074</v>
      </c>
      <c r="AD220" s="227"/>
      <c r="AE220" s="241">
        <v>5</v>
      </c>
      <c r="AF220" s="204" t="str">
        <f t="shared" si="320"/>
        <v>Construire fosse à placenta</v>
      </c>
      <c r="AG220" s="486">
        <f t="shared" si="290"/>
        <v>1</v>
      </c>
      <c r="AH220" s="486">
        <f t="shared" si="291"/>
        <v>0</v>
      </c>
      <c r="AI220" s="506">
        <f t="shared" si="292"/>
        <v>27320</v>
      </c>
      <c r="AJ220" s="506">
        <f t="shared" si="293"/>
        <v>0</v>
      </c>
      <c r="AK220" s="487">
        <f t="shared" si="294"/>
        <v>0</v>
      </c>
      <c r="AL220" s="487">
        <f t="shared" si="315"/>
        <v>27320</v>
      </c>
      <c r="AM220" s="316">
        <f t="shared" si="316"/>
        <v>16392</v>
      </c>
      <c r="AN220" s="316">
        <f t="shared" si="317"/>
        <v>0</v>
      </c>
      <c r="AO220" s="316">
        <f t="shared" si="318"/>
        <v>10928</v>
      </c>
      <c r="AP220" s="316">
        <f t="shared" si="319"/>
        <v>0</v>
      </c>
      <c r="AQ220" s="186" t="s">
        <v>806</v>
      </c>
    </row>
    <row r="221" spans="1:43" s="186" customFormat="1" ht="39" x14ac:dyDescent="0.35">
      <c r="A221" s="408">
        <v>6</v>
      </c>
      <c r="B221" s="540" t="s">
        <v>1075</v>
      </c>
      <c r="C221" s="409" t="s">
        <v>103</v>
      </c>
      <c r="D221" s="410">
        <v>1354.4</v>
      </c>
      <c r="E221" s="411">
        <v>15</v>
      </c>
      <c r="F221" s="412">
        <v>1</v>
      </c>
      <c r="G221" s="486">
        <v>1</v>
      </c>
      <c r="H221" s="486">
        <f t="shared" si="343"/>
        <v>0</v>
      </c>
      <c r="I221" s="416">
        <f t="shared" si="344"/>
        <v>20316</v>
      </c>
      <c r="J221" s="487">
        <f t="shared" si="345"/>
        <v>0</v>
      </c>
      <c r="K221" s="513">
        <f t="shared" si="346"/>
        <v>14221.2</v>
      </c>
      <c r="L221" s="513">
        <f t="shared" si="347"/>
        <v>4063.2</v>
      </c>
      <c r="M221" s="513">
        <f t="shared" si="348"/>
        <v>2031.6</v>
      </c>
      <c r="N221" s="416">
        <v>0</v>
      </c>
      <c r="O221" s="417" t="s">
        <v>1076</v>
      </c>
      <c r="Q221" s="409" t="s">
        <v>103</v>
      </c>
      <c r="R221" s="418">
        <v>1354.4</v>
      </c>
      <c r="S221" s="411">
        <v>10</v>
      </c>
      <c r="T221" s="411">
        <v>1</v>
      </c>
      <c r="U221" s="486">
        <v>1</v>
      </c>
      <c r="V221" s="486">
        <f t="shared" si="349"/>
        <v>0</v>
      </c>
      <c r="W221" s="506">
        <f t="shared" si="350"/>
        <v>13544</v>
      </c>
      <c r="X221" s="487">
        <f t="shared" si="351"/>
        <v>0</v>
      </c>
      <c r="Y221" s="513">
        <f t="shared" si="352"/>
        <v>9480.7999999999993</v>
      </c>
      <c r="Z221" s="513">
        <f t="shared" si="353"/>
        <v>2708.8</v>
      </c>
      <c r="AA221" s="487">
        <f t="shared" si="354"/>
        <v>1354.4</v>
      </c>
      <c r="AB221" s="416">
        <v>0</v>
      </c>
      <c r="AC221" s="417" t="s">
        <v>1077</v>
      </c>
      <c r="AD221" s="227"/>
      <c r="AE221" s="241">
        <v>6</v>
      </c>
      <c r="AF221" s="204" t="str">
        <f t="shared" si="320"/>
        <v>Construire des incinerateurs type Montford</v>
      </c>
      <c r="AG221" s="486">
        <f t="shared" si="290"/>
        <v>1</v>
      </c>
      <c r="AH221" s="486">
        <f t="shared" si="291"/>
        <v>0</v>
      </c>
      <c r="AI221" s="506">
        <f t="shared" si="292"/>
        <v>33860</v>
      </c>
      <c r="AJ221" s="506">
        <f t="shared" si="293"/>
        <v>0</v>
      </c>
      <c r="AK221" s="487">
        <f t="shared" si="294"/>
        <v>0</v>
      </c>
      <c r="AL221" s="487">
        <f t="shared" si="315"/>
        <v>33860</v>
      </c>
      <c r="AM221" s="316">
        <f t="shared" si="316"/>
        <v>20316</v>
      </c>
      <c r="AN221" s="316">
        <f t="shared" si="317"/>
        <v>0</v>
      </c>
      <c r="AO221" s="316">
        <f t="shared" si="318"/>
        <v>13544</v>
      </c>
      <c r="AP221" s="316">
        <f t="shared" si="319"/>
        <v>0</v>
      </c>
      <c r="AQ221" s="186" t="s">
        <v>806</v>
      </c>
    </row>
    <row r="222" spans="1:43" s="186" customFormat="1" ht="39" x14ac:dyDescent="0.35">
      <c r="A222" s="408">
        <v>7</v>
      </c>
      <c r="B222" s="540" t="s">
        <v>1078</v>
      </c>
      <c r="C222" s="409" t="s">
        <v>1079</v>
      </c>
      <c r="D222" s="410">
        <v>122.63</v>
      </c>
      <c r="E222" s="411">
        <v>15</v>
      </c>
      <c r="F222" s="412">
        <v>1</v>
      </c>
      <c r="G222" s="486">
        <v>1</v>
      </c>
      <c r="H222" s="486">
        <f t="shared" si="343"/>
        <v>0</v>
      </c>
      <c r="I222" s="416">
        <f t="shared" si="344"/>
        <v>1839.4499999999998</v>
      </c>
      <c r="J222" s="487">
        <f t="shared" si="345"/>
        <v>0</v>
      </c>
      <c r="K222" s="513">
        <f t="shared" si="346"/>
        <v>1287.6149999999998</v>
      </c>
      <c r="L222" s="513">
        <f t="shared" si="347"/>
        <v>367.89</v>
      </c>
      <c r="M222" s="513">
        <f t="shared" si="348"/>
        <v>183.94499999999999</v>
      </c>
      <c r="N222" s="416">
        <v>0</v>
      </c>
      <c r="O222" s="417" t="s">
        <v>1080</v>
      </c>
      <c r="Q222" s="409" t="s">
        <v>1079</v>
      </c>
      <c r="R222" s="418">
        <v>122.63</v>
      </c>
      <c r="S222" s="411">
        <v>10</v>
      </c>
      <c r="T222" s="411">
        <v>1</v>
      </c>
      <c r="U222" s="486">
        <v>1</v>
      </c>
      <c r="V222" s="486">
        <f t="shared" si="349"/>
        <v>0</v>
      </c>
      <c r="W222" s="506">
        <f t="shared" si="350"/>
        <v>1226.3</v>
      </c>
      <c r="X222" s="487">
        <f t="shared" si="351"/>
        <v>0</v>
      </c>
      <c r="Y222" s="513">
        <f t="shared" si="352"/>
        <v>858.41</v>
      </c>
      <c r="Z222" s="513">
        <f t="shared" si="353"/>
        <v>245.26</v>
      </c>
      <c r="AA222" s="487">
        <f t="shared" si="354"/>
        <v>122.63</v>
      </c>
      <c r="AB222" s="416">
        <v>0</v>
      </c>
      <c r="AC222" s="417" t="s">
        <v>1081</v>
      </c>
      <c r="AD222" s="227"/>
      <c r="AE222" s="241">
        <v>8</v>
      </c>
      <c r="AF222" s="204" t="str">
        <f t="shared" si="320"/>
        <v>Construire des trous à ordures</v>
      </c>
      <c r="AG222" s="486">
        <f t="shared" si="290"/>
        <v>1</v>
      </c>
      <c r="AH222" s="486">
        <f t="shared" si="291"/>
        <v>0</v>
      </c>
      <c r="AI222" s="506">
        <f t="shared" si="292"/>
        <v>3065.75</v>
      </c>
      <c r="AJ222" s="506">
        <f t="shared" si="293"/>
        <v>0</v>
      </c>
      <c r="AK222" s="487">
        <f t="shared" si="294"/>
        <v>0</v>
      </c>
      <c r="AL222" s="487">
        <f t="shared" si="315"/>
        <v>3065.75</v>
      </c>
      <c r="AM222" s="316">
        <f t="shared" si="316"/>
        <v>1839.4499999999998</v>
      </c>
      <c r="AN222" s="316">
        <f t="shared" si="317"/>
        <v>0</v>
      </c>
      <c r="AO222" s="316">
        <f t="shared" si="318"/>
        <v>1226.3</v>
      </c>
      <c r="AP222" s="316">
        <f t="shared" si="319"/>
        <v>0</v>
      </c>
      <c r="AQ222" s="186" t="s">
        <v>806</v>
      </c>
    </row>
    <row r="223" spans="1:43" s="182" customFormat="1" ht="26" x14ac:dyDescent="0.35">
      <c r="A223" s="408">
        <v>8</v>
      </c>
      <c r="B223" s="540" t="s">
        <v>1082</v>
      </c>
      <c r="C223" s="409" t="s">
        <v>1079</v>
      </c>
      <c r="D223" s="410">
        <v>2850.9</v>
      </c>
      <c r="E223" s="411">
        <v>15</v>
      </c>
      <c r="F223" s="412">
        <v>1</v>
      </c>
      <c r="G223" s="503">
        <v>1</v>
      </c>
      <c r="H223" s="503">
        <f t="shared" si="343"/>
        <v>0</v>
      </c>
      <c r="I223" s="416">
        <f t="shared" si="344"/>
        <v>42763.5</v>
      </c>
      <c r="J223" s="506">
        <f t="shared" si="345"/>
        <v>0</v>
      </c>
      <c r="K223" s="505">
        <f t="shared" si="346"/>
        <v>29934.45</v>
      </c>
      <c r="L223" s="505">
        <f t="shared" si="347"/>
        <v>8552.7000000000007</v>
      </c>
      <c r="M223" s="505">
        <f t="shared" si="348"/>
        <v>4276.3500000000004</v>
      </c>
      <c r="N223" s="416">
        <v>0</v>
      </c>
      <c r="O223" s="417" t="s">
        <v>1083</v>
      </c>
      <c r="Q223" s="409" t="s">
        <v>1079</v>
      </c>
      <c r="R223" s="418">
        <v>2850.9</v>
      </c>
      <c r="S223" s="411">
        <v>10</v>
      </c>
      <c r="T223" s="411">
        <v>1</v>
      </c>
      <c r="U223" s="503">
        <v>1</v>
      </c>
      <c r="V223" s="503">
        <f t="shared" si="349"/>
        <v>0</v>
      </c>
      <c r="W223" s="506">
        <f t="shared" si="350"/>
        <v>28509</v>
      </c>
      <c r="X223" s="506">
        <f t="shared" si="351"/>
        <v>0</v>
      </c>
      <c r="Y223" s="505">
        <f t="shared" si="352"/>
        <v>19956.3</v>
      </c>
      <c r="Z223" s="505">
        <f t="shared" si="353"/>
        <v>5701.8</v>
      </c>
      <c r="AA223" s="506">
        <f t="shared" si="354"/>
        <v>2850.9</v>
      </c>
      <c r="AB223" s="416">
        <v>0</v>
      </c>
      <c r="AC223" s="417" t="s">
        <v>1084</v>
      </c>
      <c r="AD223" s="227"/>
      <c r="AE223" s="241">
        <v>9</v>
      </c>
      <c r="AF223" s="204" t="str">
        <f t="shared" si="320"/>
        <v>Amenager des fosses à aiguilles</v>
      </c>
      <c r="AG223" s="503">
        <f t="shared" si="290"/>
        <v>1</v>
      </c>
      <c r="AH223" s="503">
        <f t="shared" si="291"/>
        <v>0</v>
      </c>
      <c r="AI223" s="506">
        <f t="shared" si="292"/>
        <v>71272.5</v>
      </c>
      <c r="AJ223" s="506">
        <f t="shared" si="293"/>
        <v>0</v>
      </c>
      <c r="AK223" s="506">
        <f t="shared" si="294"/>
        <v>0</v>
      </c>
      <c r="AL223" s="506">
        <f t="shared" si="315"/>
        <v>71272.5</v>
      </c>
      <c r="AM223" s="315">
        <f t="shared" si="316"/>
        <v>42763.5</v>
      </c>
      <c r="AN223" s="315">
        <f t="shared" si="317"/>
        <v>0</v>
      </c>
      <c r="AO223" s="315">
        <f t="shared" si="318"/>
        <v>28509</v>
      </c>
      <c r="AP223" s="315">
        <f t="shared" si="319"/>
        <v>0</v>
      </c>
      <c r="AQ223" s="182" t="s">
        <v>806</v>
      </c>
    </row>
    <row r="224" spans="1:43" s="186" customFormat="1" ht="39" x14ac:dyDescent="0.35">
      <c r="A224" s="408">
        <v>9</v>
      </c>
      <c r="B224" s="540" t="s">
        <v>1085</v>
      </c>
      <c r="C224" s="409" t="s">
        <v>1086</v>
      </c>
      <c r="D224" s="410">
        <v>5381.14</v>
      </c>
      <c r="E224" s="411">
        <v>15</v>
      </c>
      <c r="F224" s="412">
        <v>1</v>
      </c>
      <c r="G224" s="486">
        <v>1</v>
      </c>
      <c r="H224" s="486">
        <f t="shared" si="343"/>
        <v>0</v>
      </c>
      <c r="I224" s="416">
        <f t="shared" si="344"/>
        <v>80717.100000000006</v>
      </c>
      <c r="J224" s="487">
        <f t="shared" si="345"/>
        <v>0</v>
      </c>
      <c r="K224" s="513">
        <f t="shared" si="346"/>
        <v>56501.97</v>
      </c>
      <c r="L224" s="513">
        <f t="shared" si="347"/>
        <v>16143.42</v>
      </c>
      <c r="M224" s="513">
        <f t="shared" si="348"/>
        <v>8071.71</v>
      </c>
      <c r="N224" s="416">
        <v>0</v>
      </c>
      <c r="O224" s="417" t="s">
        <v>1087</v>
      </c>
      <c r="Q224" s="409" t="s">
        <v>1086</v>
      </c>
      <c r="R224" s="418">
        <v>5381.14</v>
      </c>
      <c r="S224" s="411">
        <v>10</v>
      </c>
      <c r="T224" s="411">
        <v>1</v>
      </c>
      <c r="U224" s="486">
        <v>1</v>
      </c>
      <c r="V224" s="486">
        <f t="shared" si="349"/>
        <v>0</v>
      </c>
      <c r="W224" s="506">
        <f t="shared" si="350"/>
        <v>53811.4</v>
      </c>
      <c r="X224" s="487">
        <f t="shared" si="351"/>
        <v>0</v>
      </c>
      <c r="Y224" s="513">
        <f t="shared" si="352"/>
        <v>37667.980000000003</v>
      </c>
      <c r="Z224" s="513">
        <f t="shared" si="353"/>
        <v>10762.28</v>
      </c>
      <c r="AA224" s="487">
        <f t="shared" si="354"/>
        <v>5381.14</v>
      </c>
      <c r="AB224" s="416">
        <v>0</v>
      </c>
      <c r="AC224" s="417" t="s">
        <v>1088</v>
      </c>
      <c r="AD224" s="227"/>
      <c r="AE224" s="241">
        <v>10</v>
      </c>
      <c r="AF224" s="204" t="str">
        <f t="shared" si="320"/>
        <v>Construire des abris pour la zone de dechet</v>
      </c>
      <c r="AG224" s="486">
        <f t="shared" si="290"/>
        <v>1</v>
      </c>
      <c r="AH224" s="486">
        <f t="shared" si="291"/>
        <v>0</v>
      </c>
      <c r="AI224" s="506">
        <f t="shared" si="292"/>
        <v>134528.5</v>
      </c>
      <c r="AJ224" s="506">
        <f t="shared" si="293"/>
        <v>0</v>
      </c>
      <c r="AK224" s="487">
        <f t="shared" si="294"/>
        <v>0</v>
      </c>
      <c r="AL224" s="487">
        <f t="shared" si="315"/>
        <v>134528.5</v>
      </c>
      <c r="AM224" s="316">
        <f t="shared" si="316"/>
        <v>80717.100000000006</v>
      </c>
      <c r="AN224" s="316">
        <f t="shared" si="317"/>
        <v>0</v>
      </c>
      <c r="AO224" s="316">
        <f t="shared" si="318"/>
        <v>53811.4</v>
      </c>
      <c r="AP224" s="316">
        <f t="shared" si="319"/>
        <v>0</v>
      </c>
      <c r="AQ224" s="186" t="s">
        <v>806</v>
      </c>
    </row>
    <row r="225" spans="1:47" s="186" customFormat="1" ht="26" x14ac:dyDescent="0.35">
      <c r="A225" s="408">
        <v>10</v>
      </c>
      <c r="B225" s="540" t="s">
        <v>1089</v>
      </c>
      <c r="C225" s="409" t="s">
        <v>1090</v>
      </c>
      <c r="D225" s="410">
        <v>347.52</v>
      </c>
      <c r="E225" s="411">
        <v>8</v>
      </c>
      <c r="F225" s="412">
        <v>1</v>
      </c>
      <c r="G225" s="486">
        <v>1</v>
      </c>
      <c r="H225" s="486">
        <f t="shared" si="343"/>
        <v>0</v>
      </c>
      <c r="I225" s="416">
        <f t="shared" si="344"/>
        <v>2780.16</v>
      </c>
      <c r="J225" s="487">
        <f t="shared" si="345"/>
        <v>0</v>
      </c>
      <c r="K225" s="513">
        <f t="shared" si="346"/>
        <v>1946.1119999999999</v>
      </c>
      <c r="L225" s="513">
        <f t="shared" si="347"/>
        <v>556.03199999999993</v>
      </c>
      <c r="M225" s="513">
        <f t="shared" si="348"/>
        <v>278.01599999999996</v>
      </c>
      <c r="N225" s="416">
        <v>0</v>
      </c>
      <c r="O225" s="417" t="s">
        <v>1091</v>
      </c>
      <c r="Q225" s="409" t="s">
        <v>1090</v>
      </c>
      <c r="R225" s="418">
        <v>347.52</v>
      </c>
      <c r="S225" s="411">
        <v>10</v>
      </c>
      <c r="T225" s="411">
        <v>1</v>
      </c>
      <c r="U225" s="486">
        <v>1</v>
      </c>
      <c r="V225" s="486">
        <f t="shared" si="349"/>
        <v>0</v>
      </c>
      <c r="W225" s="506">
        <f t="shared" si="350"/>
        <v>3475.2</v>
      </c>
      <c r="X225" s="487">
        <f t="shared" si="351"/>
        <v>0</v>
      </c>
      <c r="Y225" s="513">
        <f t="shared" si="352"/>
        <v>2432.64</v>
      </c>
      <c r="Z225" s="513">
        <f t="shared" si="353"/>
        <v>695.04</v>
      </c>
      <c r="AA225" s="487">
        <f t="shared" si="354"/>
        <v>347.52</v>
      </c>
      <c r="AB225" s="416">
        <v>0</v>
      </c>
      <c r="AC225" s="417" t="s">
        <v>1092</v>
      </c>
      <c r="AD225" s="227"/>
      <c r="AE225" s="241">
        <v>11</v>
      </c>
      <c r="AF225" s="204" t="str">
        <f t="shared" si="320"/>
        <v>Construire des bacs à lessive</v>
      </c>
      <c r="AG225" s="486">
        <f t="shared" si="290"/>
        <v>1</v>
      </c>
      <c r="AH225" s="486">
        <f t="shared" si="291"/>
        <v>0</v>
      </c>
      <c r="AI225" s="506">
        <f t="shared" si="292"/>
        <v>6255.36</v>
      </c>
      <c r="AJ225" s="506">
        <f t="shared" si="293"/>
        <v>0</v>
      </c>
      <c r="AK225" s="487">
        <f t="shared" si="294"/>
        <v>0</v>
      </c>
      <c r="AL225" s="487">
        <f t="shared" si="315"/>
        <v>6255.36</v>
      </c>
      <c r="AM225" s="316">
        <f t="shared" si="316"/>
        <v>2780.16</v>
      </c>
      <c r="AN225" s="316">
        <f t="shared" si="317"/>
        <v>0</v>
      </c>
      <c r="AO225" s="316">
        <f t="shared" si="318"/>
        <v>3475.2</v>
      </c>
      <c r="AP225" s="316">
        <f t="shared" si="319"/>
        <v>0</v>
      </c>
      <c r="AQ225" s="186" t="s">
        <v>806</v>
      </c>
    </row>
    <row r="226" spans="1:47" s="186" customFormat="1" ht="26" x14ac:dyDescent="0.35">
      <c r="A226" s="408">
        <v>11</v>
      </c>
      <c r="B226" s="409" t="s">
        <v>1093</v>
      </c>
      <c r="C226" s="409" t="s">
        <v>1094</v>
      </c>
      <c r="D226" s="410">
        <v>120</v>
      </c>
      <c r="E226" s="411">
        <v>15</v>
      </c>
      <c r="F226" s="412">
        <v>1</v>
      </c>
      <c r="G226" s="486">
        <v>1</v>
      </c>
      <c r="H226" s="486">
        <f t="shared" si="343"/>
        <v>0</v>
      </c>
      <c r="I226" s="416">
        <f t="shared" si="344"/>
        <v>1800</v>
      </c>
      <c r="J226" s="487">
        <f t="shared" si="345"/>
        <v>0</v>
      </c>
      <c r="K226" s="513">
        <f t="shared" si="346"/>
        <v>1260</v>
      </c>
      <c r="L226" s="513">
        <f t="shared" si="347"/>
        <v>360</v>
      </c>
      <c r="M226" s="513">
        <f t="shared" si="348"/>
        <v>180</v>
      </c>
      <c r="N226" s="416">
        <v>0</v>
      </c>
      <c r="O226" s="417" t="s">
        <v>1095</v>
      </c>
      <c r="Q226" s="409" t="s">
        <v>1094</v>
      </c>
      <c r="R226" s="418">
        <v>120</v>
      </c>
      <c r="S226" s="411">
        <v>10</v>
      </c>
      <c r="T226" s="411">
        <v>1</v>
      </c>
      <c r="U226" s="486">
        <v>1</v>
      </c>
      <c r="V226" s="486">
        <f t="shared" si="349"/>
        <v>0</v>
      </c>
      <c r="W226" s="506">
        <f t="shared" si="350"/>
        <v>1200</v>
      </c>
      <c r="X226" s="487">
        <f t="shared" si="351"/>
        <v>0</v>
      </c>
      <c r="Y226" s="513">
        <f t="shared" si="352"/>
        <v>840</v>
      </c>
      <c r="Z226" s="513">
        <f t="shared" si="353"/>
        <v>240</v>
      </c>
      <c r="AA226" s="487">
        <f t="shared" si="354"/>
        <v>120</v>
      </c>
      <c r="AB226" s="416">
        <v>0</v>
      </c>
      <c r="AC226" s="417" t="s">
        <v>1096</v>
      </c>
      <c r="AD226" s="227"/>
      <c r="AE226" s="241">
        <v>12</v>
      </c>
      <c r="AF226" s="204" t="str">
        <f t="shared" si="320"/>
        <v>Dotation de broyeur mécanique de flacon dans 25 CS selectionnés dans les 2 ZS de santé(Nyiragongo et Rwanguba)</v>
      </c>
      <c r="AG226" s="486"/>
      <c r="AH226" s="486"/>
      <c r="AI226" s="506">
        <f t="shared" si="292"/>
        <v>3000</v>
      </c>
      <c r="AJ226" s="506">
        <f t="shared" si="293"/>
        <v>0</v>
      </c>
      <c r="AK226" s="487">
        <f t="shared" si="294"/>
        <v>0</v>
      </c>
      <c r="AL226" s="487">
        <f t="shared" si="315"/>
        <v>3000</v>
      </c>
      <c r="AM226" s="316">
        <f t="shared" si="316"/>
        <v>1800</v>
      </c>
      <c r="AN226" s="316">
        <f t="shared" si="317"/>
        <v>0</v>
      </c>
      <c r="AO226" s="316">
        <f t="shared" si="318"/>
        <v>1200</v>
      </c>
      <c r="AP226" s="316">
        <f t="shared" si="319"/>
        <v>0</v>
      </c>
      <c r="AQ226" s="186" t="s">
        <v>806</v>
      </c>
    </row>
    <row r="227" spans="1:47" s="182" customFormat="1" ht="29.25" customHeight="1" x14ac:dyDescent="0.35">
      <c r="A227" s="408">
        <v>12</v>
      </c>
      <c r="B227" s="409" t="s">
        <v>1097</v>
      </c>
      <c r="C227" s="409" t="s">
        <v>1098</v>
      </c>
      <c r="D227" s="410">
        <v>80</v>
      </c>
      <c r="E227" s="411">
        <v>60</v>
      </c>
      <c r="F227" s="412">
        <v>1</v>
      </c>
      <c r="G227" s="503">
        <v>1</v>
      </c>
      <c r="H227" s="503">
        <f t="shared" si="343"/>
        <v>0</v>
      </c>
      <c r="I227" s="416">
        <f t="shared" si="344"/>
        <v>4800</v>
      </c>
      <c r="J227" s="506">
        <f t="shared" si="345"/>
        <v>0</v>
      </c>
      <c r="K227" s="505">
        <f t="shared" si="346"/>
        <v>3360</v>
      </c>
      <c r="L227" s="505">
        <f t="shared" si="347"/>
        <v>960</v>
      </c>
      <c r="M227" s="505">
        <f t="shared" si="348"/>
        <v>480</v>
      </c>
      <c r="N227" s="416">
        <v>0</v>
      </c>
      <c r="O227" s="417" t="s">
        <v>1099</v>
      </c>
      <c r="Q227" s="409" t="s">
        <v>1098</v>
      </c>
      <c r="R227" s="418">
        <v>80</v>
      </c>
      <c r="S227" s="411">
        <v>40</v>
      </c>
      <c r="T227" s="411">
        <v>1</v>
      </c>
      <c r="U227" s="503">
        <v>1</v>
      </c>
      <c r="V227" s="503">
        <f t="shared" si="349"/>
        <v>0</v>
      </c>
      <c r="W227" s="506">
        <f t="shared" si="350"/>
        <v>3200</v>
      </c>
      <c r="X227" s="506">
        <f t="shared" si="351"/>
        <v>0</v>
      </c>
      <c r="Y227" s="505">
        <f t="shared" si="352"/>
        <v>2240</v>
      </c>
      <c r="Z227" s="505">
        <f t="shared" si="353"/>
        <v>640</v>
      </c>
      <c r="AA227" s="506">
        <f t="shared" si="354"/>
        <v>320</v>
      </c>
      <c r="AB227" s="416">
        <v>0</v>
      </c>
      <c r="AC227" s="417" t="s">
        <v>1100</v>
      </c>
      <c r="AD227" s="227"/>
      <c r="AE227" s="241">
        <v>13</v>
      </c>
      <c r="AF227" s="204" t="str">
        <f t="shared" si="320"/>
        <v>Dotation des lampes solaires automatiques dans les 25 FOSA des zones  Nyiragongo et Rwanguba)</v>
      </c>
      <c r="AG227" s="503"/>
      <c r="AH227" s="503"/>
      <c r="AI227" s="506">
        <f t="shared" ref="AI227:AI258" si="355">I227+W227</f>
        <v>8000</v>
      </c>
      <c r="AJ227" s="506">
        <f t="shared" si="293"/>
        <v>0</v>
      </c>
      <c r="AK227" s="506">
        <f t="shared" ref="AK227:AK258" si="356">J227+X227</f>
        <v>0</v>
      </c>
      <c r="AL227" s="506">
        <f t="shared" si="315"/>
        <v>8000</v>
      </c>
      <c r="AM227" s="315">
        <f t="shared" si="316"/>
        <v>4800</v>
      </c>
      <c r="AN227" s="315">
        <f t="shared" si="317"/>
        <v>0</v>
      </c>
      <c r="AO227" s="315">
        <f t="shared" si="318"/>
        <v>3200</v>
      </c>
      <c r="AP227" s="315">
        <f t="shared" si="319"/>
        <v>0</v>
      </c>
      <c r="AQ227" s="182" t="s">
        <v>806</v>
      </c>
    </row>
    <row r="228" spans="1:47" s="186" customFormat="1" ht="26" x14ac:dyDescent="0.35">
      <c r="A228" s="408">
        <v>13</v>
      </c>
      <c r="B228" s="409" t="s">
        <v>1101</v>
      </c>
      <c r="C228" s="409" t="s">
        <v>1102</v>
      </c>
      <c r="D228" s="410">
        <v>1500</v>
      </c>
      <c r="E228" s="411">
        <v>5</v>
      </c>
      <c r="F228" s="412">
        <v>1</v>
      </c>
      <c r="G228" s="486">
        <v>1</v>
      </c>
      <c r="H228" s="486">
        <f t="shared" si="343"/>
        <v>0</v>
      </c>
      <c r="I228" s="416">
        <f>D228*E228*F228*G228</f>
        <v>7500</v>
      </c>
      <c r="J228" s="487">
        <f t="shared" si="345"/>
        <v>0</v>
      </c>
      <c r="K228" s="513">
        <f t="shared" si="346"/>
        <v>5250</v>
      </c>
      <c r="L228" s="513">
        <f t="shared" si="347"/>
        <v>1500</v>
      </c>
      <c r="M228" s="513">
        <f t="shared" si="348"/>
        <v>750</v>
      </c>
      <c r="N228" s="416">
        <v>0</v>
      </c>
      <c r="O228" s="417" t="s">
        <v>1103</v>
      </c>
      <c r="Q228" s="409" t="s">
        <v>1102</v>
      </c>
      <c r="R228" s="418">
        <v>1500</v>
      </c>
      <c r="S228" s="411">
        <v>5</v>
      </c>
      <c r="T228" s="411">
        <v>1</v>
      </c>
      <c r="U228" s="486">
        <v>1</v>
      </c>
      <c r="V228" s="486">
        <f t="shared" si="349"/>
        <v>0</v>
      </c>
      <c r="W228" s="506">
        <f t="shared" si="350"/>
        <v>7500</v>
      </c>
      <c r="X228" s="487">
        <f t="shared" si="351"/>
        <v>0</v>
      </c>
      <c r="Y228" s="513">
        <f t="shared" si="352"/>
        <v>5250</v>
      </c>
      <c r="Z228" s="513">
        <f t="shared" si="353"/>
        <v>1500</v>
      </c>
      <c r="AA228" s="487">
        <f t="shared" si="354"/>
        <v>750</v>
      </c>
      <c r="AB228" s="416">
        <v>0</v>
      </c>
      <c r="AC228" s="417" t="s">
        <v>1104</v>
      </c>
      <c r="AD228" s="227"/>
      <c r="AE228" s="241">
        <v>14</v>
      </c>
      <c r="AF228" s="204" t="str">
        <f t="shared" si="320"/>
        <v>Location camions pour transport des materiels et matereux</v>
      </c>
      <c r="AG228" s="486">
        <f t="shared" ref="AG228:AG248" si="357">AI228/($AI228+$AK228)</f>
        <v>1</v>
      </c>
      <c r="AH228" s="486">
        <f t="shared" ref="AH228:AH248" si="358">AK228/($AI228+$AK228)</f>
        <v>0</v>
      </c>
      <c r="AI228" s="506">
        <f t="shared" si="355"/>
        <v>15000</v>
      </c>
      <c r="AJ228" s="506">
        <f t="shared" si="293"/>
        <v>0</v>
      </c>
      <c r="AK228" s="487">
        <f t="shared" si="356"/>
        <v>0</v>
      </c>
      <c r="AL228" s="487">
        <f t="shared" si="315"/>
        <v>15000</v>
      </c>
      <c r="AM228" s="316">
        <f t="shared" si="316"/>
        <v>7500</v>
      </c>
      <c r="AN228" s="316">
        <f t="shared" si="317"/>
        <v>0</v>
      </c>
      <c r="AO228" s="316">
        <f t="shared" si="318"/>
        <v>7500</v>
      </c>
      <c r="AP228" s="316">
        <f t="shared" si="319"/>
        <v>0</v>
      </c>
      <c r="AQ228" s="186" t="s">
        <v>806</v>
      </c>
    </row>
    <row r="229" spans="1:47" s="173" customFormat="1" ht="12.75" customHeight="1" x14ac:dyDescent="0.3">
      <c r="A229" s="480" t="s">
        <v>262</v>
      </c>
      <c r="B229" s="861" t="s">
        <v>1105</v>
      </c>
      <c r="C229" s="862"/>
      <c r="D229" s="862"/>
      <c r="E229" s="862"/>
      <c r="F229" s="862"/>
      <c r="G229" s="862"/>
      <c r="H229" s="863"/>
      <c r="I229" s="481">
        <f>SUM(I230)</f>
        <v>72750</v>
      </c>
      <c r="J229" s="482">
        <f t="shared" ref="J229" si="359">SUM(J230)</f>
        <v>0</v>
      </c>
      <c r="K229" s="482">
        <f>SUM(K230)</f>
        <v>50925</v>
      </c>
      <c r="L229" s="482">
        <f t="shared" ref="L229:M229" si="360">SUM(L230)</f>
        <v>14550</v>
      </c>
      <c r="M229" s="482">
        <f t="shared" si="360"/>
        <v>7275</v>
      </c>
      <c r="N229" s="481">
        <f>SUM(N230)</f>
        <v>0</v>
      </c>
      <c r="O229" s="508"/>
      <c r="P229" s="168"/>
      <c r="Q229" s="538"/>
      <c r="R229" s="539"/>
      <c r="S229" s="538"/>
      <c r="T229" s="539"/>
      <c r="U229" s="539"/>
      <c r="V229" s="484"/>
      <c r="W229" s="482">
        <f t="shared" ref="W229:X229" si="361">SUM(W230)</f>
        <v>48500</v>
      </c>
      <c r="X229" s="482">
        <f t="shared" si="361"/>
        <v>0</v>
      </c>
      <c r="Y229" s="482">
        <f t="shared" si="352"/>
        <v>33950</v>
      </c>
      <c r="Z229" s="482">
        <f t="shared" si="353"/>
        <v>9700</v>
      </c>
      <c r="AA229" s="482">
        <f t="shared" si="354"/>
        <v>4850</v>
      </c>
      <c r="AB229" s="481">
        <f>SUM(AB230)</f>
        <v>0</v>
      </c>
      <c r="AC229" s="508"/>
      <c r="AD229" s="234"/>
      <c r="AE229" s="247" t="s">
        <v>262</v>
      </c>
      <c r="AF229" s="204" t="str">
        <f t="shared" si="320"/>
        <v xml:space="preserve">Construire / réhabiliter les infrastructures d'hygiène au sein des formations sanitaires, prenant en compte les besoins spécifiques des femmes et des filles  </v>
      </c>
      <c r="AG229" s="485">
        <f t="shared" si="357"/>
        <v>1</v>
      </c>
      <c r="AH229" s="485">
        <f t="shared" si="358"/>
        <v>0</v>
      </c>
      <c r="AI229" s="482">
        <f t="shared" si="355"/>
        <v>121250</v>
      </c>
      <c r="AJ229" s="482">
        <f t="shared" si="293"/>
        <v>0</v>
      </c>
      <c r="AK229" s="482">
        <f t="shared" si="356"/>
        <v>0</v>
      </c>
      <c r="AL229" s="482">
        <f t="shared" si="315"/>
        <v>121250</v>
      </c>
      <c r="AM229" s="314">
        <f t="shared" si="316"/>
        <v>72750</v>
      </c>
      <c r="AN229" s="314">
        <f t="shared" si="317"/>
        <v>0</v>
      </c>
      <c r="AO229" s="314">
        <f t="shared" si="318"/>
        <v>48500</v>
      </c>
      <c r="AP229" s="314">
        <f t="shared" si="319"/>
        <v>0</v>
      </c>
      <c r="AQ229" s="172"/>
      <c r="AT229" s="168"/>
      <c r="AU229" s="168"/>
    </row>
    <row r="230" spans="1:47" s="182" customFormat="1" ht="26" x14ac:dyDescent="0.35">
      <c r="A230" s="408">
        <v>1</v>
      </c>
      <c r="B230" s="409" t="s">
        <v>1106</v>
      </c>
      <c r="C230" s="409" t="s">
        <v>826</v>
      </c>
      <c r="D230" s="410">
        <v>4850</v>
      </c>
      <c r="E230" s="411">
        <v>15</v>
      </c>
      <c r="F230" s="412">
        <v>1</v>
      </c>
      <c r="G230" s="503">
        <v>1</v>
      </c>
      <c r="H230" s="503">
        <f t="shared" si="343"/>
        <v>0</v>
      </c>
      <c r="I230" s="416">
        <f t="shared" ref="I230" si="362">D230*E230*F230*G230</f>
        <v>72750</v>
      </c>
      <c r="J230" s="506">
        <f>D230*E230*F230*H230</f>
        <v>0</v>
      </c>
      <c r="K230" s="505">
        <f>I230*70/100</f>
        <v>50925</v>
      </c>
      <c r="L230" s="505">
        <f>I230*20/100</f>
        <v>14550</v>
      </c>
      <c r="M230" s="505">
        <f>I230*10/100</f>
        <v>7275</v>
      </c>
      <c r="N230" s="416">
        <v>0</v>
      </c>
      <c r="O230" s="417" t="s">
        <v>1107</v>
      </c>
      <c r="Q230" s="409" t="s">
        <v>826</v>
      </c>
      <c r="R230" s="418">
        <v>4850</v>
      </c>
      <c r="S230" s="411">
        <v>10</v>
      </c>
      <c r="T230" s="411">
        <v>1</v>
      </c>
      <c r="U230" s="503">
        <v>1</v>
      </c>
      <c r="V230" s="503">
        <f t="shared" ref="V230" si="363">100%-U230</f>
        <v>0</v>
      </c>
      <c r="W230" s="506">
        <f t="shared" ref="W230" si="364">R230*S230*T230*U230</f>
        <v>48500</v>
      </c>
      <c r="X230" s="506">
        <f t="shared" ref="X230" si="365">R230*S230*T230*V230</f>
        <v>0</v>
      </c>
      <c r="Y230" s="505">
        <f t="shared" si="352"/>
        <v>33950</v>
      </c>
      <c r="Z230" s="505">
        <f t="shared" si="353"/>
        <v>9700</v>
      </c>
      <c r="AA230" s="506">
        <f t="shared" si="354"/>
        <v>4850</v>
      </c>
      <c r="AB230" s="416">
        <v>0</v>
      </c>
      <c r="AC230" s="417" t="s">
        <v>1108</v>
      </c>
      <c r="AD230" s="227"/>
      <c r="AE230" s="241">
        <v>1</v>
      </c>
      <c r="AF230" s="204" t="str">
        <f t="shared" si="320"/>
        <v>Construire les unites de triage durable et les equiper au sein de FOSA  pour surveiller la pendemie COVID19</v>
      </c>
      <c r="AG230" s="503">
        <f t="shared" si="357"/>
        <v>1</v>
      </c>
      <c r="AH230" s="503">
        <f t="shared" si="358"/>
        <v>0</v>
      </c>
      <c r="AI230" s="506">
        <f t="shared" si="355"/>
        <v>121250</v>
      </c>
      <c r="AJ230" s="506">
        <f t="shared" si="293"/>
        <v>0</v>
      </c>
      <c r="AK230" s="506">
        <f t="shared" si="356"/>
        <v>0</v>
      </c>
      <c r="AL230" s="506">
        <f t="shared" si="315"/>
        <v>121250</v>
      </c>
      <c r="AM230" s="315">
        <f t="shared" si="316"/>
        <v>72750</v>
      </c>
      <c r="AN230" s="315">
        <f t="shared" si="317"/>
        <v>0</v>
      </c>
      <c r="AO230" s="315">
        <f t="shared" si="318"/>
        <v>48500</v>
      </c>
      <c r="AP230" s="315">
        <f t="shared" si="319"/>
        <v>0</v>
      </c>
      <c r="AQ230" s="182" t="s">
        <v>806</v>
      </c>
    </row>
    <row r="231" spans="1:47" s="173" customFormat="1" ht="29.25" customHeight="1" x14ac:dyDescent="0.3">
      <c r="A231" s="480" t="s">
        <v>263</v>
      </c>
      <c r="B231" s="861" t="s">
        <v>1109</v>
      </c>
      <c r="C231" s="862"/>
      <c r="D231" s="862"/>
      <c r="E231" s="862"/>
      <c r="F231" s="862"/>
      <c r="G231" s="862"/>
      <c r="H231" s="863"/>
      <c r="I231" s="481">
        <f t="shared" ref="I231:N231" si="366">SUM(I232:I235)</f>
        <v>51731</v>
      </c>
      <c r="J231" s="482">
        <f t="shared" si="366"/>
        <v>0</v>
      </c>
      <c r="K231" s="482">
        <f t="shared" si="366"/>
        <v>51731</v>
      </c>
      <c r="L231" s="482">
        <f t="shared" si="366"/>
        <v>0</v>
      </c>
      <c r="M231" s="482">
        <f t="shared" si="366"/>
        <v>0</v>
      </c>
      <c r="N231" s="481">
        <f t="shared" si="366"/>
        <v>0</v>
      </c>
      <c r="O231" s="508"/>
      <c r="P231" s="168"/>
      <c r="Q231" s="538"/>
      <c r="R231" s="539"/>
      <c r="S231" s="538"/>
      <c r="T231" s="539"/>
      <c r="U231" s="539"/>
      <c r="V231" s="484"/>
      <c r="W231" s="482">
        <f t="shared" ref="W231:Y231" si="367">SUM(W232:W235)</f>
        <v>36731</v>
      </c>
      <c r="X231" s="482">
        <f t="shared" si="367"/>
        <v>0</v>
      </c>
      <c r="Y231" s="482">
        <f t="shared" si="367"/>
        <v>36731</v>
      </c>
      <c r="Z231" s="482">
        <f t="shared" ref="Z231:AB231" si="368">SUM(Z232:Z235)</f>
        <v>0</v>
      </c>
      <c r="AA231" s="482">
        <f t="shared" si="368"/>
        <v>0</v>
      </c>
      <c r="AB231" s="481">
        <f t="shared" si="368"/>
        <v>0</v>
      </c>
      <c r="AC231" s="508"/>
      <c r="AD231" s="234"/>
      <c r="AE231" s="247" t="s">
        <v>263</v>
      </c>
      <c r="AF231" s="204" t="str">
        <f t="shared" si="320"/>
        <v>Réhabiliter / Renforcer les infrastructures d’accueil au niveau de centres de santé (espaces pour CPS et autres activités promotionnelles et préventives), en prenant en compte les besoins spécifiques des femmes et des filles</v>
      </c>
      <c r="AG231" s="485">
        <f t="shared" si="357"/>
        <v>1</v>
      </c>
      <c r="AH231" s="485">
        <f t="shared" si="358"/>
        <v>0</v>
      </c>
      <c r="AI231" s="482">
        <f t="shared" si="355"/>
        <v>88462</v>
      </c>
      <c r="AJ231" s="482">
        <f t="shared" si="293"/>
        <v>0</v>
      </c>
      <c r="AK231" s="482">
        <f t="shared" si="356"/>
        <v>0</v>
      </c>
      <c r="AL231" s="482">
        <f t="shared" si="315"/>
        <v>88462</v>
      </c>
      <c r="AM231" s="314">
        <f t="shared" si="316"/>
        <v>51731</v>
      </c>
      <c r="AN231" s="314">
        <f t="shared" si="317"/>
        <v>0</v>
      </c>
      <c r="AO231" s="314">
        <f t="shared" si="318"/>
        <v>36731</v>
      </c>
      <c r="AP231" s="314">
        <f t="shared" si="319"/>
        <v>0</v>
      </c>
      <c r="AQ231" s="172"/>
      <c r="AT231" s="168"/>
      <c r="AU231" s="168"/>
    </row>
    <row r="232" spans="1:47" s="186" customFormat="1" x14ac:dyDescent="0.35">
      <c r="A232" s="408">
        <v>1</v>
      </c>
      <c r="B232" s="409" t="s">
        <v>1110</v>
      </c>
      <c r="C232" s="409" t="s">
        <v>974</v>
      </c>
      <c r="D232" s="410">
        <v>0</v>
      </c>
      <c r="E232" s="411">
        <v>15</v>
      </c>
      <c r="F232" s="412">
        <v>1</v>
      </c>
      <c r="G232" s="486">
        <v>1</v>
      </c>
      <c r="H232" s="486">
        <f t="shared" si="343"/>
        <v>0</v>
      </c>
      <c r="I232" s="416">
        <f t="shared" ref="I232:I235" si="369">D232*E232*F232*G232</f>
        <v>0</v>
      </c>
      <c r="J232" s="487">
        <f>D232*E232*F232*H232</f>
        <v>0</v>
      </c>
      <c r="K232" s="513">
        <f>I232</f>
        <v>0</v>
      </c>
      <c r="L232" s="513"/>
      <c r="M232" s="513"/>
      <c r="N232" s="416">
        <v>0</v>
      </c>
      <c r="O232" s="417" t="s">
        <v>1111</v>
      </c>
      <c r="Q232" s="409" t="s">
        <v>974</v>
      </c>
      <c r="R232" s="418">
        <v>0</v>
      </c>
      <c r="S232" s="411">
        <v>10</v>
      </c>
      <c r="T232" s="411">
        <v>1</v>
      </c>
      <c r="U232" s="486">
        <v>1</v>
      </c>
      <c r="V232" s="486">
        <f t="shared" ref="V232:V235" si="370">100%-U232</f>
        <v>0</v>
      </c>
      <c r="W232" s="506">
        <f t="shared" ref="W232:W235" si="371">R232*S232*T232*U232</f>
        <v>0</v>
      </c>
      <c r="X232" s="487">
        <f t="shared" ref="X232:X235" si="372">R232*S232*T232*V232</f>
        <v>0</v>
      </c>
      <c r="Y232" s="513">
        <f t="shared" ref="Y232:Y235" si="373">W232</f>
        <v>0</v>
      </c>
      <c r="Z232" s="513"/>
      <c r="AA232" s="487"/>
      <c r="AB232" s="416">
        <v>0</v>
      </c>
      <c r="AC232" s="417" t="s">
        <v>1112</v>
      </c>
      <c r="AD232" s="227"/>
      <c r="AE232" s="241">
        <v>1</v>
      </c>
      <c r="AF232" s="204" t="str">
        <f t="shared" si="320"/>
        <v>Faire l'etat de lieux dans les centres de santé appuyés et elaborer le cahier de charge</v>
      </c>
      <c r="AG232" s="486"/>
      <c r="AH232" s="486"/>
      <c r="AI232" s="506">
        <f t="shared" si="355"/>
        <v>0</v>
      </c>
      <c r="AJ232" s="506">
        <f t="shared" si="293"/>
        <v>0</v>
      </c>
      <c r="AK232" s="487">
        <f t="shared" si="356"/>
        <v>0</v>
      </c>
      <c r="AL232" s="487">
        <f t="shared" si="315"/>
        <v>0</v>
      </c>
      <c r="AM232" s="316">
        <f t="shared" si="316"/>
        <v>0</v>
      </c>
      <c r="AN232" s="316">
        <f t="shared" si="317"/>
        <v>0</v>
      </c>
      <c r="AO232" s="316">
        <f t="shared" si="318"/>
        <v>0</v>
      </c>
      <c r="AP232" s="316">
        <f t="shared" si="319"/>
        <v>0</v>
      </c>
      <c r="AQ232" s="186" t="s">
        <v>806</v>
      </c>
    </row>
    <row r="233" spans="1:47" s="186" customFormat="1" ht="26" x14ac:dyDescent="0.35">
      <c r="A233" s="408">
        <v>2</v>
      </c>
      <c r="B233" s="409" t="s">
        <v>1113</v>
      </c>
      <c r="C233" s="409" t="s">
        <v>1114</v>
      </c>
      <c r="D233" s="410">
        <v>250</v>
      </c>
      <c r="E233" s="411">
        <v>2</v>
      </c>
      <c r="F233" s="412">
        <v>1</v>
      </c>
      <c r="G233" s="486">
        <v>1</v>
      </c>
      <c r="H233" s="486">
        <f t="shared" si="343"/>
        <v>0</v>
      </c>
      <c r="I233" s="416">
        <f t="shared" si="369"/>
        <v>500</v>
      </c>
      <c r="J233" s="487">
        <f>D233*E233*F233*H233</f>
        <v>0</v>
      </c>
      <c r="K233" s="513">
        <f>I233</f>
        <v>500</v>
      </c>
      <c r="L233" s="513"/>
      <c r="M233" s="513"/>
      <c r="N233" s="416">
        <v>0</v>
      </c>
      <c r="O233" s="417" t="s">
        <v>1115</v>
      </c>
      <c r="Q233" s="409" t="s">
        <v>1114</v>
      </c>
      <c r="R233" s="418">
        <v>250</v>
      </c>
      <c r="S233" s="411">
        <v>2</v>
      </c>
      <c r="T233" s="411">
        <v>1</v>
      </c>
      <c r="U233" s="486">
        <v>1</v>
      </c>
      <c r="V233" s="486">
        <f t="shared" si="370"/>
        <v>0</v>
      </c>
      <c r="W233" s="506">
        <f t="shared" si="371"/>
        <v>500</v>
      </c>
      <c r="X233" s="487">
        <f t="shared" si="372"/>
        <v>0</v>
      </c>
      <c r="Y233" s="513">
        <f t="shared" si="373"/>
        <v>500</v>
      </c>
      <c r="Z233" s="513"/>
      <c r="AA233" s="487"/>
      <c r="AB233" s="416">
        <v>0</v>
      </c>
      <c r="AC233" s="417" t="s">
        <v>1115</v>
      </c>
      <c r="AD233" s="227"/>
      <c r="AE233" s="241">
        <v>2</v>
      </c>
      <c r="AF233" s="204" t="str">
        <f t="shared" si="320"/>
        <v>Publication des offres et selection fournisseurs</v>
      </c>
      <c r="AG233" s="486">
        <f t="shared" si="357"/>
        <v>1</v>
      </c>
      <c r="AH233" s="486">
        <f t="shared" si="358"/>
        <v>0</v>
      </c>
      <c r="AI233" s="506">
        <f t="shared" si="355"/>
        <v>1000</v>
      </c>
      <c r="AJ233" s="506">
        <f t="shared" si="293"/>
        <v>0</v>
      </c>
      <c r="AK233" s="487">
        <f t="shared" si="356"/>
        <v>0</v>
      </c>
      <c r="AL233" s="487">
        <f t="shared" si="315"/>
        <v>1000</v>
      </c>
      <c r="AM233" s="316">
        <f t="shared" si="316"/>
        <v>500</v>
      </c>
      <c r="AN233" s="316">
        <f t="shared" si="317"/>
        <v>0</v>
      </c>
      <c r="AO233" s="316">
        <f t="shared" si="318"/>
        <v>500</v>
      </c>
      <c r="AP233" s="316">
        <f t="shared" si="319"/>
        <v>0</v>
      </c>
      <c r="AQ233" s="186" t="s">
        <v>806</v>
      </c>
    </row>
    <row r="234" spans="1:47" s="182" customFormat="1" x14ac:dyDescent="0.35">
      <c r="A234" s="408">
        <v>3</v>
      </c>
      <c r="B234" s="409" t="s">
        <v>1116</v>
      </c>
      <c r="C234" s="409" t="s">
        <v>974</v>
      </c>
      <c r="D234" s="410">
        <v>3000</v>
      </c>
      <c r="E234" s="411">
        <v>15</v>
      </c>
      <c r="F234" s="412">
        <v>1</v>
      </c>
      <c r="G234" s="503">
        <v>1</v>
      </c>
      <c r="H234" s="503">
        <f t="shared" si="343"/>
        <v>0</v>
      </c>
      <c r="I234" s="416">
        <f t="shared" si="369"/>
        <v>45000</v>
      </c>
      <c r="J234" s="506">
        <f>D234*E234*F234*H234</f>
        <v>0</v>
      </c>
      <c r="K234" s="505">
        <f>I234</f>
        <v>45000</v>
      </c>
      <c r="L234" s="505"/>
      <c r="M234" s="505"/>
      <c r="N234" s="416">
        <v>0</v>
      </c>
      <c r="O234" s="417" t="s">
        <v>1117</v>
      </c>
      <c r="Q234" s="409" t="s">
        <v>974</v>
      </c>
      <c r="R234" s="418">
        <v>3000</v>
      </c>
      <c r="S234" s="411">
        <v>10</v>
      </c>
      <c r="T234" s="411">
        <v>1</v>
      </c>
      <c r="U234" s="503">
        <v>1</v>
      </c>
      <c r="V234" s="503">
        <f t="shared" si="370"/>
        <v>0</v>
      </c>
      <c r="W234" s="506">
        <f t="shared" si="371"/>
        <v>30000</v>
      </c>
      <c r="X234" s="506">
        <f t="shared" si="372"/>
        <v>0</v>
      </c>
      <c r="Y234" s="505">
        <f t="shared" si="373"/>
        <v>30000</v>
      </c>
      <c r="Z234" s="505"/>
      <c r="AA234" s="506"/>
      <c r="AB234" s="416">
        <v>0</v>
      </c>
      <c r="AC234" s="417" t="s">
        <v>1118</v>
      </c>
      <c r="AD234" s="227"/>
      <c r="AE234" s="241">
        <v>3</v>
      </c>
      <c r="AF234" s="204" t="str">
        <f t="shared" si="320"/>
        <v>Rehabiliter et renforcer les infrastructures d'acceuil dans les CS</v>
      </c>
      <c r="AG234" s="503">
        <f t="shared" si="357"/>
        <v>1</v>
      </c>
      <c r="AH234" s="503">
        <f t="shared" si="358"/>
        <v>0</v>
      </c>
      <c r="AI234" s="506">
        <f t="shared" si="355"/>
        <v>75000</v>
      </c>
      <c r="AJ234" s="506">
        <f t="shared" si="293"/>
        <v>0</v>
      </c>
      <c r="AK234" s="506">
        <f t="shared" si="356"/>
        <v>0</v>
      </c>
      <c r="AL234" s="506">
        <f t="shared" si="315"/>
        <v>75000</v>
      </c>
      <c r="AM234" s="315">
        <f t="shared" si="316"/>
        <v>45000</v>
      </c>
      <c r="AN234" s="315">
        <f t="shared" si="317"/>
        <v>0</v>
      </c>
      <c r="AO234" s="315">
        <f t="shared" si="318"/>
        <v>30000</v>
      </c>
      <c r="AP234" s="315">
        <f t="shared" si="319"/>
        <v>0</v>
      </c>
      <c r="AQ234" s="182" t="s">
        <v>806</v>
      </c>
    </row>
    <row r="235" spans="1:47" s="186" customFormat="1" ht="26" x14ac:dyDescent="0.35">
      <c r="A235" s="408">
        <v>4</v>
      </c>
      <c r="B235" s="409" t="s">
        <v>1119</v>
      </c>
      <c r="C235" s="409" t="s">
        <v>974</v>
      </c>
      <c r="D235" s="410">
        <v>201</v>
      </c>
      <c r="E235" s="411">
        <v>31</v>
      </c>
      <c r="F235" s="412">
        <v>1</v>
      </c>
      <c r="G235" s="486">
        <v>1</v>
      </c>
      <c r="H235" s="486">
        <f t="shared" si="343"/>
        <v>0</v>
      </c>
      <c r="I235" s="416">
        <f t="shared" si="369"/>
        <v>6231</v>
      </c>
      <c r="J235" s="487">
        <f>D235*E235*F235*H235</f>
        <v>0</v>
      </c>
      <c r="K235" s="513">
        <f>I235</f>
        <v>6231</v>
      </c>
      <c r="L235" s="513"/>
      <c r="M235" s="513"/>
      <c r="N235" s="416">
        <v>0</v>
      </c>
      <c r="O235" s="417" t="s">
        <v>1120</v>
      </c>
      <c r="Q235" s="409" t="s">
        <v>974</v>
      </c>
      <c r="R235" s="418">
        <v>201</v>
      </c>
      <c r="S235" s="411">
        <v>31</v>
      </c>
      <c r="T235" s="411">
        <v>1</v>
      </c>
      <c r="U235" s="486">
        <v>1</v>
      </c>
      <c r="V235" s="486">
        <f t="shared" si="370"/>
        <v>0</v>
      </c>
      <c r="W235" s="506">
        <f t="shared" si="371"/>
        <v>6231</v>
      </c>
      <c r="X235" s="487">
        <f t="shared" si="372"/>
        <v>0</v>
      </c>
      <c r="Y235" s="513">
        <f t="shared" si="373"/>
        <v>6231</v>
      </c>
      <c r="Z235" s="513"/>
      <c r="AA235" s="487"/>
      <c r="AB235" s="416">
        <v>0</v>
      </c>
      <c r="AC235" s="417" t="s">
        <v>1121</v>
      </c>
      <c r="AD235" s="227"/>
      <c r="AE235" s="241">
        <v>4</v>
      </c>
      <c r="AF235" s="204" t="str">
        <f t="shared" si="320"/>
        <v>Mettre en place des espaces de jeux  protégés pour le maintein de l'hygiene des enfants lors des CPS au sein des FOSA</v>
      </c>
      <c r="AG235" s="486">
        <f t="shared" si="357"/>
        <v>1</v>
      </c>
      <c r="AH235" s="486">
        <f t="shared" si="358"/>
        <v>0</v>
      </c>
      <c r="AI235" s="506">
        <f t="shared" si="355"/>
        <v>12462</v>
      </c>
      <c r="AJ235" s="506">
        <f t="shared" si="293"/>
        <v>0</v>
      </c>
      <c r="AK235" s="487">
        <f t="shared" si="356"/>
        <v>0</v>
      </c>
      <c r="AL235" s="487">
        <f t="shared" si="315"/>
        <v>12462</v>
      </c>
      <c r="AM235" s="316">
        <f t="shared" si="316"/>
        <v>6231</v>
      </c>
      <c r="AN235" s="316">
        <f t="shared" si="317"/>
        <v>0</v>
      </c>
      <c r="AO235" s="316">
        <f t="shared" si="318"/>
        <v>6231</v>
      </c>
      <c r="AP235" s="316">
        <f t="shared" si="319"/>
        <v>0</v>
      </c>
      <c r="AQ235" s="186" t="s">
        <v>806</v>
      </c>
    </row>
    <row r="236" spans="1:47" s="173" customFormat="1" ht="27.75" customHeight="1" x14ac:dyDescent="0.3">
      <c r="A236" s="480" t="s">
        <v>313</v>
      </c>
      <c r="B236" s="861" t="s">
        <v>1122</v>
      </c>
      <c r="C236" s="862"/>
      <c r="D236" s="862"/>
      <c r="E236" s="862"/>
      <c r="F236" s="862"/>
      <c r="G236" s="862"/>
      <c r="H236" s="863"/>
      <c r="I236" s="481">
        <f t="shared" ref="I236:N236" si="374">SUM(I237:I238)</f>
        <v>4550.3999999999996</v>
      </c>
      <c r="J236" s="482">
        <f t="shared" si="374"/>
        <v>0</v>
      </c>
      <c r="K236" s="482">
        <f t="shared" si="374"/>
        <v>1820.1599999999999</v>
      </c>
      <c r="L236" s="482">
        <f t="shared" si="374"/>
        <v>1365.12</v>
      </c>
      <c r="M236" s="482">
        <f t="shared" si="374"/>
        <v>1365.12</v>
      </c>
      <c r="N236" s="481">
        <f t="shared" si="374"/>
        <v>0</v>
      </c>
      <c r="O236" s="508"/>
      <c r="P236" s="168"/>
      <c r="Q236" s="538"/>
      <c r="R236" s="539"/>
      <c r="S236" s="538"/>
      <c r="T236" s="539"/>
      <c r="U236" s="539"/>
      <c r="V236" s="484"/>
      <c r="W236" s="482">
        <f t="shared" ref="W236:Y236" si="375">SUM(W237:W238)</f>
        <v>3038.4</v>
      </c>
      <c r="X236" s="482">
        <f t="shared" si="375"/>
        <v>0</v>
      </c>
      <c r="Y236" s="482">
        <f t="shared" si="375"/>
        <v>1215.3600000000001</v>
      </c>
      <c r="Z236" s="482">
        <f t="shared" ref="Z236:AB236" si="376">SUM(Z237:Z238)</f>
        <v>911.52</v>
      </c>
      <c r="AA236" s="482">
        <f t="shared" si="376"/>
        <v>911.52</v>
      </c>
      <c r="AB236" s="481">
        <f t="shared" si="376"/>
        <v>0</v>
      </c>
      <c r="AC236" s="508"/>
      <c r="AD236" s="234"/>
      <c r="AE236" s="247" t="s">
        <v>313</v>
      </c>
      <c r="AF236" s="204" t="str">
        <f t="shared" si="320"/>
        <v>Organiser des focus groupes avec les personnels de santé femmes et des mères bénéficiaires pour bien prendre en compte leurs perspectives et leurs éventuels besoins spécifiques dans la mise en œuvre des services WASH</v>
      </c>
      <c r="AG236" s="485">
        <f t="shared" si="357"/>
        <v>1</v>
      </c>
      <c r="AH236" s="485">
        <f t="shared" si="358"/>
        <v>0</v>
      </c>
      <c r="AI236" s="482">
        <f t="shared" si="355"/>
        <v>7588.7999999999993</v>
      </c>
      <c r="AJ236" s="482">
        <f t="shared" si="293"/>
        <v>0</v>
      </c>
      <c r="AK236" s="482">
        <f t="shared" si="356"/>
        <v>0</v>
      </c>
      <c r="AL236" s="482">
        <f t="shared" si="315"/>
        <v>7588.7999999999993</v>
      </c>
      <c r="AM236" s="314">
        <f t="shared" si="316"/>
        <v>4550.3999999999996</v>
      </c>
      <c r="AN236" s="314">
        <f t="shared" si="317"/>
        <v>0</v>
      </c>
      <c r="AO236" s="314">
        <f t="shared" si="318"/>
        <v>3038.4</v>
      </c>
      <c r="AP236" s="314">
        <f t="shared" si="319"/>
        <v>0</v>
      </c>
      <c r="AQ236" s="172"/>
      <c r="AT236" s="168"/>
      <c r="AU236" s="168"/>
    </row>
    <row r="237" spans="1:47" s="186" customFormat="1" ht="26" x14ac:dyDescent="0.35">
      <c r="A237" s="408">
        <v>1</v>
      </c>
      <c r="B237" s="409" t="s">
        <v>454</v>
      </c>
      <c r="C237" s="409" t="s">
        <v>90</v>
      </c>
      <c r="D237" s="410">
        <v>2</v>
      </c>
      <c r="E237" s="411">
        <v>182</v>
      </c>
      <c r="F237" s="412">
        <v>3.6</v>
      </c>
      <c r="G237" s="486">
        <v>1</v>
      </c>
      <c r="H237" s="486">
        <f t="shared" si="343"/>
        <v>0</v>
      </c>
      <c r="I237" s="416">
        <f>D237*E237*F237*G237</f>
        <v>1310.4000000000001</v>
      </c>
      <c r="J237" s="487"/>
      <c r="K237" s="513">
        <f>I237*40/100</f>
        <v>524.16</v>
      </c>
      <c r="L237" s="513">
        <f>I237*30/100</f>
        <v>393.12</v>
      </c>
      <c r="M237" s="513">
        <f>I237*30/100</f>
        <v>393.12</v>
      </c>
      <c r="N237" s="416">
        <v>0</v>
      </c>
      <c r="O237" s="417" t="s">
        <v>1123</v>
      </c>
      <c r="Q237" s="409" t="s">
        <v>90</v>
      </c>
      <c r="R237" s="418">
        <v>2</v>
      </c>
      <c r="S237" s="411">
        <v>122</v>
      </c>
      <c r="T237" s="411">
        <v>3.6</v>
      </c>
      <c r="U237" s="486">
        <v>1</v>
      </c>
      <c r="V237" s="486">
        <f t="shared" ref="V237:V238" si="377">100%-U237</f>
        <v>0</v>
      </c>
      <c r="W237" s="506">
        <f>R237*S237*T237*U237</f>
        <v>878.4</v>
      </c>
      <c r="X237" s="487"/>
      <c r="Y237" s="513">
        <f t="shared" ref="Y237:Y238" si="378">W237*40/100</f>
        <v>351.36</v>
      </c>
      <c r="Z237" s="513">
        <f t="shared" ref="Z237:Z238" si="379">W237*30/100</f>
        <v>263.52</v>
      </c>
      <c r="AA237" s="487">
        <f t="shared" ref="AA237:AA238" si="380">W237*30/100</f>
        <v>263.52</v>
      </c>
      <c r="AB237" s="416">
        <v>0</v>
      </c>
      <c r="AC237" s="417" t="s">
        <v>1124</v>
      </c>
      <c r="AD237" s="227"/>
      <c r="AE237" s="241">
        <v>1</v>
      </c>
      <c r="AF237" s="204" t="str">
        <f t="shared" si="320"/>
        <v>Pause café</v>
      </c>
      <c r="AG237" s="486">
        <f t="shared" si="357"/>
        <v>1</v>
      </c>
      <c r="AH237" s="486">
        <f t="shared" si="358"/>
        <v>0</v>
      </c>
      <c r="AI237" s="506">
        <f t="shared" si="355"/>
        <v>2188.8000000000002</v>
      </c>
      <c r="AJ237" s="506">
        <f t="shared" si="293"/>
        <v>0</v>
      </c>
      <c r="AK237" s="487">
        <f t="shared" si="356"/>
        <v>0</v>
      </c>
      <c r="AL237" s="487">
        <f t="shared" si="315"/>
        <v>2188.8000000000002</v>
      </c>
      <c r="AM237" s="316">
        <f t="shared" si="316"/>
        <v>1310.4000000000001</v>
      </c>
      <c r="AN237" s="316">
        <f t="shared" si="317"/>
        <v>0</v>
      </c>
      <c r="AO237" s="316">
        <f t="shared" si="318"/>
        <v>878.4</v>
      </c>
      <c r="AP237" s="316">
        <f t="shared" si="319"/>
        <v>0</v>
      </c>
      <c r="AQ237" s="186" t="s">
        <v>806</v>
      </c>
    </row>
    <row r="238" spans="1:47" s="186" customFormat="1" ht="39" x14ac:dyDescent="0.35">
      <c r="A238" s="408">
        <v>2</v>
      </c>
      <c r="B238" s="409" t="s">
        <v>426</v>
      </c>
      <c r="C238" s="409" t="s">
        <v>1125</v>
      </c>
      <c r="D238" s="410">
        <v>5</v>
      </c>
      <c r="E238" s="411">
        <v>180</v>
      </c>
      <c r="F238" s="412">
        <v>3.6</v>
      </c>
      <c r="G238" s="486">
        <v>1</v>
      </c>
      <c r="H238" s="486">
        <f t="shared" si="343"/>
        <v>0</v>
      </c>
      <c r="I238" s="416">
        <f t="shared" ref="I238" si="381">D238*E238*F238*G238</f>
        <v>3240</v>
      </c>
      <c r="J238" s="487">
        <f>D238*E238*F238*H238</f>
        <v>0</v>
      </c>
      <c r="K238" s="513">
        <f>I238*40/100</f>
        <v>1296</v>
      </c>
      <c r="L238" s="513">
        <f>I238*30/100</f>
        <v>972</v>
      </c>
      <c r="M238" s="513">
        <f>I238*30/100</f>
        <v>972</v>
      </c>
      <c r="N238" s="416">
        <v>0</v>
      </c>
      <c r="O238" s="417" t="s">
        <v>1126</v>
      </c>
      <c r="Q238" s="409" t="s">
        <v>1125</v>
      </c>
      <c r="R238" s="418">
        <v>5</v>
      </c>
      <c r="S238" s="411">
        <v>120</v>
      </c>
      <c r="T238" s="411">
        <v>3.6</v>
      </c>
      <c r="U238" s="486">
        <v>1</v>
      </c>
      <c r="V238" s="486">
        <f t="shared" si="377"/>
        <v>0</v>
      </c>
      <c r="W238" s="506">
        <f t="shared" ref="W238" si="382">R238*S238*T238*U238</f>
        <v>2160</v>
      </c>
      <c r="X238" s="487">
        <f t="shared" ref="X238" si="383">R238*S238*T238*V238</f>
        <v>0</v>
      </c>
      <c r="Y238" s="513">
        <f t="shared" si="378"/>
        <v>864</v>
      </c>
      <c r="Z238" s="513">
        <f t="shared" si="379"/>
        <v>648</v>
      </c>
      <c r="AA238" s="487">
        <f t="shared" si="380"/>
        <v>648</v>
      </c>
      <c r="AB238" s="416">
        <v>0</v>
      </c>
      <c r="AC238" s="417" t="s">
        <v>1127</v>
      </c>
      <c r="AD238" s="227"/>
      <c r="AE238" s="241">
        <v>2</v>
      </c>
      <c r="AF238" s="204" t="str">
        <f t="shared" si="320"/>
        <v>Transport des participants</v>
      </c>
      <c r="AG238" s="486">
        <f t="shared" si="357"/>
        <v>1</v>
      </c>
      <c r="AH238" s="486">
        <f t="shared" si="358"/>
        <v>0</v>
      </c>
      <c r="AI238" s="506">
        <f t="shared" si="355"/>
        <v>5400</v>
      </c>
      <c r="AJ238" s="506">
        <f t="shared" si="293"/>
        <v>0</v>
      </c>
      <c r="AK238" s="487">
        <f t="shared" si="356"/>
        <v>0</v>
      </c>
      <c r="AL238" s="487">
        <f t="shared" si="315"/>
        <v>5400</v>
      </c>
      <c r="AM238" s="316">
        <f t="shared" si="316"/>
        <v>3240</v>
      </c>
      <c r="AN238" s="316">
        <f t="shared" si="317"/>
        <v>0</v>
      </c>
      <c r="AO238" s="316">
        <f t="shared" si="318"/>
        <v>2160</v>
      </c>
      <c r="AP238" s="316">
        <f t="shared" si="319"/>
        <v>0</v>
      </c>
      <c r="AQ238" s="186" t="s">
        <v>806</v>
      </c>
    </row>
    <row r="239" spans="1:47" s="173" customFormat="1" ht="27.75" customHeight="1" x14ac:dyDescent="0.3">
      <c r="A239" s="480" t="s">
        <v>314</v>
      </c>
      <c r="B239" s="861" t="s">
        <v>1128</v>
      </c>
      <c r="C239" s="862"/>
      <c r="D239" s="862"/>
      <c r="E239" s="862"/>
      <c r="F239" s="862"/>
      <c r="G239" s="862"/>
      <c r="H239" s="863"/>
      <c r="I239" s="481">
        <f>SUM(I240:I247)</f>
        <v>30328.5</v>
      </c>
      <c r="J239" s="482">
        <f t="shared" ref="J239" si="384">SUM(J240:J247)</f>
        <v>0</v>
      </c>
      <c r="K239" s="482">
        <f>SUM(K240:K247)</f>
        <v>17426.099999999999</v>
      </c>
      <c r="L239" s="482">
        <f t="shared" ref="L239:M239" si="385">SUM(L240:L247)</f>
        <v>6451.2</v>
      </c>
      <c r="M239" s="482">
        <f t="shared" si="385"/>
        <v>6451.2</v>
      </c>
      <c r="N239" s="481">
        <f>SUM(N240:N247)</f>
        <v>0</v>
      </c>
      <c r="O239" s="508"/>
      <c r="P239" s="168"/>
      <c r="Q239" s="538"/>
      <c r="R239" s="539"/>
      <c r="S239" s="538"/>
      <c r="T239" s="539"/>
      <c r="U239" s="539"/>
      <c r="V239" s="484"/>
      <c r="W239" s="482">
        <f t="shared" ref="W239:X239" si="386">SUM(W240:W247)</f>
        <v>27289</v>
      </c>
      <c r="X239" s="482">
        <f t="shared" si="386"/>
        <v>0</v>
      </c>
      <c r="Y239" s="482">
        <f>SUM(Y240:Y247)</f>
        <v>14453.8</v>
      </c>
      <c r="Z239" s="482">
        <f t="shared" ref="Z239:AA239" si="387">SUM(Z240:Z247)</f>
        <v>6417.6</v>
      </c>
      <c r="AA239" s="482">
        <f t="shared" si="387"/>
        <v>6417.6</v>
      </c>
      <c r="AB239" s="481">
        <f>SUM(AB240:AB247)</f>
        <v>0</v>
      </c>
      <c r="AC239" s="508"/>
      <c r="AD239" s="234"/>
      <c r="AE239" s="247" t="s">
        <v>314</v>
      </c>
      <c r="AF239" s="204" t="str">
        <f t="shared" si="320"/>
        <v>Constituer de façon paritaire et  former les membres du comité d'hygiene sur la gestion des activités, hygiène et assainissement, la PCI (Prevention contre les infections), le Genre et la prévention des VBG et AES</v>
      </c>
      <c r="AG239" s="485">
        <f t="shared" si="357"/>
        <v>1</v>
      </c>
      <c r="AH239" s="485">
        <f t="shared" si="358"/>
        <v>0</v>
      </c>
      <c r="AI239" s="482">
        <f t="shared" si="355"/>
        <v>57617.5</v>
      </c>
      <c r="AJ239" s="482">
        <f t="shared" si="293"/>
        <v>0</v>
      </c>
      <c r="AK239" s="482">
        <f t="shared" si="356"/>
        <v>0</v>
      </c>
      <c r="AL239" s="482">
        <f t="shared" si="315"/>
        <v>57617.5</v>
      </c>
      <c r="AM239" s="314">
        <f t="shared" si="316"/>
        <v>30328.5</v>
      </c>
      <c r="AN239" s="314">
        <f t="shared" si="317"/>
        <v>0</v>
      </c>
      <c r="AO239" s="314">
        <f t="shared" si="318"/>
        <v>27289</v>
      </c>
      <c r="AP239" s="314">
        <f t="shared" si="319"/>
        <v>0</v>
      </c>
      <c r="AQ239" s="172"/>
      <c r="AT239" s="168"/>
      <c r="AU239" s="168"/>
    </row>
    <row r="240" spans="1:47" s="186" customFormat="1" ht="26" x14ac:dyDescent="0.35">
      <c r="A240" s="408">
        <v>1</v>
      </c>
      <c r="B240" s="409" t="s">
        <v>846</v>
      </c>
      <c r="C240" s="409" t="s">
        <v>1129</v>
      </c>
      <c r="D240" s="410">
        <v>7</v>
      </c>
      <c r="E240" s="411">
        <v>122</v>
      </c>
      <c r="F240" s="412">
        <v>3</v>
      </c>
      <c r="G240" s="486">
        <v>1</v>
      </c>
      <c r="H240" s="486">
        <f t="shared" si="343"/>
        <v>0</v>
      </c>
      <c r="I240" s="416">
        <f t="shared" ref="I240:I247" si="388">D240*E240*F240*G240</f>
        <v>2562</v>
      </c>
      <c r="J240" s="487">
        <f t="shared" ref="J240:J247" si="389">D240*E240*F240*H240</f>
        <v>0</v>
      </c>
      <c r="K240" s="513">
        <f>I240</f>
        <v>2562</v>
      </c>
      <c r="L240" s="513"/>
      <c r="M240" s="513"/>
      <c r="N240" s="416">
        <v>0</v>
      </c>
      <c r="O240" s="417" t="s">
        <v>1130</v>
      </c>
      <c r="Q240" s="409" t="s">
        <v>1129</v>
      </c>
      <c r="R240" s="418">
        <v>7</v>
      </c>
      <c r="S240" s="411">
        <v>82</v>
      </c>
      <c r="T240" s="411">
        <v>3</v>
      </c>
      <c r="U240" s="486">
        <v>1</v>
      </c>
      <c r="V240" s="486">
        <f t="shared" ref="V240:V247" si="390">100%-U240</f>
        <v>0</v>
      </c>
      <c r="W240" s="506">
        <f t="shared" ref="W240:W247" si="391">R240*S240*T240*U240</f>
        <v>1722</v>
      </c>
      <c r="X240" s="487">
        <f t="shared" ref="X240:X247" si="392">R240*S240*T240*V240</f>
        <v>0</v>
      </c>
      <c r="Y240" s="513">
        <f t="shared" ref="Y240:Y243" si="393">W240</f>
        <v>1722</v>
      </c>
      <c r="Z240" s="513"/>
      <c r="AA240" s="487"/>
      <c r="AB240" s="416">
        <v>0</v>
      </c>
      <c r="AC240" s="417" t="s">
        <v>1131</v>
      </c>
      <c r="AD240" s="227"/>
      <c r="AE240" s="241">
        <v>1</v>
      </c>
      <c r="AF240" s="204" t="str">
        <f t="shared" si="320"/>
        <v xml:space="preserve">Restauration des participants à la formation </v>
      </c>
      <c r="AG240" s="486">
        <f t="shared" si="357"/>
        <v>1</v>
      </c>
      <c r="AH240" s="486">
        <f t="shared" si="358"/>
        <v>0</v>
      </c>
      <c r="AI240" s="506">
        <f t="shared" si="355"/>
        <v>4284</v>
      </c>
      <c r="AJ240" s="506">
        <f t="shared" si="293"/>
        <v>0</v>
      </c>
      <c r="AK240" s="487">
        <f t="shared" si="356"/>
        <v>0</v>
      </c>
      <c r="AL240" s="487">
        <f t="shared" si="315"/>
        <v>4284</v>
      </c>
      <c r="AM240" s="316">
        <f t="shared" si="316"/>
        <v>2562</v>
      </c>
      <c r="AN240" s="316">
        <f t="shared" si="317"/>
        <v>0</v>
      </c>
      <c r="AO240" s="316">
        <f t="shared" si="318"/>
        <v>1722</v>
      </c>
      <c r="AP240" s="316">
        <f t="shared" si="319"/>
        <v>0</v>
      </c>
      <c r="AQ240" s="186" t="s">
        <v>806</v>
      </c>
    </row>
    <row r="241" spans="1:47" s="186" customFormat="1" ht="26" x14ac:dyDescent="0.35">
      <c r="A241" s="408">
        <v>2</v>
      </c>
      <c r="B241" s="540" t="s">
        <v>481</v>
      </c>
      <c r="C241" s="409" t="s">
        <v>1132</v>
      </c>
      <c r="D241" s="410">
        <v>157.5</v>
      </c>
      <c r="E241" s="411">
        <v>15</v>
      </c>
      <c r="F241" s="412">
        <v>1</v>
      </c>
      <c r="G241" s="486">
        <v>1</v>
      </c>
      <c r="H241" s="486">
        <f t="shared" si="343"/>
        <v>0</v>
      </c>
      <c r="I241" s="416">
        <f t="shared" si="388"/>
        <v>2362.5</v>
      </c>
      <c r="J241" s="487">
        <f t="shared" si="389"/>
        <v>0</v>
      </c>
      <c r="K241" s="513">
        <f>I241</f>
        <v>2362.5</v>
      </c>
      <c r="L241" s="513"/>
      <c r="M241" s="513"/>
      <c r="N241" s="416">
        <v>0</v>
      </c>
      <c r="O241" s="417" t="s">
        <v>1133</v>
      </c>
      <c r="Q241" s="409" t="s">
        <v>1132</v>
      </c>
      <c r="R241" s="418">
        <v>157.5</v>
      </c>
      <c r="S241" s="411">
        <v>10</v>
      </c>
      <c r="T241" s="411">
        <v>1</v>
      </c>
      <c r="U241" s="486">
        <v>1</v>
      </c>
      <c r="V241" s="486">
        <f t="shared" si="390"/>
        <v>0</v>
      </c>
      <c r="W241" s="506">
        <f t="shared" si="391"/>
        <v>1575</v>
      </c>
      <c r="X241" s="487">
        <f t="shared" si="392"/>
        <v>0</v>
      </c>
      <c r="Y241" s="513">
        <f t="shared" si="393"/>
        <v>1575</v>
      </c>
      <c r="Z241" s="513"/>
      <c r="AA241" s="487"/>
      <c r="AB241" s="416">
        <v>0</v>
      </c>
      <c r="AC241" s="417" t="s">
        <v>1134</v>
      </c>
      <c r="AD241" s="227"/>
      <c r="AE241" s="241">
        <v>2</v>
      </c>
      <c r="AF241" s="204" t="str">
        <f t="shared" si="320"/>
        <v>Doter les comité d'hygiène des kits PCI</v>
      </c>
      <c r="AG241" s="486">
        <f t="shared" si="357"/>
        <v>1</v>
      </c>
      <c r="AH241" s="486">
        <f t="shared" si="358"/>
        <v>0</v>
      </c>
      <c r="AI241" s="506">
        <f t="shared" si="355"/>
        <v>3937.5</v>
      </c>
      <c r="AJ241" s="506">
        <f t="shared" si="293"/>
        <v>0</v>
      </c>
      <c r="AK241" s="487">
        <f t="shared" si="356"/>
        <v>0</v>
      </c>
      <c r="AL241" s="487">
        <f t="shared" si="315"/>
        <v>3937.5</v>
      </c>
      <c r="AM241" s="316">
        <f t="shared" si="316"/>
        <v>2362.5</v>
      </c>
      <c r="AN241" s="316">
        <f t="shared" si="317"/>
        <v>0</v>
      </c>
      <c r="AO241" s="316">
        <f t="shared" si="318"/>
        <v>1575</v>
      </c>
      <c r="AP241" s="316">
        <f t="shared" si="319"/>
        <v>0</v>
      </c>
      <c r="AQ241" s="186" t="s">
        <v>806</v>
      </c>
    </row>
    <row r="242" spans="1:47" s="186" customFormat="1" ht="26" x14ac:dyDescent="0.35">
      <c r="A242" s="408">
        <v>3</v>
      </c>
      <c r="B242" s="409" t="s">
        <v>450</v>
      </c>
      <c r="C242" s="409" t="s">
        <v>422</v>
      </c>
      <c r="D242" s="410">
        <v>50</v>
      </c>
      <c r="E242" s="411">
        <v>6</v>
      </c>
      <c r="F242" s="412">
        <v>3</v>
      </c>
      <c r="G242" s="486">
        <v>1</v>
      </c>
      <c r="H242" s="486">
        <f t="shared" si="343"/>
        <v>0</v>
      </c>
      <c r="I242" s="416">
        <f t="shared" si="388"/>
        <v>900</v>
      </c>
      <c r="J242" s="487">
        <f t="shared" si="389"/>
        <v>0</v>
      </c>
      <c r="K242" s="513">
        <f>I242</f>
        <v>900</v>
      </c>
      <c r="L242" s="513"/>
      <c r="M242" s="513"/>
      <c r="N242" s="416">
        <v>0</v>
      </c>
      <c r="O242" s="417" t="s">
        <v>1135</v>
      </c>
      <c r="Q242" s="409" t="s">
        <v>422</v>
      </c>
      <c r="R242" s="418">
        <v>50</v>
      </c>
      <c r="S242" s="411">
        <v>4</v>
      </c>
      <c r="T242" s="411">
        <v>3</v>
      </c>
      <c r="U242" s="486">
        <v>1</v>
      </c>
      <c r="V242" s="486">
        <f t="shared" si="390"/>
        <v>0</v>
      </c>
      <c r="W242" s="506">
        <f t="shared" si="391"/>
        <v>600</v>
      </c>
      <c r="X242" s="487">
        <f t="shared" si="392"/>
        <v>0</v>
      </c>
      <c r="Y242" s="513">
        <f t="shared" si="393"/>
        <v>600</v>
      </c>
      <c r="Z242" s="513"/>
      <c r="AA242" s="487"/>
      <c r="AB242" s="416">
        <v>0</v>
      </c>
      <c r="AC242" s="417" t="s">
        <v>1136</v>
      </c>
      <c r="AD242" s="227"/>
      <c r="AE242" s="241">
        <v>3</v>
      </c>
      <c r="AF242" s="204" t="str">
        <f t="shared" si="320"/>
        <v xml:space="preserve">Location salle </v>
      </c>
      <c r="AG242" s="486">
        <f t="shared" si="357"/>
        <v>1</v>
      </c>
      <c r="AH242" s="486">
        <f t="shared" si="358"/>
        <v>0</v>
      </c>
      <c r="AI242" s="506">
        <f t="shared" si="355"/>
        <v>1500</v>
      </c>
      <c r="AJ242" s="506">
        <f t="shared" si="293"/>
        <v>0</v>
      </c>
      <c r="AK242" s="487">
        <f t="shared" si="356"/>
        <v>0</v>
      </c>
      <c r="AL242" s="487">
        <f t="shared" si="315"/>
        <v>1500</v>
      </c>
      <c r="AM242" s="316">
        <f t="shared" si="316"/>
        <v>900</v>
      </c>
      <c r="AN242" s="316">
        <f t="shared" si="317"/>
        <v>0</v>
      </c>
      <c r="AO242" s="316">
        <f t="shared" si="318"/>
        <v>600</v>
      </c>
      <c r="AP242" s="316">
        <f t="shared" si="319"/>
        <v>0</v>
      </c>
      <c r="AQ242" s="186" t="s">
        <v>806</v>
      </c>
    </row>
    <row r="243" spans="1:47" s="186" customFormat="1" x14ac:dyDescent="0.35">
      <c r="A243" s="408">
        <v>4</v>
      </c>
      <c r="B243" s="409" t="s">
        <v>426</v>
      </c>
      <c r="C243" s="409" t="s">
        <v>90</v>
      </c>
      <c r="D243" s="410">
        <v>5</v>
      </c>
      <c r="E243" s="411">
        <v>120</v>
      </c>
      <c r="F243" s="412">
        <v>5</v>
      </c>
      <c r="G243" s="486">
        <v>1</v>
      </c>
      <c r="H243" s="486">
        <f t="shared" si="343"/>
        <v>0</v>
      </c>
      <c r="I243" s="416">
        <f t="shared" si="388"/>
        <v>3000</v>
      </c>
      <c r="J243" s="487">
        <f t="shared" si="389"/>
        <v>0</v>
      </c>
      <c r="K243" s="513">
        <f>I243</f>
        <v>3000</v>
      </c>
      <c r="L243" s="513"/>
      <c r="M243" s="513"/>
      <c r="N243" s="416">
        <v>0</v>
      </c>
      <c r="O243" s="417" t="s">
        <v>1137</v>
      </c>
      <c r="Q243" s="409" t="s">
        <v>90</v>
      </c>
      <c r="R243" s="418">
        <v>5</v>
      </c>
      <c r="S243" s="411">
        <v>80</v>
      </c>
      <c r="T243" s="411">
        <v>5</v>
      </c>
      <c r="U243" s="486">
        <v>1</v>
      </c>
      <c r="V243" s="486">
        <f t="shared" si="390"/>
        <v>0</v>
      </c>
      <c r="W243" s="506">
        <f t="shared" si="391"/>
        <v>2000</v>
      </c>
      <c r="X243" s="487">
        <f t="shared" si="392"/>
        <v>0</v>
      </c>
      <c r="Y243" s="513">
        <f t="shared" si="393"/>
        <v>2000</v>
      </c>
      <c r="Z243" s="513"/>
      <c r="AA243" s="487"/>
      <c r="AB243" s="416">
        <v>0</v>
      </c>
      <c r="AC243" s="417" t="s">
        <v>1138</v>
      </c>
      <c r="AD243" s="227"/>
      <c r="AE243" s="241">
        <v>4</v>
      </c>
      <c r="AF243" s="204" t="str">
        <f t="shared" si="320"/>
        <v>Transport des participants</v>
      </c>
      <c r="AG243" s="486">
        <f t="shared" si="357"/>
        <v>1</v>
      </c>
      <c r="AH243" s="486">
        <f t="shared" si="358"/>
        <v>0</v>
      </c>
      <c r="AI243" s="506">
        <f t="shared" si="355"/>
        <v>5000</v>
      </c>
      <c r="AJ243" s="506">
        <f t="shared" si="293"/>
        <v>0</v>
      </c>
      <c r="AK243" s="487">
        <f t="shared" si="356"/>
        <v>0</v>
      </c>
      <c r="AL243" s="487">
        <f t="shared" si="315"/>
        <v>5000</v>
      </c>
      <c r="AM243" s="316">
        <f t="shared" si="316"/>
        <v>3000</v>
      </c>
      <c r="AN243" s="316">
        <f t="shared" si="317"/>
        <v>0</v>
      </c>
      <c r="AO243" s="316">
        <f t="shared" si="318"/>
        <v>2000</v>
      </c>
      <c r="AP243" s="316">
        <f t="shared" si="319"/>
        <v>0</v>
      </c>
      <c r="AQ243" s="186" t="s">
        <v>806</v>
      </c>
    </row>
    <row r="244" spans="1:47" s="186" customFormat="1" ht="39" x14ac:dyDescent="0.35">
      <c r="A244" s="408">
        <v>5</v>
      </c>
      <c r="B244" s="409" t="s">
        <v>1139</v>
      </c>
      <c r="C244" s="409" t="s">
        <v>853</v>
      </c>
      <c r="D244" s="410">
        <v>56</v>
      </c>
      <c r="E244" s="411">
        <f>4*3</f>
        <v>12</v>
      </c>
      <c r="F244" s="412">
        <v>4</v>
      </c>
      <c r="G244" s="486">
        <v>1</v>
      </c>
      <c r="H244" s="486">
        <f t="shared" si="343"/>
        <v>0</v>
      </c>
      <c r="I244" s="416">
        <f t="shared" si="388"/>
        <v>2688</v>
      </c>
      <c r="J244" s="487">
        <f t="shared" si="389"/>
        <v>0</v>
      </c>
      <c r="K244" s="513">
        <f>I244*40/100</f>
        <v>1075.2</v>
      </c>
      <c r="L244" s="513">
        <f>I244*30/100</f>
        <v>806.4</v>
      </c>
      <c r="M244" s="513">
        <f>I244*30/100</f>
        <v>806.4</v>
      </c>
      <c r="N244" s="416">
        <v>0</v>
      </c>
      <c r="O244" s="417" t="s">
        <v>1140</v>
      </c>
      <c r="Q244" s="409" t="s">
        <v>853</v>
      </c>
      <c r="R244" s="418">
        <v>56</v>
      </c>
      <c r="S244" s="411">
        <f>4*3</f>
        <v>12</v>
      </c>
      <c r="T244" s="411">
        <v>3</v>
      </c>
      <c r="U244" s="486">
        <v>1</v>
      </c>
      <c r="V244" s="486">
        <f t="shared" si="390"/>
        <v>0</v>
      </c>
      <c r="W244" s="506">
        <f t="shared" si="391"/>
        <v>2016</v>
      </c>
      <c r="X244" s="487">
        <f t="shared" si="392"/>
        <v>0</v>
      </c>
      <c r="Y244" s="513">
        <f>W244*40/100</f>
        <v>806.4</v>
      </c>
      <c r="Z244" s="513">
        <f>W244*30/100</f>
        <v>604.79999999999995</v>
      </c>
      <c r="AA244" s="487">
        <f>W244*30/100</f>
        <v>604.79999999999995</v>
      </c>
      <c r="AB244" s="416">
        <v>0</v>
      </c>
      <c r="AC244" s="417" t="s">
        <v>1141</v>
      </c>
      <c r="AD244" s="227"/>
      <c r="AE244" s="241">
        <v>5</v>
      </c>
      <c r="AF244" s="204" t="str">
        <f t="shared" si="320"/>
        <v>Mission de suivi-Supervision et coordination par les equipes de la DPS Goma</v>
      </c>
      <c r="AG244" s="486">
        <f t="shared" si="357"/>
        <v>1</v>
      </c>
      <c r="AH244" s="486">
        <f t="shared" si="358"/>
        <v>0</v>
      </c>
      <c r="AI244" s="506">
        <f t="shared" si="355"/>
        <v>4704</v>
      </c>
      <c r="AJ244" s="506">
        <f t="shared" si="293"/>
        <v>0</v>
      </c>
      <c r="AK244" s="487">
        <f t="shared" si="356"/>
        <v>0</v>
      </c>
      <c r="AL244" s="487">
        <f t="shared" si="315"/>
        <v>4704</v>
      </c>
      <c r="AM244" s="316">
        <f t="shared" si="316"/>
        <v>2688</v>
      </c>
      <c r="AN244" s="316">
        <f t="shared" si="317"/>
        <v>0</v>
      </c>
      <c r="AO244" s="316">
        <f t="shared" si="318"/>
        <v>2016</v>
      </c>
      <c r="AP244" s="316">
        <f t="shared" si="319"/>
        <v>0</v>
      </c>
      <c r="AQ244" s="186" t="s">
        <v>806</v>
      </c>
    </row>
    <row r="245" spans="1:47" s="186" customFormat="1" ht="39" x14ac:dyDescent="0.35">
      <c r="A245" s="408">
        <v>6</v>
      </c>
      <c r="B245" s="409" t="s">
        <v>1142</v>
      </c>
      <c r="C245" s="409" t="s">
        <v>853</v>
      </c>
      <c r="D245" s="410">
        <v>56</v>
      </c>
      <c r="E245" s="411">
        <f>3*4*2</f>
        <v>24</v>
      </c>
      <c r="F245" s="412">
        <v>9</v>
      </c>
      <c r="G245" s="486">
        <v>1</v>
      </c>
      <c r="H245" s="486">
        <f t="shared" si="343"/>
        <v>0</v>
      </c>
      <c r="I245" s="416">
        <f t="shared" si="388"/>
        <v>12096</v>
      </c>
      <c r="J245" s="487">
        <f t="shared" si="389"/>
        <v>0</v>
      </c>
      <c r="K245" s="513">
        <f>I245*40/100</f>
        <v>4838.3999999999996</v>
      </c>
      <c r="L245" s="513">
        <f>I245*30/100</f>
        <v>3628.8</v>
      </c>
      <c r="M245" s="513">
        <f>I245*30/100</f>
        <v>3628.8</v>
      </c>
      <c r="N245" s="416">
        <v>0</v>
      </c>
      <c r="O245" s="417" t="s">
        <v>1143</v>
      </c>
      <c r="Q245" s="409" t="s">
        <v>853</v>
      </c>
      <c r="R245" s="418">
        <v>56</v>
      </c>
      <c r="S245" s="411">
        <f>3*4*2</f>
        <v>24</v>
      </c>
      <c r="T245" s="411">
        <v>9</v>
      </c>
      <c r="U245" s="486">
        <v>1</v>
      </c>
      <c r="V245" s="486">
        <f t="shared" si="390"/>
        <v>0</v>
      </c>
      <c r="W245" s="506">
        <f t="shared" si="391"/>
        <v>12096</v>
      </c>
      <c r="X245" s="487">
        <f t="shared" si="392"/>
        <v>0</v>
      </c>
      <c r="Y245" s="513">
        <f t="shared" ref="Y245:Y247" si="394">W245*40/100</f>
        <v>4838.3999999999996</v>
      </c>
      <c r="Z245" s="513">
        <f t="shared" ref="Z245:Z247" si="395">W245*30/100</f>
        <v>3628.8</v>
      </c>
      <c r="AA245" s="487">
        <f t="shared" ref="AA245:AA247" si="396">W245*30/100</f>
        <v>3628.8</v>
      </c>
      <c r="AB245" s="416">
        <v>0</v>
      </c>
      <c r="AC245" s="417" t="s">
        <v>1144</v>
      </c>
      <c r="AD245" s="227"/>
      <c r="AE245" s="241">
        <v>6</v>
      </c>
      <c r="AF245" s="204" t="str">
        <f t="shared" si="320"/>
        <v>Mission de suivi-Supervision et coordination par les equipes des zones de sante de Rwanguba et de Nyiragongo</v>
      </c>
      <c r="AG245" s="486">
        <f t="shared" si="357"/>
        <v>1</v>
      </c>
      <c r="AH245" s="486">
        <f t="shared" si="358"/>
        <v>0</v>
      </c>
      <c r="AI245" s="506">
        <f t="shared" si="355"/>
        <v>24192</v>
      </c>
      <c r="AJ245" s="506">
        <f t="shared" si="293"/>
        <v>0</v>
      </c>
      <c r="AK245" s="487">
        <f t="shared" si="356"/>
        <v>0</v>
      </c>
      <c r="AL245" s="487">
        <f t="shared" si="315"/>
        <v>24192</v>
      </c>
      <c r="AM245" s="316">
        <f t="shared" si="316"/>
        <v>12096</v>
      </c>
      <c r="AN245" s="316">
        <f t="shared" si="317"/>
        <v>0</v>
      </c>
      <c r="AO245" s="316">
        <f t="shared" si="318"/>
        <v>12096</v>
      </c>
      <c r="AP245" s="316">
        <f t="shared" si="319"/>
        <v>0</v>
      </c>
      <c r="AQ245" s="186" t="s">
        <v>806</v>
      </c>
    </row>
    <row r="246" spans="1:47" s="186" customFormat="1" ht="26" x14ac:dyDescent="0.35">
      <c r="A246" s="408">
        <v>7</v>
      </c>
      <c r="B246" s="409" t="s">
        <v>1145</v>
      </c>
      <c r="C246" s="409" t="s">
        <v>469</v>
      </c>
      <c r="D246" s="410">
        <v>1.4</v>
      </c>
      <c r="E246" s="411">
        <f>300</f>
        <v>300</v>
      </c>
      <c r="F246" s="412">
        <v>4</v>
      </c>
      <c r="G246" s="486">
        <v>1</v>
      </c>
      <c r="H246" s="486">
        <f t="shared" si="343"/>
        <v>0</v>
      </c>
      <c r="I246" s="416">
        <f t="shared" si="388"/>
        <v>1680</v>
      </c>
      <c r="J246" s="487">
        <f t="shared" si="389"/>
        <v>0</v>
      </c>
      <c r="K246" s="513">
        <f>I246*40/100</f>
        <v>672</v>
      </c>
      <c r="L246" s="513">
        <f>I246*30/100</f>
        <v>504</v>
      </c>
      <c r="M246" s="513">
        <f>I246*30/100</f>
        <v>504</v>
      </c>
      <c r="N246" s="416">
        <v>0</v>
      </c>
      <c r="O246" s="417" t="s">
        <v>1146</v>
      </c>
      <c r="Q246" s="409" t="s">
        <v>469</v>
      </c>
      <c r="R246" s="418">
        <v>1.4</v>
      </c>
      <c r="S246" s="411">
        <f>300</f>
        <v>300</v>
      </c>
      <c r="T246" s="411">
        <v>4</v>
      </c>
      <c r="U246" s="486">
        <v>1</v>
      </c>
      <c r="V246" s="486">
        <f t="shared" si="390"/>
        <v>0</v>
      </c>
      <c r="W246" s="506">
        <f t="shared" si="391"/>
        <v>1680</v>
      </c>
      <c r="X246" s="487">
        <f t="shared" si="392"/>
        <v>0</v>
      </c>
      <c r="Y246" s="513">
        <f t="shared" si="394"/>
        <v>672</v>
      </c>
      <c r="Z246" s="513">
        <f t="shared" si="395"/>
        <v>504</v>
      </c>
      <c r="AA246" s="487">
        <f t="shared" si="396"/>
        <v>504</v>
      </c>
      <c r="AB246" s="416">
        <v>0</v>
      </c>
      <c r="AC246" s="417" t="s">
        <v>1146</v>
      </c>
      <c r="AD246" s="227"/>
      <c r="AE246" s="241">
        <v>7</v>
      </c>
      <c r="AF246" s="204" t="str">
        <f t="shared" si="320"/>
        <v xml:space="preserve">Carburant pour le vehicule de la DPS  lors des mission dans les  BCZ et fosa  et Villages </v>
      </c>
      <c r="AG246" s="486">
        <f t="shared" si="357"/>
        <v>1</v>
      </c>
      <c r="AH246" s="486">
        <f t="shared" si="358"/>
        <v>0</v>
      </c>
      <c r="AI246" s="506">
        <f t="shared" si="355"/>
        <v>3360</v>
      </c>
      <c r="AJ246" s="506">
        <f t="shared" si="293"/>
        <v>0</v>
      </c>
      <c r="AK246" s="487">
        <f t="shared" si="356"/>
        <v>0</v>
      </c>
      <c r="AL246" s="487">
        <f t="shared" si="315"/>
        <v>3360</v>
      </c>
      <c r="AM246" s="316">
        <f t="shared" si="316"/>
        <v>1680</v>
      </c>
      <c r="AN246" s="316">
        <f t="shared" si="317"/>
        <v>0</v>
      </c>
      <c r="AO246" s="316">
        <f t="shared" si="318"/>
        <v>1680</v>
      </c>
      <c r="AP246" s="316">
        <f t="shared" si="319"/>
        <v>0</v>
      </c>
      <c r="AQ246" s="186" t="s">
        <v>806</v>
      </c>
    </row>
    <row r="247" spans="1:47" s="186" customFormat="1" ht="28.5" customHeight="1" x14ac:dyDescent="0.35">
      <c r="A247" s="408">
        <v>8</v>
      </c>
      <c r="B247" s="409" t="s">
        <v>1147</v>
      </c>
      <c r="C247" s="409" t="s">
        <v>469</v>
      </c>
      <c r="D247" s="410">
        <v>1.4</v>
      </c>
      <c r="E247" s="411">
        <f>100*2</f>
        <v>200</v>
      </c>
      <c r="F247" s="412">
        <v>18</v>
      </c>
      <c r="G247" s="486">
        <v>1</v>
      </c>
      <c r="H247" s="486">
        <f t="shared" si="343"/>
        <v>0</v>
      </c>
      <c r="I247" s="416">
        <f t="shared" si="388"/>
        <v>5040</v>
      </c>
      <c r="J247" s="487">
        <f t="shared" si="389"/>
        <v>0</v>
      </c>
      <c r="K247" s="513">
        <f>I247*40/100</f>
        <v>2016</v>
      </c>
      <c r="L247" s="513">
        <f>I247*30/100</f>
        <v>1512</v>
      </c>
      <c r="M247" s="513">
        <f>I247*30/100</f>
        <v>1512</v>
      </c>
      <c r="N247" s="416">
        <v>0</v>
      </c>
      <c r="O247" s="417" t="s">
        <v>1148</v>
      </c>
      <c r="Q247" s="409" t="s">
        <v>469</v>
      </c>
      <c r="R247" s="418">
        <v>1.4</v>
      </c>
      <c r="S247" s="411">
        <f>100*2</f>
        <v>200</v>
      </c>
      <c r="T247" s="411">
        <v>20</v>
      </c>
      <c r="U247" s="486">
        <v>1</v>
      </c>
      <c r="V247" s="486">
        <f t="shared" si="390"/>
        <v>0</v>
      </c>
      <c r="W247" s="506">
        <f t="shared" si="391"/>
        <v>5600</v>
      </c>
      <c r="X247" s="487">
        <f t="shared" si="392"/>
        <v>0</v>
      </c>
      <c r="Y247" s="513">
        <f t="shared" si="394"/>
        <v>2240</v>
      </c>
      <c r="Z247" s="513">
        <f t="shared" si="395"/>
        <v>1680</v>
      </c>
      <c r="AA247" s="487">
        <f t="shared" si="396"/>
        <v>1680</v>
      </c>
      <c r="AB247" s="416">
        <v>0</v>
      </c>
      <c r="AC247" s="417" t="s">
        <v>1148</v>
      </c>
      <c r="AD247" s="227"/>
      <c r="AE247" s="241">
        <v>8</v>
      </c>
      <c r="AF247" s="204" t="str">
        <f t="shared" si="320"/>
        <v xml:space="preserve">Carburant pour les Motos des BCZ de Rwanguba et de Rutshuru   lors des mission dans les FOSA  et villages </v>
      </c>
      <c r="AG247" s="486">
        <f t="shared" si="357"/>
        <v>1</v>
      </c>
      <c r="AH247" s="486">
        <f t="shared" si="358"/>
        <v>0</v>
      </c>
      <c r="AI247" s="506">
        <f t="shared" si="355"/>
        <v>10640</v>
      </c>
      <c r="AJ247" s="506">
        <f t="shared" si="293"/>
        <v>0</v>
      </c>
      <c r="AK247" s="487">
        <f t="shared" si="356"/>
        <v>0</v>
      </c>
      <c r="AL247" s="487">
        <f t="shared" si="315"/>
        <v>10640</v>
      </c>
      <c r="AM247" s="316">
        <f t="shared" si="316"/>
        <v>5040</v>
      </c>
      <c r="AN247" s="316">
        <f t="shared" si="317"/>
        <v>0</v>
      </c>
      <c r="AO247" s="316">
        <f t="shared" si="318"/>
        <v>5600</v>
      </c>
      <c r="AP247" s="316">
        <f t="shared" si="319"/>
        <v>0</v>
      </c>
      <c r="AQ247" s="186" t="s">
        <v>806</v>
      </c>
    </row>
    <row r="248" spans="1:47" s="181" customFormat="1" ht="26.25" customHeight="1" x14ac:dyDescent="0.3">
      <c r="A248" s="533" t="s">
        <v>264</v>
      </c>
      <c r="B248" s="474" t="s">
        <v>482</v>
      </c>
      <c r="C248" s="473"/>
      <c r="D248" s="475"/>
      <c r="E248" s="476"/>
      <c r="F248" s="476"/>
      <c r="G248" s="477"/>
      <c r="H248" s="477"/>
      <c r="I248" s="478">
        <f>I296+I303+I309+I318+I324+I327+I331+I335+I348+I358+I360+I363+I366+I372+I384+I255+I263+I290+I249+I269+I285+I288+I392+I405+I412+I414+I423+I427+I434+I438+I445+I452+I456+I458+I462+I466+I470+I472+I481+I488</f>
        <v>1773232.63</v>
      </c>
      <c r="J248" s="534">
        <f t="shared" ref="J248:N248" si="397">J296+J303+J309+J318+J324+J327+J331+J335+J348+J358+J360+J363+J366+J372+J384+J255+J263+J290+J249+J269+J285+J288+J392+J405+J412+J414+J423+J427+J434+J438+J445+J452+J456+J458+J462+J466+J470+J472+J481+J488</f>
        <v>36975.25</v>
      </c>
      <c r="K248" s="534">
        <f t="shared" si="397"/>
        <v>1313919.2660000001</v>
      </c>
      <c r="L248" s="534">
        <f t="shared" si="397"/>
        <v>275722.84599999996</v>
      </c>
      <c r="M248" s="534">
        <f t="shared" si="397"/>
        <v>183590.51799999998</v>
      </c>
      <c r="N248" s="478">
        <f t="shared" si="397"/>
        <v>0</v>
      </c>
      <c r="O248" s="479"/>
      <c r="Q248" s="473"/>
      <c r="R248" s="475"/>
      <c r="S248" s="476"/>
      <c r="T248" s="476"/>
      <c r="U248" s="477"/>
      <c r="V248" s="477"/>
      <c r="W248" s="534">
        <f>W296+W303+W309+W318+W324+W327+W331+W335+W348+W358+W360+W363+W366+W372+W384+W255+W263+W290+W249+W269+W285+W288+W392+W405+W412+W414+W423+W427+W434+W438+W445+W452+W456+W458+W462+W466+W470+W472+W481+W488</f>
        <v>1904154.5377156176</v>
      </c>
      <c r="X248" s="534">
        <f t="shared" ref="X248:AB248" si="398">X296+X303+X309+X318+X324+X327+X331+X335+X348+X358+X360+X363+X366+X372+X384+X255+X263+X290+X249+X269+X285+X288+X392+X405+X412+X414+X423+X427+X434+X438+X445+X452+X456+X458+X462+X466+X470+X472+X481+X488</f>
        <v>34682.299999999996</v>
      </c>
      <c r="Y248" s="534">
        <f t="shared" si="398"/>
        <v>1359448.3706666664</v>
      </c>
      <c r="Z248" s="534">
        <f t="shared" si="398"/>
        <v>313027.71952447551</v>
      </c>
      <c r="AA248" s="534">
        <f t="shared" si="398"/>
        <v>231678.44752447552</v>
      </c>
      <c r="AB248" s="478">
        <f t="shared" si="398"/>
        <v>0</v>
      </c>
      <c r="AC248" s="479"/>
      <c r="AD248" s="232"/>
      <c r="AE248" s="338" t="s">
        <v>264</v>
      </c>
      <c r="AF248" s="245" t="str">
        <f t="shared" si="320"/>
        <v>COMMUNAUTE</v>
      </c>
      <c r="AG248" s="477">
        <f t="shared" si="357"/>
        <v>0.98088645097739391</v>
      </c>
      <c r="AH248" s="477">
        <f t="shared" si="358"/>
        <v>1.9113549022606122E-2</v>
      </c>
      <c r="AI248" s="534">
        <f t="shared" si="355"/>
        <v>3677387.1677156175</v>
      </c>
      <c r="AJ248" s="534">
        <f t="shared" si="293"/>
        <v>0</v>
      </c>
      <c r="AK248" s="534">
        <f t="shared" si="356"/>
        <v>71657.549999999988</v>
      </c>
      <c r="AL248" s="534">
        <f>AI248+AJ248+AK248</f>
        <v>3749044.7177156173</v>
      </c>
      <c r="AM248" s="321">
        <f t="shared" si="316"/>
        <v>1773232.63</v>
      </c>
      <c r="AN248" s="321">
        <f t="shared" si="317"/>
        <v>0</v>
      </c>
      <c r="AO248" s="321">
        <f t="shared" si="318"/>
        <v>1904154.5377156176</v>
      </c>
      <c r="AP248" s="321">
        <f t="shared" si="319"/>
        <v>0</v>
      </c>
    </row>
    <row r="249" spans="1:47" s="187" customFormat="1" x14ac:dyDescent="0.35">
      <c r="A249" s="480" t="s">
        <v>265</v>
      </c>
      <c r="B249" s="861" t="s">
        <v>1149</v>
      </c>
      <c r="C249" s="862"/>
      <c r="D249" s="862"/>
      <c r="E249" s="862"/>
      <c r="F249" s="862"/>
      <c r="G249" s="862"/>
      <c r="H249" s="863"/>
      <c r="I249" s="481">
        <f t="shared" ref="I249:N249" si="399">SUM(I250:I254)</f>
        <v>12865</v>
      </c>
      <c r="J249" s="481">
        <f t="shared" si="399"/>
        <v>0</v>
      </c>
      <c r="K249" s="481">
        <f t="shared" si="399"/>
        <v>12865</v>
      </c>
      <c r="L249" s="481">
        <f t="shared" si="399"/>
        <v>0</v>
      </c>
      <c r="M249" s="481">
        <f t="shared" si="399"/>
        <v>0</v>
      </c>
      <c r="N249" s="481">
        <f t="shared" si="399"/>
        <v>0</v>
      </c>
      <c r="O249" s="508"/>
      <c r="P249" s="182"/>
      <c r="Q249" s="538"/>
      <c r="R249" s="538"/>
      <c r="S249" s="538"/>
      <c r="T249" s="538"/>
      <c r="U249" s="538"/>
      <c r="V249" s="484"/>
      <c r="W249" s="482">
        <f t="shared" ref="W249:Y249" si="400">SUM(W250:W254)</f>
        <v>14425</v>
      </c>
      <c r="X249" s="482">
        <f t="shared" si="400"/>
        <v>0</v>
      </c>
      <c r="Y249" s="482">
        <f t="shared" si="400"/>
        <v>14425</v>
      </c>
      <c r="Z249" s="482">
        <f t="shared" ref="Z249:AB249" si="401">SUM(Z250:Z254)</f>
        <v>0</v>
      </c>
      <c r="AA249" s="482">
        <f t="shared" si="401"/>
        <v>0</v>
      </c>
      <c r="AB249" s="481">
        <f t="shared" si="401"/>
        <v>0</v>
      </c>
      <c r="AC249" s="508"/>
      <c r="AD249" s="234"/>
      <c r="AE249" s="247" t="s">
        <v>265</v>
      </c>
      <c r="AF249" s="204" t="str">
        <f t="shared" si="320"/>
        <v>Redynamiser /mettre en place des CAC, en veillant à leur composition paritaire des membres élus</v>
      </c>
      <c r="AG249" s="485">
        <f t="shared" ref="AG249:AG278" si="402">AI249/($AI249+$AK249)</f>
        <v>1</v>
      </c>
      <c r="AH249" s="485">
        <f t="shared" ref="AH249:AH278" si="403">AK249/($AI249+$AK249)</f>
        <v>0</v>
      </c>
      <c r="AI249" s="482">
        <f t="shared" si="355"/>
        <v>27290</v>
      </c>
      <c r="AJ249" s="482">
        <f t="shared" si="293"/>
        <v>0</v>
      </c>
      <c r="AK249" s="482">
        <f t="shared" si="356"/>
        <v>0</v>
      </c>
      <c r="AL249" s="482">
        <f t="shared" si="315"/>
        <v>27290</v>
      </c>
      <c r="AM249" s="314">
        <f t="shared" si="316"/>
        <v>12865</v>
      </c>
      <c r="AN249" s="314">
        <f t="shared" si="317"/>
        <v>0</v>
      </c>
      <c r="AO249" s="314">
        <f t="shared" si="318"/>
        <v>14425</v>
      </c>
      <c r="AP249" s="314">
        <f t="shared" si="319"/>
        <v>0</v>
      </c>
      <c r="AQ249" s="186"/>
      <c r="AT249" s="182"/>
      <c r="AU249" s="182"/>
    </row>
    <row r="250" spans="1:47" s="199" customFormat="1" ht="39" x14ac:dyDescent="0.35">
      <c r="A250" s="408">
        <v>1</v>
      </c>
      <c r="B250" s="409" t="s">
        <v>1150</v>
      </c>
      <c r="C250" s="409" t="s">
        <v>90</v>
      </c>
      <c r="D250" s="410">
        <v>5</v>
      </c>
      <c r="E250" s="411">
        <v>487</v>
      </c>
      <c r="F250" s="412">
        <v>1</v>
      </c>
      <c r="G250" s="413">
        <v>1</v>
      </c>
      <c r="H250" s="413">
        <v>0</v>
      </c>
      <c r="I250" s="414">
        <f t="shared" ref="I250:I253" si="404">D250*E250*F250*G250</f>
        <v>2435</v>
      </c>
      <c r="J250" s="415">
        <f t="shared" ref="J250:J254" si="405">D250*E250*F250*H250</f>
        <v>0</v>
      </c>
      <c r="K250" s="415">
        <f t="shared" ref="K250:K254" si="406">I250</f>
        <v>2435</v>
      </c>
      <c r="L250" s="415"/>
      <c r="M250" s="415"/>
      <c r="N250" s="416">
        <v>0</v>
      </c>
      <c r="O250" s="417" t="s">
        <v>1151</v>
      </c>
      <c r="Q250" s="409" t="s">
        <v>90</v>
      </c>
      <c r="R250" s="418">
        <v>5</v>
      </c>
      <c r="S250" s="411">
        <v>724</v>
      </c>
      <c r="T250" s="411">
        <v>1</v>
      </c>
      <c r="U250" s="413">
        <v>1</v>
      </c>
      <c r="V250" s="413">
        <v>0</v>
      </c>
      <c r="W250" s="419">
        <f t="shared" ref="W250:W253" si="407">R250*S250*T250*U250</f>
        <v>3620</v>
      </c>
      <c r="X250" s="415">
        <f t="shared" ref="X250:X253" si="408">R250*S250*T250*V250</f>
        <v>0</v>
      </c>
      <c r="Y250" s="415">
        <f t="shared" ref="Y250:Y253" si="409">W250</f>
        <v>3620</v>
      </c>
      <c r="Z250" s="415"/>
      <c r="AA250" s="415"/>
      <c r="AB250" s="416">
        <v>0</v>
      </c>
      <c r="AC250" s="417" t="s">
        <v>1152</v>
      </c>
      <c r="AD250" s="227"/>
      <c r="AE250" s="241">
        <v>1</v>
      </c>
      <c r="AF250" s="204" t="str">
        <f t="shared" si="320"/>
        <v>Frais de transport des APAs/influenceurs lors des investitures</v>
      </c>
      <c r="AG250" s="413">
        <f t="shared" si="402"/>
        <v>1</v>
      </c>
      <c r="AH250" s="413">
        <f t="shared" si="403"/>
        <v>0</v>
      </c>
      <c r="AI250" s="419">
        <f t="shared" si="355"/>
        <v>6055</v>
      </c>
      <c r="AJ250" s="419">
        <f t="shared" si="293"/>
        <v>0</v>
      </c>
      <c r="AK250" s="415">
        <f t="shared" si="356"/>
        <v>0</v>
      </c>
      <c r="AL250" s="415">
        <f t="shared" si="315"/>
        <v>6055</v>
      </c>
      <c r="AM250" s="323">
        <f t="shared" si="316"/>
        <v>2435</v>
      </c>
      <c r="AN250" s="323">
        <f t="shared" si="317"/>
        <v>0</v>
      </c>
      <c r="AO250" s="323">
        <f t="shared" si="318"/>
        <v>3620</v>
      </c>
      <c r="AP250" s="323">
        <f t="shared" si="319"/>
        <v>0</v>
      </c>
      <c r="AQ250" s="186" t="s">
        <v>1153</v>
      </c>
      <c r="AT250" s="186"/>
      <c r="AU250" s="186"/>
    </row>
    <row r="251" spans="1:47" s="199" customFormat="1" x14ac:dyDescent="0.35">
      <c r="A251" s="408">
        <v>2</v>
      </c>
      <c r="B251" s="409" t="s">
        <v>483</v>
      </c>
      <c r="C251" s="409" t="s">
        <v>90</v>
      </c>
      <c r="D251" s="410">
        <v>50</v>
      </c>
      <c r="E251" s="411">
        <v>15</v>
      </c>
      <c r="F251" s="412">
        <v>1</v>
      </c>
      <c r="G251" s="413">
        <v>1</v>
      </c>
      <c r="H251" s="413">
        <v>0</v>
      </c>
      <c r="I251" s="414">
        <f t="shared" si="404"/>
        <v>750</v>
      </c>
      <c r="J251" s="415">
        <f t="shared" si="405"/>
        <v>0</v>
      </c>
      <c r="K251" s="415">
        <f t="shared" si="406"/>
        <v>750</v>
      </c>
      <c r="L251" s="415"/>
      <c r="M251" s="415"/>
      <c r="N251" s="416">
        <v>0</v>
      </c>
      <c r="O251" s="417" t="s">
        <v>1154</v>
      </c>
      <c r="Q251" s="409" t="s">
        <v>90</v>
      </c>
      <c r="R251" s="418">
        <v>50</v>
      </c>
      <c r="S251" s="411">
        <v>16</v>
      </c>
      <c r="T251" s="411">
        <v>1</v>
      </c>
      <c r="U251" s="413">
        <v>1</v>
      </c>
      <c r="V251" s="413">
        <v>0</v>
      </c>
      <c r="W251" s="419">
        <f t="shared" si="407"/>
        <v>800</v>
      </c>
      <c r="X251" s="415">
        <f t="shared" si="408"/>
        <v>0</v>
      </c>
      <c r="Y251" s="415">
        <f t="shared" si="409"/>
        <v>800</v>
      </c>
      <c r="Z251" s="415"/>
      <c r="AA251" s="415"/>
      <c r="AB251" s="416">
        <v>0</v>
      </c>
      <c r="AC251" s="417" t="s">
        <v>1155</v>
      </c>
      <c r="AD251" s="227"/>
      <c r="AE251" s="241">
        <v>2</v>
      </c>
      <c r="AF251" s="204" t="str">
        <f t="shared" si="320"/>
        <v xml:space="preserve">Location salle dans chaque AS pour l'investiture </v>
      </c>
      <c r="AG251" s="413">
        <f t="shared" si="402"/>
        <v>1</v>
      </c>
      <c r="AH251" s="413">
        <f t="shared" si="403"/>
        <v>0</v>
      </c>
      <c r="AI251" s="419">
        <f t="shared" si="355"/>
        <v>1550</v>
      </c>
      <c r="AJ251" s="419">
        <f t="shared" si="293"/>
        <v>0</v>
      </c>
      <c r="AK251" s="415">
        <f t="shared" si="356"/>
        <v>0</v>
      </c>
      <c r="AL251" s="415">
        <f t="shared" si="315"/>
        <v>1550</v>
      </c>
      <c r="AM251" s="323">
        <f t="shared" si="316"/>
        <v>750</v>
      </c>
      <c r="AN251" s="323">
        <f t="shared" si="317"/>
        <v>0</v>
      </c>
      <c r="AO251" s="323">
        <f t="shared" si="318"/>
        <v>800</v>
      </c>
      <c r="AP251" s="323">
        <f t="shared" si="319"/>
        <v>0</v>
      </c>
      <c r="AQ251" s="186" t="s">
        <v>1153</v>
      </c>
      <c r="AT251" s="186"/>
      <c r="AU251" s="186"/>
    </row>
    <row r="252" spans="1:47" s="199" customFormat="1" x14ac:dyDescent="0.35">
      <c r="A252" s="408">
        <v>3</v>
      </c>
      <c r="B252" s="409" t="s">
        <v>1156</v>
      </c>
      <c r="C252" s="409" t="s">
        <v>90</v>
      </c>
      <c r="D252" s="410">
        <v>5</v>
      </c>
      <c r="E252" s="411">
        <v>283</v>
      </c>
      <c r="F252" s="412">
        <v>1</v>
      </c>
      <c r="G252" s="413">
        <v>1</v>
      </c>
      <c r="H252" s="413">
        <v>0</v>
      </c>
      <c r="I252" s="414">
        <f t="shared" si="404"/>
        <v>1415</v>
      </c>
      <c r="J252" s="415">
        <f t="shared" si="405"/>
        <v>0</v>
      </c>
      <c r="K252" s="415">
        <f t="shared" si="406"/>
        <v>1415</v>
      </c>
      <c r="L252" s="415"/>
      <c r="M252" s="415"/>
      <c r="N252" s="416">
        <v>0</v>
      </c>
      <c r="O252" s="417" t="s">
        <v>1157</v>
      </c>
      <c r="Q252" s="409" t="s">
        <v>90</v>
      </c>
      <c r="R252" s="418">
        <v>5</v>
      </c>
      <c r="S252" s="411">
        <v>292</v>
      </c>
      <c r="T252" s="411">
        <v>1</v>
      </c>
      <c r="U252" s="413">
        <v>1</v>
      </c>
      <c r="V252" s="413">
        <v>0</v>
      </c>
      <c r="W252" s="419">
        <f t="shared" si="407"/>
        <v>1460</v>
      </c>
      <c r="X252" s="415">
        <f t="shared" si="408"/>
        <v>0</v>
      </c>
      <c r="Y252" s="415">
        <f t="shared" si="409"/>
        <v>1460</v>
      </c>
      <c r="Z252" s="415"/>
      <c r="AA252" s="415"/>
      <c r="AB252" s="416">
        <v>0</v>
      </c>
      <c r="AC252" s="417" t="s">
        <v>1157</v>
      </c>
      <c r="AD252" s="227"/>
      <c r="AE252" s="241">
        <v>4</v>
      </c>
      <c r="AF252" s="204" t="str">
        <f t="shared" si="320"/>
        <v>Motivation des crieurs lors de sensibilisations</v>
      </c>
      <c r="AG252" s="413">
        <f t="shared" si="402"/>
        <v>1</v>
      </c>
      <c r="AH252" s="413">
        <f t="shared" si="403"/>
        <v>0</v>
      </c>
      <c r="AI252" s="419">
        <f t="shared" si="355"/>
        <v>2875</v>
      </c>
      <c r="AJ252" s="419">
        <f t="shared" si="293"/>
        <v>0</v>
      </c>
      <c r="AK252" s="415">
        <f t="shared" si="356"/>
        <v>0</v>
      </c>
      <c r="AL252" s="415">
        <f t="shared" si="315"/>
        <v>2875</v>
      </c>
      <c r="AM252" s="323">
        <f t="shared" si="316"/>
        <v>1415</v>
      </c>
      <c r="AN252" s="323">
        <f t="shared" si="317"/>
        <v>0</v>
      </c>
      <c r="AO252" s="323">
        <f t="shared" si="318"/>
        <v>1460</v>
      </c>
      <c r="AP252" s="323">
        <f t="shared" si="319"/>
        <v>0</v>
      </c>
      <c r="AQ252" s="186" t="s">
        <v>1153</v>
      </c>
      <c r="AT252" s="186"/>
      <c r="AU252" s="186"/>
    </row>
    <row r="253" spans="1:47" s="199" customFormat="1" ht="26" x14ac:dyDescent="0.35">
      <c r="A253" s="408">
        <v>4</v>
      </c>
      <c r="B253" s="409" t="s">
        <v>484</v>
      </c>
      <c r="C253" s="409" t="s">
        <v>485</v>
      </c>
      <c r="D253" s="410">
        <v>25</v>
      </c>
      <c r="E253" s="411">
        <f>283+30</f>
        <v>313</v>
      </c>
      <c r="F253" s="412">
        <v>1</v>
      </c>
      <c r="G253" s="413">
        <v>1</v>
      </c>
      <c r="H253" s="413">
        <v>0</v>
      </c>
      <c r="I253" s="414">
        <f t="shared" si="404"/>
        <v>7825</v>
      </c>
      <c r="J253" s="415">
        <f t="shared" si="405"/>
        <v>0</v>
      </c>
      <c r="K253" s="415">
        <f t="shared" si="406"/>
        <v>7825</v>
      </c>
      <c r="L253" s="415"/>
      <c r="M253" s="415"/>
      <c r="N253" s="416">
        <v>0</v>
      </c>
      <c r="O253" s="417" t="s">
        <v>1158</v>
      </c>
      <c r="Q253" s="409" t="s">
        <v>485</v>
      </c>
      <c r="R253" s="418">
        <v>25</v>
      </c>
      <c r="S253" s="411">
        <f>292+30</f>
        <v>322</v>
      </c>
      <c r="T253" s="411">
        <v>1</v>
      </c>
      <c r="U253" s="413">
        <v>1</v>
      </c>
      <c r="V253" s="413">
        <v>0</v>
      </c>
      <c r="W253" s="419">
        <f t="shared" si="407"/>
        <v>8050</v>
      </c>
      <c r="X253" s="415">
        <f t="shared" si="408"/>
        <v>0</v>
      </c>
      <c r="Y253" s="415">
        <f t="shared" si="409"/>
        <v>8050</v>
      </c>
      <c r="Z253" s="415"/>
      <c r="AA253" s="415"/>
      <c r="AB253" s="416">
        <v>0</v>
      </c>
      <c r="AC253" s="417" t="s">
        <v>1159</v>
      </c>
      <c r="AD253" s="227"/>
      <c r="AE253" s="241">
        <v>5</v>
      </c>
      <c r="AF253" s="204" t="str">
        <f t="shared" si="320"/>
        <v>Achat megaphones pour sensibilisation</v>
      </c>
      <c r="AG253" s="413">
        <f t="shared" si="402"/>
        <v>1</v>
      </c>
      <c r="AH253" s="413">
        <f t="shared" si="403"/>
        <v>0</v>
      </c>
      <c r="AI253" s="419">
        <f t="shared" si="355"/>
        <v>15875</v>
      </c>
      <c r="AJ253" s="419">
        <f t="shared" si="293"/>
        <v>0</v>
      </c>
      <c r="AK253" s="415">
        <f t="shared" si="356"/>
        <v>0</v>
      </c>
      <c r="AL253" s="415">
        <f t="shared" si="315"/>
        <v>15875</v>
      </c>
      <c r="AM253" s="323">
        <f t="shared" si="316"/>
        <v>7825</v>
      </c>
      <c r="AN253" s="323">
        <f t="shared" si="317"/>
        <v>0</v>
      </c>
      <c r="AO253" s="323">
        <f t="shared" si="318"/>
        <v>8050</v>
      </c>
      <c r="AP253" s="323">
        <f t="shared" si="319"/>
        <v>0</v>
      </c>
      <c r="AQ253" s="186" t="s">
        <v>1153</v>
      </c>
      <c r="AT253" s="186"/>
      <c r="AU253" s="186"/>
    </row>
    <row r="254" spans="1:47" s="199" customFormat="1" x14ac:dyDescent="0.35">
      <c r="A254" s="408">
        <v>5</v>
      </c>
      <c r="B254" s="409" t="s">
        <v>1160</v>
      </c>
      <c r="C254" s="409" t="s">
        <v>1161</v>
      </c>
      <c r="D254" s="410">
        <v>55</v>
      </c>
      <c r="E254" s="411">
        <v>8</v>
      </c>
      <c r="F254" s="412">
        <v>1</v>
      </c>
      <c r="G254" s="413">
        <v>1</v>
      </c>
      <c r="H254" s="413">
        <v>0</v>
      </c>
      <c r="I254" s="414">
        <f>D254*E254*F254*G254</f>
        <v>440</v>
      </c>
      <c r="J254" s="415">
        <f t="shared" si="405"/>
        <v>0</v>
      </c>
      <c r="K254" s="415">
        <f t="shared" si="406"/>
        <v>440</v>
      </c>
      <c r="L254" s="415"/>
      <c r="M254" s="415"/>
      <c r="N254" s="416">
        <v>0</v>
      </c>
      <c r="O254" s="417" t="s">
        <v>1162</v>
      </c>
      <c r="Q254" s="409" t="s">
        <v>1163</v>
      </c>
      <c r="R254" s="418">
        <v>55</v>
      </c>
      <c r="S254" s="411">
        <v>9</v>
      </c>
      <c r="T254" s="411">
        <v>1</v>
      </c>
      <c r="U254" s="413">
        <v>1</v>
      </c>
      <c r="V254" s="413">
        <v>0</v>
      </c>
      <c r="W254" s="419">
        <f>R254*S254*T254*U254</f>
        <v>495</v>
      </c>
      <c r="X254" s="415">
        <f>R254*S254*T254*V254</f>
        <v>0</v>
      </c>
      <c r="Y254" s="415">
        <f>W254</f>
        <v>495</v>
      </c>
      <c r="Z254" s="415"/>
      <c r="AA254" s="415"/>
      <c r="AB254" s="416">
        <v>0</v>
      </c>
      <c r="AC254" s="417" t="s">
        <v>1164</v>
      </c>
      <c r="AD254" s="227"/>
      <c r="AE254" s="241">
        <v>6</v>
      </c>
      <c r="AF254" s="204" t="str">
        <f t="shared" si="320"/>
        <v>Achat pile pour megaphone des crieurs qui vont sensibilisé pour la participation à AV</v>
      </c>
      <c r="AG254" s="413">
        <f t="shared" si="402"/>
        <v>1</v>
      </c>
      <c r="AH254" s="413">
        <f t="shared" si="403"/>
        <v>0</v>
      </c>
      <c r="AI254" s="419">
        <f t="shared" si="355"/>
        <v>935</v>
      </c>
      <c r="AJ254" s="419">
        <f t="shared" si="293"/>
        <v>0</v>
      </c>
      <c r="AK254" s="415">
        <f t="shared" si="356"/>
        <v>0</v>
      </c>
      <c r="AL254" s="415">
        <f t="shared" si="315"/>
        <v>935</v>
      </c>
      <c r="AM254" s="323">
        <f t="shared" si="316"/>
        <v>440</v>
      </c>
      <c r="AN254" s="323">
        <f t="shared" si="317"/>
        <v>0</v>
      </c>
      <c r="AO254" s="323">
        <f t="shared" si="318"/>
        <v>495</v>
      </c>
      <c r="AP254" s="323">
        <f t="shared" si="319"/>
        <v>0</v>
      </c>
      <c r="AQ254" s="186" t="s">
        <v>1153</v>
      </c>
      <c r="AT254" s="186"/>
      <c r="AU254" s="186"/>
    </row>
    <row r="255" spans="1:47" s="173" customFormat="1" ht="26" x14ac:dyDescent="0.3">
      <c r="A255" s="480" t="s">
        <v>266</v>
      </c>
      <c r="B255" s="861" t="s">
        <v>1165</v>
      </c>
      <c r="C255" s="862"/>
      <c r="D255" s="862"/>
      <c r="E255" s="862"/>
      <c r="F255" s="862"/>
      <c r="G255" s="862"/>
      <c r="H255" s="863"/>
      <c r="I255" s="481">
        <f>SUM(I256:I262)</f>
        <v>34311.5</v>
      </c>
      <c r="J255" s="482">
        <f>SUM(J256:J262)</f>
        <v>0</v>
      </c>
      <c r="K255" s="482">
        <f>SUM(K256:K262)</f>
        <v>34311.5</v>
      </c>
      <c r="L255" s="482"/>
      <c r="M255" s="482"/>
      <c r="N255" s="481">
        <f>SUM(N256:N262)</f>
        <v>0</v>
      </c>
      <c r="O255" s="543" t="s">
        <v>1166</v>
      </c>
      <c r="P255" s="168"/>
      <c r="Q255" s="538"/>
      <c r="R255" s="539"/>
      <c r="S255" s="538"/>
      <c r="T255" s="539"/>
      <c r="U255" s="539"/>
      <c r="V255" s="484"/>
      <c r="W255" s="482">
        <f>SUM(W256:W262)</f>
        <v>93823.5</v>
      </c>
      <c r="X255" s="482">
        <f>SUM(X256:X262)</f>
        <v>0</v>
      </c>
      <c r="Y255" s="482">
        <f>SUM(Y256:Y262)</f>
        <v>93823.5</v>
      </c>
      <c r="Z255" s="482">
        <f t="shared" ref="Z255:AA255" si="410">SUM(Z256:Z262)</f>
        <v>0</v>
      </c>
      <c r="AA255" s="482">
        <f t="shared" si="410"/>
        <v>0</v>
      </c>
      <c r="AB255" s="481">
        <f>SUM(AB256:AB262)</f>
        <v>0</v>
      </c>
      <c r="AC255" s="543" t="s">
        <v>1166</v>
      </c>
      <c r="AD255" s="236"/>
      <c r="AE255" s="242" t="s">
        <v>266</v>
      </c>
      <c r="AF255" s="204" t="str">
        <f t="shared" si="320"/>
        <v>Former les facilitateurs locaux sur la dynamique communautaire</v>
      </c>
      <c r="AG255" s="485">
        <f t="shared" si="402"/>
        <v>1</v>
      </c>
      <c r="AH255" s="485">
        <f t="shared" si="403"/>
        <v>0</v>
      </c>
      <c r="AI255" s="482">
        <f t="shared" si="355"/>
        <v>128135</v>
      </c>
      <c r="AJ255" s="482">
        <f t="shared" si="293"/>
        <v>0</v>
      </c>
      <c r="AK255" s="482">
        <f t="shared" si="356"/>
        <v>0</v>
      </c>
      <c r="AL255" s="482">
        <f t="shared" si="315"/>
        <v>128135</v>
      </c>
      <c r="AM255" s="314">
        <f t="shared" si="316"/>
        <v>34311.5</v>
      </c>
      <c r="AN255" s="314">
        <f t="shared" si="317"/>
        <v>0</v>
      </c>
      <c r="AO255" s="314">
        <f t="shared" si="318"/>
        <v>93823.5</v>
      </c>
      <c r="AP255" s="314">
        <f t="shared" si="319"/>
        <v>0</v>
      </c>
      <c r="AQ255" s="169"/>
      <c r="AT255" s="168"/>
      <c r="AU255" s="168"/>
    </row>
    <row r="256" spans="1:47" s="186" customFormat="1" ht="26" x14ac:dyDescent="0.35">
      <c r="A256" s="408">
        <v>1</v>
      </c>
      <c r="B256" s="409" t="s">
        <v>1167</v>
      </c>
      <c r="C256" s="409" t="s">
        <v>90</v>
      </c>
      <c r="D256" s="410">
        <v>2</v>
      </c>
      <c r="E256" s="411">
        <v>160</v>
      </c>
      <c r="F256" s="412">
        <v>5</v>
      </c>
      <c r="G256" s="486">
        <v>1</v>
      </c>
      <c r="H256" s="486">
        <v>0</v>
      </c>
      <c r="I256" s="416">
        <f t="shared" ref="I256:I262" si="411">D256*E256*F256*G256</f>
        <v>1600</v>
      </c>
      <c r="J256" s="487">
        <f t="shared" ref="J256:J262" si="412">D256*E256*F256*H256</f>
        <v>0</v>
      </c>
      <c r="K256" s="513">
        <f t="shared" ref="K256:K262" si="413">I256</f>
        <v>1600</v>
      </c>
      <c r="L256" s="513"/>
      <c r="M256" s="513"/>
      <c r="N256" s="416">
        <v>0</v>
      </c>
      <c r="O256" s="417" t="s">
        <v>1168</v>
      </c>
      <c r="P256" s="201"/>
      <c r="Q256" s="409" t="s">
        <v>90</v>
      </c>
      <c r="R256" s="418">
        <v>2</v>
      </c>
      <c r="S256" s="411">
        <v>395</v>
      </c>
      <c r="T256" s="411">
        <v>5</v>
      </c>
      <c r="U256" s="486">
        <v>1</v>
      </c>
      <c r="V256" s="486">
        <v>0</v>
      </c>
      <c r="W256" s="506">
        <f t="shared" ref="W256:W262" si="414">R256*S256*T256*U256</f>
        <v>3950</v>
      </c>
      <c r="X256" s="487">
        <f t="shared" ref="X256:X262" si="415">R256*S256*T256*V256</f>
        <v>0</v>
      </c>
      <c r="Y256" s="487">
        <f t="shared" ref="Y256:Y262" si="416">W256</f>
        <v>3950</v>
      </c>
      <c r="Z256" s="487"/>
      <c r="AA256" s="487"/>
      <c r="AB256" s="416">
        <v>0</v>
      </c>
      <c r="AC256" s="417" t="s">
        <v>1169</v>
      </c>
      <c r="AD256" s="227"/>
      <c r="AE256" s="241">
        <v>1</v>
      </c>
      <c r="AF256" s="204" t="str">
        <f t="shared" si="320"/>
        <v>Pause café à Nyiragongo et à Rwanguba</v>
      </c>
      <c r="AG256" s="486">
        <f t="shared" si="402"/>
        <v>1</v>
      </c>
      <c r="AH256" s="486">
        <f t="shared" si="403"/>
        <v>0</v>
      </c>
      <c r="AI256" s="506">
        <f t="shared" si="355"/>
        <v>5550</v>
      </c>
      <c r="AJ256" s="506">
        <f t="shared" si="293"/>
        <v>0</v>
      </c>
      <c r="AK256" s="487">
        <f t="shared" si="356"/>
        <v>0</v>
      </c>
      <c r="AL256" s="487">
        <f t="shared" si="315"/>
        <v>5550</v>
      </c>
      <c r="AM256" s="316">
        <f t="shared" si="316"/>
        <v>1600</v>
      </c>
      <c r="AN256" s="316">
        <f t="shared" si="317"/>
        <v>0</v>
      </c>
      <c r="AO256" s="316">
        <f t="shared" si="318"/>
        <v>3950</v>
      </c>
      <c r="AP256" s="316">
        <f t="shared" si="319"/>
        <v>0</v>
      </c>
      <c r="AQ256" s="186" t="s">
        <v>1153</v>
      </c>
    </row>
    <row r="257" spans="1:47" s="186" customFormat="1" ht="26" x14ac:dyDescent="0.35">
      <c r="A257" s="408">
        <v>2</v>
      </c>
      <c r="B257" s="409" t="s">
        <v>1170</v>
      </c>
      <c r="C257" s="409" t="s">
        <v>90</v>
      </c>
      <c r="D257" s="410">
        <v>5</v>
      </c>
      <c r="E257" s="411">
        <v>160</v>
      </c>
      <c r="F257" s="412">
        <v>5</v>
      </c>
      <c r="G257" s="486">
        <v>1</v>
      </c>
      <c r="H257" s="486">
        <v>0</v>
      </c>
      <c r="I257" s="416">
        <f t="shared" si="411"/>
        <v>4000</v>
      </c>
      <c r="J257" s="487">
        <f t="shared" si="412"/>
        <v>0</v>
      </c>
      <c r="K257" s="513">
        <f t="shared" si="413"/>
        <v>4000</v>
      </c>
      <c r="L257" s="513"/>
      <c r="M257" s="513"/>
      <c r="N257" s="416">
        <v>0</v>
      </c>
      <c r="O257" s="417" t="s">
        <v>1171</v>
      </c>
      <c r="P257" s="201"/>
      <c r="Q257" s="409" t="s">
        <v>90</v>
      </c>
      <c r="R257" s="418">
        <v>5</v>
      </c>
      <c r="S257" s="411">
        <v>411</v>
      </c>
      <c r="T257" s="411">
        <v>5</v>
      </c>
      <c r="U257" s="486">
        <v>1</v>
      </c>
      <c r="V257" s="486">
        <v>0</v>
      </c>
      <c r="W257" s="506">
        <f t="shared" si="414"/>
        <v>10275</v>
      </c>
      <c r="X257" s="487">
        <f t="shared" si="415"/>
        <v>0</v>
      </c>
      <c r="Y257" s="487">
        <f t="shared" si="416"/>
        <v>10275</v>
      </c>
      <c r="Z257" s="487"/>
      <c r="AA257" s="487"/>
      <c r="AB257" s="416">
        <v>0</v>
      </c>
      <c r="AC257" s="417" t="s">
        <v>1172</v>
      </c>
      <c r="AD257" s="227"/>
      <c r="AE257" s="241">
        <v>2</v>
      </c>
      <c r="AF257" s="204" t="str">
        <f t="shared" si="320"/>
        <v>Pause repas à Nyiragongo et à Rwanguba</v>
      </c>
      <c r="AG257" s="486">
        <f t="shared" si="402"/>
        <v>1</v>
      </c>
      <c r="AH257" s="486">
        <f t="shared" si="403"/>
        <v>0</v>
      </c>
      <c r="AI257" s="506">
        <f t="shared" si="355"/>
        <v>14275</v>
      </c>
      <c r="AJ257" s="506">
        <f t="shared" si="293"/>
        <v>0</v>
      </c>
      <c r="AK257" s="487">
        <f t="shared" si="356"/>
        <v>0</v>
      </c>
      <c r="AL257" s="487">
        <f t="shared" si="315"/>
        <v>14275</v>
      </c>
      <c r="AM257" s="316">
        <f t="shared" si="316"/>
        <v>4000</v>
      </c>
      <c r="AN257" s="316">
        <f t="shared" si="317"/>
        <v>0</v>
      </c>
      <c r="AO257" s="316">
        <f t="shared" si="318"/>
        <v>10275</v>
      </c>
      <c r="AP257" s="316">
        <f t="shared" si="319"/>
        <v>0</v>
      </c>
      <c r="AQ257" s="186" t="s">
        <v>1153</v>
      </c>
    </row>
    <row r="258" spans="1:47" s="186" customFormat="1" x14ac:dyDescent="0.35">
      <c r="A258" s="408">
        <v>3</v>
      </c>
      <c r="B258" s="409" t="s">
        <v>533</v>
      </c>
      <c r="C258" s="409" t="s">
        <v>90</v>
      </c>
      <c r="D258" s="541">
        <v>12.5</v>
      </c>
      <c r="E258" s="411">
        <v>14</v>
      </c>
      <c r="F258" s="412">
        <v>5</v>
      </c>
      <c r="G258" s="486">
        <v>1</v>
      </c>
      <c r="H258" s="486">
        <v>0</v>
      </c>
      <c r="I258" s="416">
        <f t="shared" si="411"/>
        <v>875</v>
      </c>
      <c r="J258" s="487">
        <f t="shared" si="412"/>
        <v>0</v>
      </c>
      <c r="K258" s="513">
        <f t="shared" si="413"/>
        <v>875</v>
      </c>
      <c r="L258" s="513"/>
      <c r="M258" s="513"/>
      <c r="N258" s="416">
        <v>0</v>
      </c>
      <c r="O258" s="417" t="s">
        <v>1173</v>
      </c>
      <c r="P258" s="201"/>
      <c r="Q258" s="409" t="s">
        <v>90</v>
      </c>
      <c r="R258" s="418">
        <v>12.5</v>
      </c>
      <c r="S258" s="411">
        <v>38</v>
      </c>
      <c r="T258" s="411">
        <v>5</v>
      </c>
      <c r="U258" s="486">
        <v>1</v>
      </c>
      <c r="V258" s="486">
        <v>0</v>
      </c>
      <c r="W258" s="506">
        <f t="shared" si="414"/>
        <v>2375</v>
      </c>
      <c r="X258" s="487">
        <f t="shared" si="415"/>
        <v>0</v>
      </c>
      <c r="Y258" s="487">
        <f t="shared" si="416"/>
        <v>2375</v>
      </c>
      <c r="Z258" s="487"/>
      <c r="AA258" s="487"/>
      <c r="AB258" s="416">
        <v>0</v>
      </c>
      <c r="AC258" s="417" t="s">
        <v>1174</v>
      </c>
      <c r="AD258" s="227"/>
      <c r="AE258" s="241">
        <v>3</v>
      </c>
      <c r="AF258" s="204" t="str">
        <f t="shared" si="320"/>
        <v>Frais de facilitation</v>
      </c>
      <c r="AG258" s="486">
        <f t="shared" si="402"/>
        <v>1</v>
      </c>
      <c r="AH258" s="486">
        <f t="shared" si="403"/>
        <v>0</v>
      </c>
      <c r="AI258" s="506">
        <f t="shared" si="355"/>
        <v>3250</v>
      </c>
      <c r="AJ258" s="506">
        <f t="shared" si="293"/>
        <v>0</v>
      </c>
      <c r="AK258" s="487">
        <f t="shared" si="356"/>
        <v>0</v>
      </c>
      <c r="AL258" s="487">
        <f t="shared" si="315"/>
        <v>3250</v>
      </c>
      <c r="AM258" s="316">
        <f t="shared" si="316"/>
        <v>875</v>
      </c>
      <c r="AN258" s="316">
        <f t="shared" si="317"/>
        <v>0</v>
      </c>
      <c r="AO258" s="316">
        <f t="shared" si="318"/>
        <v>2375</v>
      </c>
      <c r="AP258" s="316">
        <f t="shared" si="319"/>
        <v>0</v>
      </c>
      <c r="AQ258" s="186" t="s">
        <v>1153</v>
      </c>
    </row>
    <row r="259" spans="1:47" s="186" customFormat="1" x14ac:dyDescent="0.35">
      <c r="A259" s="408">
        <v>4</v>
      </c>
      <c r="B259" s="409" t="s">
        <v>450</v>
      </c>
      <c r="C259" s="409" t="s">
        <v>422</v>
      </c>
      <c r="D259" s="410">
        <v>50</v>
      </c>
      <c r="E259" s="411">
        <v>7</v>
      </c>
      <c r="F259" s="412">
        <v>5</v>
      </c>
      <c r="G259" s="486">
        <v>1</v>
      </c>
      <c r="H259" s="486">
        <v>0</v>
      </c>
      <c r="I259" s="416">
        <f t="shared" si="411"/>
        <v>1750</v>
      </c>
      <c r="J259" s="487">
        <f t="shared" si="412"/>
        <v>0</v>
      </c>
      <c r="K259" s="513">
        <f t="shared" si="413"/>
        <v>1750</v>
      </c>
      <c r="L259" s="513"/>
      <c r="M259" s="513"/>
      <c r="N259" s="416">
        <v>0</v>
      </c>
      <c r="O259" s="417" t="s">
        <v>1175</v>
      </c>
      <c r="P259" s="201"/>
      <c r="Q259" s="409" t="s">
        <v>422</v>
      </c>
      <c r="R259" s="418">
        <v>50</v>
      </c>
      <c r="S259" s="411">
        <v>19</v>
      </c>
      <c r="T259" s="411">
        <v>5</v>
      </c>
      <c r="U259" s="486">
        <v>1</v>
      </c>
      <c r="V259" s="486">
        <v>0</v>
      </c>
      <c r="W259" s="506">
        <f t="shared" si="414"/>
        <v>4750</v>
      </c>
      <c r="X259" s="487">
        <f t="shared" si="415"/>
        <v>0</v>
      </c>
      <c r="Y259" s="487">
        <f t="shared" si="416"/>
        <v>4750</v>
      </c>
      <c r="Z259" s="487"/>
      <c r="AA259" s="487"/>
      <c r="AB259" s="416">
        <v>0</v>
      </c>
      <c r="AC259" s="417" t="s">
        <v>1175</v>
      </c>
      <c r="AD259" s="227"/>
      <c r="AE259" s="241">
        <v>4</v>
      </c>
      <c r="AF259" s="204" t="str">
        <f t="shared" si="320"/>
        <v xml:space="preserve">Location salle </v>
      </c>
      <c r="AG259" s="486">
        <f t="shared" si="402"/>
        <v>1</v>
      </c>
      <c r="AH259" s="486">
        <f t="shared" si="403"/>
        <v>0</v>
      </c>
      <c r="AI259" s="506">
        <f t="shared" ref="AI259:AI278" si="417">I259+W259</f>
        <v>6500</v>
      </c>
      <c r="AJ259" s="506">
        <f t="shared" ref="AJ259:AJ322" si="418">N259+AB259</f>
        <v>0</v>
      </c>
      <c r="AK259" s="487">
        <f t="shared" ref="AK259:AK278" si="419">J259+X259</f>
        <v>0</v>
      </c>
      <c r="AL259" s="487">
        <f t="shared" si="315"/>
        <v>6500</v>
      </c>
      <c r="AM259" s="316">
        <f t="shared" si="316"/>
        <v>1750</v>
      </c>
      <c r="AN259" s="316">
        <f t="shared" si="317"/>
        <v>0</v>
      </c>
      <c r="AO259" s="316">
        <f t="shared" si="318"/>
        <v>4750</v>
      </c>
      <c r="AP259" s="316">
        <f t="shared" si="319"/>
        <v>0</v>
      </c>
      <c r="AQ259" s="186" t="s">
        <v>1153</v>
      </c>
    </row>
    <row r="260" spans="1:47" s="186" customFormat="1" ht="26" x14ac:dyDescent="0.35">
      <c r="A260" s="408">
        <v>5</v>
      </c>
      <c r="B260" s="409" t="s">
        <v>1176</v>
      </c>
      <c r="C260" s="409" t="s">
        <v>90</v>
      </c>
      <c r="D260" s="410">
        <v>5</v>
      </c>
      <c r="E260" s="411">
        <v>131</v>
      </c>
      <c r="F260" s="412">
        <v>5</v>
      </c>
      <c r="G260" s="486">
        <v>1</v>
      </c>
      <c r="H260" s="486">
        <v>0</v>
      </c>
      <c r="I260" s="416">
        <f t="shared" si="411"/>
        <v>3275</v>
      </c>
      <c r="J260" s="487">
        <f t="shared" si="412"/>
        <v>0</v>
      </c>
      <c r="K260" s="513">
        <f t="shared" si="413"/>
        <v>3275</v>
      </c>
      <c r="L260" s="513"/>
      <c r="M260" s="513"/>
      <c r="N260" s="416">
        <v>0</v>
      </c>
      <c r="O260" s="417" t="s">
        <v>1177</v>
      </c>
      <c r="P260" s="201"/>
      <c r="Q260" s="409" t="s">
        <v>90</v>
      </c>
      <c r="R260" s="418">
        <v>5</v>
      </c>
      <c r="S260" s="411">
        <v>373</v>
      </c>
      <c r="T260" s="411">
        <v>5</v>
      </c>
      <c r="U260" s="486">
        <v>1</v>
      </c>
      <c r="V260" s="486">
        <v>0</v>
      </c>
      <c r="W260" s="506">
        <f t="shared" si="414"/>
        <v>9325</v>
      </c>
      <c r="X260" s="487">
        <f t="shared" si="415"/>
        <v>0</v>
      </c>
      <c r="Y260" s="487">
        <f t="shared" si="416"/>
        <v>9325</v>
      </c>
      <c r="Z260" s="487"/>
      <c r="AA260" s="487"/>
      <c r="AB260" s="416">
        <v>0</v>
      </c>
      <c r="AC260" s="417" t="s">
        <v>1177</v>
      </c>
      <c r="AD260" s="227"/>
      <c r="AE260" s="241">
        <v>5</v>
      </c>
      <c r="AF260" s="204" t="str">
        <f t="shared" si="320"/>
        <v>Frais de transport des participant à Nyiragongo et Rwanguba</v>
      </c>
      <c r="AG260" s="486">
        <f t="shared" si="402"/>
        <v>1</v>
      </c>
      <c r="AH260" s="486">
        <f t="shared" si="403"/>
        <v>0</v>
      </c>
      <c r="AI260" s="506">
        <f t="shared" si="417"/>
        <v>12600</v>
      </c>
      <c r="AJ260" s="506">
        <f t="shared" si="418"/>
        <v>0</v>
      </c>
      <c r="AK260" s="487">
        <f t="shared" si="419"/>
        <v>0</v>
      </c>
      <c r="AL260" s="487">
        <f t="shared" si="315"/>
        <v>12600</v>
      </c>
      <c r="AM260" s="316">
        <f t="shared" si="316"/>
        <v>3275</v>
      </c>
      <c r="AN260" s="316">
        <f t="shared" si="317"/>
        <v>0</v>
      </c>
      <c r="AO260" s="316">
        <f t="shared" si="318"/>
        <v>9325</v>
      </c>
      <c r="AP260" s="316">
        <f t="shared" si="319"/>
        <v>0</v>
      </c>
      <c r="AQ260" s="186" t="s">
        <v>1153</v>
      </c>
    </row>
    <row r="261" spans="1:47" s="186" customFormat="1" x14ac:dyDescent="0.35">
      <c r="A261" s="408">
        <v>6</v>
      </c>
      <c r="B261" s="409" t="s">
        <v>487</v>
      </c>
      <c r="C261" s="409" t="s">
        <v>90</v>
      </c>
      <c r="D261" s="541">
        <v>2.5</v>
      </c>
      <c r="E261" s="411">
        <v>131</v>
      </c>
      <c r="F261" s="412">
        <v>1</v>
      </c>
      <c r="G261" s="486">
        <v>1</v>
      </c>
      <c r="H261" s="486">
        <v>0</v>
      </c>
      <c r="I261" s="416">
        <f t="shared" si="411"/>
        <v>327.5</v>
      </c>
      <c r="J261" s="487">
        <f t="shared" si="412"/>
        <v>0</v>
      </c>
      <c r="K261" s="513">
        <f t="shared" si="413"/>
        <v>327.5</v>
      </c>
      <c r="L261" s="513"/>
      <c r="M261" s="513"/>
      <c r="N261" s="416">
        <v>0</v>
      </c>
      <c r="O261" s="417" t="s">
        <v>1178</v>
      </c>
      <c r="P261" s="201"/>
      <c r="Q261" s="409" t="s">
        <v>90</v>
      </c>
      <c r="R261" s="418">
        <v>2.5</v>
      </c>
      <c r="S261" s="411">
        <v>373</v>
      </c>
      <c r="T261" s="411">
        <v>1</v>
      </c>
      <c r="U261" s="486">
        <v>1</v>
      </c>
      <c r="V261" s="486">
        <v>0</v>
      </c>
      <c r="W261" s="506">
        <f t="shared" si="414"/>
        <v>932.5</v>
      </c>
      <c r="X261" s="487">
        <f t="shared" si="415"/>
        <v>0</v>
      </c>
      <c r="Y261" s="487">
        <f t="shared" si="416"/>
        <v>932.5</v>
      </c>
      <c r="Z261" s="487"/>
      <c r="AA261" s="487"/>
      <c r="AB261" s="416">
        <v>0</v>
      </c>
      <c r="AC261" s="417" t="s">
        <v>1179</v>
      </c>
      <c r="AD261" s="227"/>
      <c r="AE261" s="241">
        <v>6</v>
      </c>
      <c r="AF261" s="204" t="str">
        <f t="shared" si="320"/>
        <v>Fournitures (Kit -Stylos et blocs notes)</v>
      </c>
      <c r="AG261" s="486">
        <f t="shared" si="402"/>
        <v>1</v>
      </c>
      <c r="AH261" s="486">
        <f t="shared" si="403"/>
        <v>0</v>
      </c>
      <c r="AI261" s="506">
        <f t="shared" si="417"/>
        <v>1260</v>
      </c>
      <c r="AJ261" s="506">
        <f t="shared" si="418"/>
        <v>0</v>
      </c>
      <c r="AK261" s="487">
        <f t="shared" si="419"/>
        <v>0</v>
      </c>
      <c r="AL261" s="487">
        <f t="shared" si="315"/>
        <v>1260</v>
      </c>
      <c r="AM261" s="316">
        <f t="shared" si="316"/>
        <v>327.5</v>
      </c>
      <c r="AN261" s="316">
        <f t="shared" si="317"/>
        <v>0</v>
      </c>
      <c r="AO261" s="316">
        <f t="shared" si="318"/>
        <v>932.5</v>
      </c>
      <c r="AP261" s="316">
        <f t="shared" si="319"/>
        <v>0</v>
      </c>
      <c r="AQ261" s="186" t="s">
        <v>1153</v>
      </c>
    </row>
    <row r="262" spans="1:47" s="186" customFormat="1" ht="39" x14ac:dyDescent="0.35">
      <c r="A262" s="408">
        <v>7</v>
      </c>
      <c r="B262" s="409" t="s">
        <v>1180</v>
      </c>
      <c r="C262" s="409" t="s">
        <v>90</v>
      </c>
      <c r="D262" s="410">
        <v>7</v>
      </c>
      <c r="E262" s="411">
        <v>146</v>
      </c>
      <c r="F262" s="412">
        <v>22</v>
      </c>
      <c r="G262" s="486">
        <v>1</v>
      </c>
      <c r="H262" s="486">
        <v>0</v>
      </c>
      <c r="I262" s="416">
        <f t="shared" si="411"/>
        <v>22484</v>
      </c>
      <c r="J262" s="487">
        <f t="shared" si="412"/>
        <v>0</v>
      </c>
      <c r="K262" s="513">
        <f t="shared" si="413"/>
        <v>22484</v>
      </c>
      <c r="L262" s="513"/>
      <c r="M262" s="513"/>
      <c r="N262" s="416">
        <v>0</v>
      </c>
      <c r="O262" s="417" t="s">
        <v>1181</v>
      </c>
      <c r="P262" s="201"/>
      <c r="Q262" s="409" t="s">
        <v>90</v>
      </c>
      <c r="R262" s="418">
        <v>7</v>
      </c>
      <c r="S262" s="411">
        <v>404</v>
      </c>
      <c r="T262" s="411">
        <v>22</v>
      </c>
      <c r="U262" s="486">
        <v>1</v>
      </c>
      <c r="V262" s="486">
        <v>0</v>
      </c>
      <c r="W262" s="506">
        <f t="shared" si="414"/>
        <v>62216</v>
      </c>
      <c r="X262" s="487">
        <f t="shared" si="415"/>
        <v>0</v>
      </c>
      <c r="Y262" s="487">
        <f t="shared" si="416"/>
        <v>62216</v>
      </c>
      <c r="Z262" s="487"/>
      <c r="AA262" s="487"/>
      <c r="AB262" s="416">
        <v>0</v>
      </c>
      <c r="AC262" s="417" t="s">
        <v>1182</v>
      </c>
      <c r="AD262" s="227"/>
      <c r="AE262" s="241">
        <v>7</v>
      </c>
      <c r="AF262" s="204" t="str">
        <f t="shared" si="320"/>
        <v>Prime des facilitateurs locaux pour mois d'accompagnement des activités de mise en œuvre de la dynamique communautaire</v>
      </c>
      <c r="AG262" s="486">
        <f t="shared" si="402"/>
        <v>1</v>
      </c>
      <c r="AH262" s="486">
        <f t="shared" si="403"/>
        <v>0</v>
      </c>
      <c r="AI262" s="506">
        <f t="shared" si="417"/>
        <v>84700</v>
      </c>
      <c r="AJ262" s="506">
        <f t="shared" si="418"/>
        <v>0</v>
      </c>
      <c r="AK262" s="487">
        <f t="shared" si="419"/>
        <v>0</v>
      </c>
      <c r="AL262" s="487">
        <f t="shared" ref="AL262:AL317" si="420">AI262+AJ262+AK262</f>
        <v>84700</v>
      </c>
      <c r="AM262" s="316">
        <f t="shared" si="316"/>
        <v>22484</v>
      </c>
      <c r="AN262" s="316">
        <f t="shared" si="317"/>
        <v>0</v>
      </c>
      <c r="AO262" s="316">
        <f t="shared" si="318"/>
        <v>62216</v>
      </c>
      <c r="AP262" s="316">
        <f t="shared" si="319"/>
        <v>0</v>
      </c>
      <c r="AQ262" s="186" t="s">
        <v>1153</v>
      </c>
    </row>
    <row r="263" spans="1:47" s="173" customFormat="1" ht="26" x14ac:dyDescent="0.3">
      <c r="A263" s="480" t="s">
        <v>267</v>
      </c>
      <c r="B263" s="861" t="s">
        <v>1183</v>
      </c>
      <c r="C263" s="862"/>
      <c r="D263" s="862"/>
      <c r="E263" s="862"/>
      <c r="F263" s="862"/>
      <c r="G263" s="862"/>
      <c r="H263" s="863"/>
      <c r="I263" s="481">
        <f>SUM(I264:I268)</f>
        <v>260700</v>
      </c>
      <c r="J263" s="482">
        <f>SUM(J264:J268)</f>
        <v>0</v>
      </c>
      <c r="K263" s="482">
        <f>SUM(K264:K268)</f>
        <v>260700</v>
      </c>
      <c r="L263" s="482"/>
      <c r="M263" s="482"/>
      <c r="N263" s="481">
        <f>SUM(N264:N268)</f>
        <v>0</v>
      </c>
      <c r="O263" s="543" t="s">
        <v>1166</v>
      </c>
      <c r="P263" s="168"/>
      <c r="Q263" s="538"/>
      <c r="R263" s="539"/>
      <c r="S263" s="538"/>
      <c r="T263" s="539"/>
      <c r="U263" s="539"/>
      <c r="V263" s="484"/>
      <c r="W263" s="482">
        <f>SUM(W264:W268)</f>
        <v>324645</v>
      </c>
      <c r="X263" s="482">
        <f>SUM(X264:X268)</f>
        <v>0</v>
      </c>
      <c r="Y263" s="482">
        <f>SUM(Y264:Y268)</f>
        <v>324645</v>
      </c>
      <c r="Z263" s="482">
        <f t="shared" ref="Z263:AA263" si="421">SUM(Z264:Z268)</f>
        <v>0</v>
      </c>
      <c r="AA263" s="482">
        <f t="shared" si="421"/>
        <v>0</v>
      </c>
      <c r="AB263" s="481">
        <f>SUM(AB264:AB268)</f>
        <v>0</v>
      </c>
      <c r="AC263" s="543" t="s">
        <v>1166</v>
      </c>
      <c r="AD263" s="236"/>
      <c r="AE263" s="242" t="s">
        <v>267</v>
      </c>
      <c r="AF263" s="204" t="str">
        <f t="shared" si="320"/>
        <v xml:space="preserve">Former les membres des CAC sur la dynamique communautaire </v>
      </c>
      <c r="AG263" s="485">
        <f t="shared" si="402"/>
        <v>1</v>
      </c>
      <c r="AH263" s="485">
        <f t="shared" si="403"/>
        <v>0</v>
      </c>
      <c r="AI263" s="482">
        <f t="shared" si="417"/>
        <v>585345</v>
      </c>
      <c r="AJ263" s="482">
        <f t="shared" si="418"/>
        <v>0</v>
      </c>
      <c r="AK263" s="482">
        <f t="shared" si="419"/>
        <v>0</v>
      </c>
      <c r="AL263" s="482">
        <f t="shared" si="420"/>
        <v>585345</v>
      </c>
      <c r="AM263" s="314">
        <f t="shared" si="316"/>
        <v>260700</v>
      </c>
      <c r="AN263" s="314">
        <f t="shared" si="317"/>
        <v>0</v>
      </c>
      <c r="AO263" s="314">
        <f t="shared" si="318"/>
        <v>324645</v>
      </c>
      <c r="AP263" s="314">
        <f t="shared" si="319"/>
        <v>0</v>
      </c>
      <c r="AQ263" s="169"/>
      <c r="AT263" s="168"/>
      <c r="AU263" s="168"/>
    </row>
    <row r="264" spans="1:47" s="199" customFormat="1" ht="26" x14ac:dyDescent="0.35">
      <c r="A264" s="408">
        <v>1</v>
      </c>
      <c r="B264" s="409" t="s">
        <v>1167</v>
      </c>
      <c r="C264" s="409" t="s">
        <v>90</v>
      </c>
      <c r="D264" s="410">
        <v>2</v>
      </c>
      <c r="E264" s="411">
        <v>3566</v>
      </c>
      <c r="F264" s="412">
        <v>5</v>
      </c>
      <c r="G264" s="413">
        <v>1</v>
      </c>
      <c r="H264" s="413">
        <v>0</v>
      </c>
      <c r="I264" s="414">
        <f>D264*E264*F264*G264</f>
        <v>35660</v>
      </c>
      <c r="J264" s="415">
        <f>D264*E264*F264*H264</f>
        <v>0</v>
      </c>
      <c r="K264" s="415">
        <f>I264</f>
        <v>35660</v>
      </c>
      <c r="L264" s="415"/>
      <c r="M264" s="415"/>
      <c r="N264" s="416">
        <v>0</v>
      </c>
      <c r="O264" s="417" t="s">
        <v>1184</v>
      </c>
      <c r="Q264" s="409" t="s">
        <v>90</v>
      </c>
      <c r="R264" s="418">
        <v>2</v>
      </c>
      <c r="S264" s="411">
        <v>7245</v>
      </c>
      <c r="T264" s="411">
        <v>3</v>
      </c>
      <c r="U264" s="413">
        <v>1</v>
      </c>
      <c r="V264" s="413">
        <v>0</v>
      </c>
      <c r="W264" s="419">
        <f>R264*S264*T264*U264</f>
        <v>43470</v>
      </c>
      <c r="X264" s="415">
        <f>R264*S264*T264*V264</f>
        <v>0</v>
      </c>
      <c r="Y264" s="415">
        <f>W264</f>
        <v>43470</v>
      </c>
      <c r="Z264" s="415"/>
      <c r="AA264" s="415"/>
      <c r="AB264" s="416">
        <v>0</v>
      </c>
      <c r="AC264" s="417" t="s">
        <v>1185</v>
      </c>
      <c r="AD264" s="227"/>
      <c r="AE264" s="241">
        <v>1</v>
      </c>
      <c r="AF264" s="204" t="str">
        <f t="shared" si="320"/>
        <v>Pause café à Nyiragongo et à Rwanguba</v>
      </c>
      <c r="AG264" s="413">
        <f t="shared" si="402"/>
        <v>1</v>
      </c>
      <c r="AH264" s="413">
        <f t="shared" si="403"/>
        <v>0</v>
      </c>
      <c r="AI264" s="419">
        <f t="shared" si="417"/>
        <v>79130</v>
      </c>
      <c r="AJ264" s="419">
        <f t="shared" si="418"/>
        <v>0</v>
      </c>
      <c r="AK264" s="415">
        <f t="shared" si="419"/>
        <v>0</v>
      </c>
      <c r="AL264" s="415">
        <f t="shared" si="420"/>
        <v>79130</v>
      </c>
      <c r="AM264" s="323">
        <f t="shared" si="316"/>
        <v>35660</v>
      </c>
      <c r="AN264" s="323">
        <f t="shared" si="317"/>
        <v>0</v>
      </c>
      <c r="AO264" s="323">
        <f t="shared" si="318"/>
        <v>43470</v>
      </c>
      <c r="AP264" s="323">
        <f t="shared" si="319"/>
        <v>0</v>
      </c>
      <c r="AQ264" s="186" t="s">
        <v>1153</v>
      </c>
      <c r="AT264" s="186"/>
      <c r="AU264" s="186"/>
    </row>
    <row r="265" spans="1:47" s="199" customFormat="1" ht="26" x14ac:dyDescent="0.35">
      <c r="A265" s="408">
        <v>2</v>
      </c>
      <c r="B265" s="409" t="s">
        <v>1170</v>
      </c>
      <c r="C265" s="409" t="s">
        <v>90</v>
      </c>
      <c r="D265" s="410">
        <v>5</v>
      </c>
      <c r="E265" s="411">
        <v>3566</v>
      </c>
      <c r="F265" s="412">
        <v>5</v>
      </c>
      <c r="G265" s="413">
        <v>1</v>
      </c>
      <c r="H265" s="413">
        <v>0</v>
      </c>
      <c r="I265" s="414">
        <f>D265*E265*F265*G265</f>
        <v>89150</v>
      </c>
      <c r="J265" s="415">
        <f>D265*E265*F265*H265</f>
        <v>0</v>
      </c>
      <c r="K265" s="415">
        <f>I265</f>
        <v>89150</v>
      </c>
      <c r="L265" s="415"/>
      <c r="M265" s="415"/>
      <c r="N265" s="416">
        <v>0</v>
      </c>
      <c r="O265" s="417" t="s">
        <v>1186</v>
      </c>
      <c r="Q265" s="409" t="s">
        <v>90</v>
      </c>
      <c r="R265" s="418">
        <v>5</v>
      </c>
      <c r="S265" s="411">
        <v>7245</v>
      </c>
      <c r="T265" s="411">
        <v>3</v>
      </c>
      <c r="U265" s="413">
        <v>1</v>
      </c>
      <c r="V265" s="413">
        <v>0</v>
      </c>
      <c r="W265" s="419">
        <f>R265*S265*T265*U265</f>
        <v>108675</v>
      </c>
      <c r="X265" s="415">
        <f>R265*S265*T265*V265</f>
        <v>0</v>
      </c>
      <c r="Y265" s="415">
        <f>W265</f>
        <v>108675</v>
      </c>
      <c r="Z265" s="415"/>
      <c r="AA265" s="415"/>
      <c r="AB265" s="416">
        <v>0</v>
      </c>
      <c r="AC265" s="417" t="s">
        <v>1187</v>
      </c>
      <c r="AD265" s="227"/>
      <c r="AE265" s="241">
        <v>2</v>
      </c>
      <c r="AF265" s="204" t="str">
        <f t="shared" si="320"/>
        <v>Pause repas à Nyiragongo et à Rwanguba</v>
      </c>
      <c r="AG265" s="413">
        <f t="shared" si="402"/>
        <v>1</v>
      </c>
      <c r="AH265" s="413">
        <f t="shared" si="403"/>
        <v>0</v>
      </c>
      <c r="AI265" s="419">
        <f t="shared" si="417"/>
        <v>197825</v>
      </c>
      <c r="AJ265" s="419">
        <f t="shared" si="418"/>
        <v>0</v>
      </c>
      <c r="AK265" s="415">
        <f t="shared" si="419"/>
        <v>0</v>
      </c>
      <c r="AL265" s="415">
        <f t="shared" si="420"/>
        <v>197825</v>
      </c>
      <c r="AM265" s="323">
        <f t="shared" si="316"/>
        <v>89150</v>
      </c>
      <c r="AN265" s="323">
        <f t="shared" si="317"/>
        <v>0</v>
      </c>
      <c r="AO265" s="323">
        <f t="shared" si="318"/>
        <v>108675</v>
      </c>
      <c r="AP265" s="323">
        <f t="shared" si="319"/>
        <v>0</v>
      </c>
      <c r="AQ265" s="186" t="s">
        <v>1153</v>
      </c>
      <c r="AT265" s="186"/>
      <c r="AU265" s="186"/>
    </row>
    <row r="266" spans="1:47" s="199" customFormat="1" x14ac:dyDescent="0.35">
      <c r="A266" s="408">
        <v>3</v>
      </c>
      <c r="B266" s="409" t="s">
        <v>450</v>
      </c>
      <c r="C266" s="409" t="s">
        <v>422</v>
      </c>
      <c r="D266" s="410">
        <v>50</v>
      </c>
      <c r="E266" s="411">
        <v>170</v>
      </c>
      <c r="F266" s="412">
        <v>5</v>
      </c>
      <c r="G266" s="413">
        <v>1</v>
      </c>
      <c r="H266" s="413">
        <v>0</v>
      </c>
      <c r="I266" s="414">
        <f>D266*E266*F266*G266</f>
        <v>42500</v>
      </c>
      <c r="J266" s="415">
        <f>D266*E266*F266*H266</f>
        <v>0</v>
      </c>
      <c r="K266" s="415">
        <f>I266</f>
        <v>42500</v>
      </c>
      <c r="L266" s="415"/>
      <c r="M266" s="415"/>
      <c r="N266" s="416">
        <v>0</v>
      </c>
      <c r="O266" s="417" t="s">
        <v>1188</v>
      </c>
      <c r="Q266" s="409" t="s">
        <v>422</v>
      </c>
      <c r="R266" s="418">
        <v>50</v>
      </c>
      <c r="S266" s="411">
        <v>345</v>
      </c>
      <c r="T266" s="411">
        <v>3</v>
      </c>
      <c r="U266" s="413">
        <v>1</v>
      </c>
      <c r="V266" s="413">
        <v>0</v>
      </c>
      <c r="W266" s="419">
        <f>R266*S266*T266*U266</f>
        <v>51750</v>
      </c>
      <c r="X266" s="415">
        <f>R266*S266*T266*V266</f>
        <v>0</v>
      </c>
      <c r="Y266" s="415">
        <f>W266</f>
        <v>51750</v>
      </c>
      <c r="Z266" s="415"/>
      <c r="AA266" s="415"/>
      <c r="AB266" s="416">
        <v>0</v>
      </c>
      <c r="AC266" s="417" t="s">
        <v>1189</v>
      </c>
      <c r="AD266" s="227"/>
      <c r="AE266" s="241">
        <v>3</v>
      </c>
      <c r="AF266" s="204" t="str">
        <f t="shared" si="320"/>
        <v xml:space="preserve">Location salle </v>
      </c>
      <c r="AG266" s="413">
        <f t="shared" si="402"/>
        <v>1</v>
      </c>
      <c r="AH266" s="413">
        <f t="shared" si="403"/>
        <v>0</v>
      </c>
      <c r="AI266" s="419">
        <f t="shared" si="417"/>
        <v>94250</v>
      </c>
      <c r="AJ266" s="419">
        <f t="shared" si="418"/>
        <v>0</v>
      </c>
      <c r="AK266" s="415">
        <f t="shared" si="419"/>
        <v>0</v>
      </c>
      <c r="AL266" s="415">
        <f t="shared" si="420"/>
        <v>94250</v>
      </c>
      <c r="AM266" s="323">
        <f t="shared" ref="AM266:AM329" si="422">I266</f>
        <v>42500</v>
      </c>
      <c r="AN266" s="323">
        <f t="shared" ref="AN266:AN329" si="423">N266</f>
        <v>0</v>
      </c>
      <c r="AO266" s="323">
        <f t="shared" ref="AO266:AO329" si="424">W266</f>
        <v>51750</v>
      </c>
      <c r="AP266" s="323">
        <f t="shared" ref="AP266:AP329" si="425">AB266</f>
        <v>0</v>
      </c>
      <c r="AQ266" s="186" t="s">
        <v>1153</v>
      </c>
      <c r="AT266" s="186"/>
      <c r="AU266" s="186"/>
    </row>
    <row r="267" spans="1:47" s="199" customFormat="1" x14ac:dyDescent="0.35">
      <c r="A267" s="408">
        <v>4</v>
      </c>
      <c r="B267" s="409" t="s">
        <v>489</v>
      </c>
      <c r="C267" s="409" t="s">
        <v>90</v>
      </c>
      <c r="D267" s="410">
        <v>5</v>
      </c>
      <c r="E267" s="411">
        <v>3396</v>
      </c>
      <c r="F267" s="412">
        <v>5</v>
      </c>
      <c r="G267" s="413">
        <v>1</v>
      </c>
      <c r="H267" s="413">
        <v>0</v>
      </c>
      <c r="I267" s="414">
        <f>D267*E267*F267*G267</f>
        <v>84900</v>
      </c>
      <c r="J267" s="415">
        <f>D267*E267*F267*H267</f>
        <v>0</v>
      </c>
      <c r="K267" s="415">
        <f>I267</f>
        <v>84900</v>
      </c>
      <c r="L267" s="415"/>
      <c r="M267" s="415"/>
      <c r="N267" s="416">
        <v>0</v>
      </c>
      <c r="O267" s="417" t="s">
        <v>1190</v>
      </c>
      <c r="Q267" s="409" t="s">
        <v>90</v>
      </c>
      <c r="R267" s="418">
        <v>5</v>
      </c>
      <c r="S267" s="411">
        <v>6900</v>
      </c>
      <c r="T267" s="411">
        <v>3</v>
      </c>
      <c r="U267" s="413">
        <v>1</v>
      </c>
      <c r="V267" s="413">
        <v>0</v>
      </c>
      <c r="W267" s="419">
        <f>R267*S267*T267*U267</f>
        <v>103500</v>
      </c>
      <c r="X267" s="415">
        <f>R267*S267*T267*V267</f>
        <v>0</v>
      </c>
      <c r="Y267" s="415">
        <f>W267</f>
        <v>103500</v>
      </c>
      <c r="Z267" s="415"/>
      <c r="AA267" s="415"/>
      <c r="AB267" s="416">
        <v>0</v>
      </c>
      <c r="AC267" s="417" t="s">
        <v>1191</v>
      </c>
      <c r="AD267" s="227"/>
      <c r="AE267" s="241">
        <v>4</v>
      </c>
      <c r="AF267" s="204" t="str">
        <f t="shared" si="320"/>
        <v>Frais de transport des participants</v>
      </c>
      <c r="AG267" s="413">
        <f t="shared" si="402"/>
        <v>1</v>
      </c>
      <c r="AH267" s="413">
        <f t="shared" si="403"/>
        <v>0</v>
      </c>
      <c r="AI267" s="419">
        <f t="shared" si="417"/>
        <v>188400</v>
      </c>
      <c r="AJ267" s="419">
        <f t="shared" si="418"/>
        <v>0</v>
      </c>
      <c r="AK267" s="415">
        <f t="shared" si="419"/>
        <v>0</v>
      </c>
      <c r="AL267" s="415">
        <f t="shared" si="420"/>
        <v>188400</v>
      </c>
      <c r="AM267" s="323">
        <f t="shared" si="422"/>
        <v>84900</v>
      </c>
      <c r="AN267" s="323">
        <f t="shared" si="423"/>
        <v>0</v>
      </c>
      <c r="AO267" s="323">
        <f t="shared" si="424"/>
        <v>103500</v>
      </c>
      <c r="AP267" s="323">
        <f t="shared" si="425"/>
        <v>0</v>
      </c>
      <c r="AQ267" s="186" t="s">
        <v>1153</v>
      </c>
      <c r="AT267" s="186"/>
      <c r="AU267" s="186"/>
    </row>
    <row r="268" spans="1:47" s="199" customFormat="1" ht="26" x14ac:dyDescent="0.35">
      <c r="A268" s="408">
        <v>5</v>
      </c>
      <c r="B268" s="409" t="s">
        <v>490</v>
      </c>
      <c r="C268" s="409" t="s">
        <v>90</v>
      </c>
      <c r="D268" s="541">
        <v>2.5</v>
      </c>
      <c r="E268" s="411">
        <v>3396</v>
      </c>
      <c r="F268" s="412">
        <v>1</v>
      </c>
      <c r="G268" s="413">
        <v>1</v>
      </c>
      <c r="H268" s="413">
        <v>0</v>
      </c>
      <c r="I268" s="414">
        <f>D268*E268*F268*G268</f>
        <v>8490</v>
      </c>
      <c r="J268" s="415">
        <f>D268*E268*F268*H268</f>
        <v>0</v>
      </c>
      <c r="K268" s="415">
        <f>I268</f>
        <v>8490</v>
      </c>
      <c r="L268" s="415"/>
      <c r="M268" s="415"/>
      <c r="N268" s="416">
        <v>0</v>
      </c>
      <c r="O268" s="417" t="s">
        <v>1192</v>
      </c>
      <c r="Q268" s="409" t="s">
        <v>90</v>
      </c>
      <c r="R268" s="418">
        <v>2.5</v>
      </c>
      <c r="S268" s="411">
        <v>6900</v>
      </c>
      <c r="T268" s="411">
        <v>1</v>
      </c>
      <c r="U268" s="413">
        <v>1</v>
      </c>
      <c r="V268" s="413">
        <v>0</v>
      </c>
      <c r="W268" s="419">
        <f>R268*S268*T268*U268</f>
        <v>17250</v>
      </c>
      <c r="X268" s="415">
        <f>R268*S268*T268*V268</f>
        <v>0</v>
      </c>
      <c r="Y268" s="415">
        <f>W268</f>
        <v>17250</v>
      </c>
      <c r="Z268" s="415"/>
      <c r="AA268" s="415"/>
      <c r="AB268" s="416">
        <v>0</v>
      </c>
      <c r="AC268" s="417" t="s">
        <v>1193</v>
      </c>
      <c r="AD268" s="227"/>
      <c r="AE268" s="241">
        <v>5</v>
      </c>
      <c r="AF268" s="204" t="str">
        <f t="shared" ref="AF268:AF331" si="426">B268</f>
        <v>Fournitures (Kit -Stylos ,carnet,Crayon et gomme en boite et taille crayon)</v>
      </c>
      <c r="AG268" s="413">
        <f t="shared" si="402"/>
        <v>1</v>
      </c>
      <c r="AH268" s="413">
        <f t="shared" si="403"/>
        <v>0</v>
      </c>
      <c r="AI268" s="419">
        <f t="shared" si="417"/>
        <v>25740</v>
      </c>
      <c r="AJ268" s="419">
        <f t="shared" si="418"/>
        <v>0</v>
      </c>
      <c r="AK268" s="415">
        <f t="shared" si="419"/>
        <v>0</v>
      </c>
      <c r="AL268" s="415">
        <f t="shared" si="420"/>
        <v>25740</v>
      </c>
      <c r="AM268" s="323">
        <f t="shared" si="422"/>
        <v>8490</v>
      </c>
      <c r="AN268" s="323">
        <f t="shared" si="423"/>
        <v>0</v>
      </c>
      <c r="AO268" s="323">
        <f t="shared" si="424"/>
        <v>17250</v>
      </c>
      <c r="AP268" s="323">
        <f t="shared" si="425"/>
        <v>0</v>
      </c>
      <c r="AQ268" s="186" t="s">
        <v>1153</v>
      </c>
      <c r="AT268" s="186"/>
      <c r="AU268" s="186"/>
    </row>
    <row r="269" spans="1:47" s="187" customFormat="1" x14ac:dyDescent="0.35">
      <c r="A269" s="480" t="s">
        <v>268</v>
      </c>
      <c r="B269" s="861" t="s">
        <v>318</v>
      </c>
      <c r="C269" s="862"/>
      <c r="D269" s="862"/>
      <c r="E269" s="862"/>
      <c r="F269" s="862"/>
      <c r="G269" s="862"/>
      <c r="H269" s="863"/>
      <c r="I269" s="481">
        <f>SUM(I270:I284)</f>
        <v>289726.7</v>
      </c>
      <c r="J269" s="482">
        <f t="shared" ref="J269:M269" si="427">SUM(J270:J284)</f>
        <v>4986</v>
      </c>
      <c r="K269" s="482">
        <f t="shared" si="427"/>
        <v>97072.69</v>
      </c>
      <c r="L269" s="482">
        <f t="shared" si="427"/>
        <v>113714.20999999999</v>
      </c>
      <c r="M269" s="482">
        <f t="shared" si="427"/>
        <v>78939.799999999988</v>
      </c>
      <c r="N269" s="481">
        <f>SUM(N270:N284)</f>
        <v>0</v>
      </c>
      <c r="O269" s="508"/>
      <c r="P269" s="182"/>
      <c r="Q269" s="538"/>
      <c r="R269" s="538"/>
      <c r="S269" s="538"/>
      <c r="T269" s="538"/>
      <c r="U269" s="538"/>
      <c r="V269" s="484"/>
      <c r="W269" s="482">
        <f>SUM(W270:W284)</f>
        <v>383447.6177156177</v>
      </c>
      <c r="X269" s="482">
        <f t="shared" ref="X269:Y269" si="428">SUM(X270:X284)</f>
        <v>0</v>
      </c>
      <c r="Y269" s="482">
        <f t="shared" si="428"/>
        <v>204408</v>
      </c>
      <c r="Z269" s="482">
        <f t="shared" ref="Z269:AA269" si="429">SUM(Z270:Z284)</f>
        <v>125531.80885780885</v>
      </c>
      <c r="AA269" s="482">
        <f t="shared" si="429"/>
        <v>53507.808857808857</v>
      </c>
      <c r="AB269" s="481">
        <f>SUM(AB270:AB284)</f>
        <v>0</v>
      </c>
      <c r="AC269" s="508"/>
      <c r="AD269" s="234"/>
      <c r="AE269" s="247" t="s">
        <v>268</v>
      </c>
      <c r="AF269" s="204" t="str">
        <f t="shared" si="426"/>
        <v>Appuyer le fonctionnement des cellules d’animation communautaire (CAC)</v>
      </c>
      <c r="AG269" s="485">
        <f t="shared" si="402"/>
        <v>0.99264775618721646</v>
      </c>
      <c r="AH269" s="485">
        <f t="shared" si="403"/>
        <v>7.352243812783584E-3</v>
      </c>
      <c r="AI269" s="482">
        <f t="shared" si="417"/>
        <v>673174.31771561771</v>
      </c>
      <c r="AJ269" s="482">
        <f t="shared" si="418"/>
        <v>0</v>
      </c>
      <c r="AK269" s="482">
        <f t="shared" si="419"/>
        <v>4986</v>
      </c>
      <c r="AL269" s="482">
        <f t="shared" si="420"/>
        <v>678160.31771561771</v>
      </c>
      <c r="AM269" s="314">
        <f t="shared" si="422"/>
        <v>289726.7</v>
      </c>
      <c r="AN269" s="314">
        <f t="shared" si="423"/>
        <v>0</v>
      </c>
      <c r="AO269" s="314">
        <f t="shared" si="424"/>
        <v>383447.6177156177</v>
      </c>
      <c r="AP269" s="314">
        <f t="shared" si="425"/>
        <v>0</v>
      </c>
      <c r="AQ269" s="186"/>
      <c r="AT269" s="182"/>
      <c r="AU269" s="182"/>
    </row>
    <row r="270" spans="1:47" s="199" customFormat="1" x14ac:dyDescent="0.35">
      <c r="A270" s="408">
        <v>1</v>
      </c>
      <c r="B270" s="409" t="s">
        <v>494</v>
      </c>
      <c r="C270" s="409" t="s">
        <v>495</v>
      </c>
      <c r="D270" s="410">
        <v>100</v>
      </c>
      <c r="E270" s="411">
        <v>283</v>
      </c>
      <c r="F270" s="412">
        <v>2</v>
      </c>
      <c r="G270" s="413">
        <v>1</v>
      </c>
      <c r="H270" s="413">
        <v>0</v>
      </c>
      <c r="I270" s="414">
        <f t="shared" ref="I270:I278" si="430">D270*E270*F270*G270</f>
        <v>56600</v>
      </c>
      <c r="J270" s="415">
        <f t="shared" ref="J270:J278" si="431">D270*E270*F270*H270</f>
        <v>0</v>
      </c>
      <c r="K270" s="415">
        <v>0</v>
      </c>
      <c r="L270" s="415">
        <f>+I270*50%</f>
        <v>28300</v>
      </c>
      <c r="M270" s="415">
        <f>+I270*50%</f>
        <v>28300</v>
      </c>
      <c r="N270" s="416">
        <v>0</v>
      </c>
      <c r="O270" s="417" t="s">
        <v>1194</v>
      </c>
      <c r="P270" s="202"/>
      <c r="Q270" s="409" t="s">
        <v>495</v>
      </c>
      <c r="R270" s="418">
        <v>100</v>
      </c>
      <c r="S270" s="411">
        <v>292</v>
      </c>
      <c r="T270" s="411">
        <v>2</v>
      </c>
      <c r="U270" s="413">
        <v>1</v>
      </c>
      <c r="V270" s="413">
        <v>0</v>
      </c>
      <c r="W270" s="419">
        <f t="shared" ref="W270:W284" si="432">R270*S270*T270*U270</f>
        <v>58400</v>
      </c>
      <c r="X270" s="415">
        <f t="shared" ref="X270:X284" si="433">R270*S270*T270*V270</f>
        <v>0</v>
      </c>
      <c r="Y270" s="415">
        <v>0</v>
      </c>
      <c r="Z270" s="415">
        <f>+W270*50%</f>
        <v>29200</v>
      </c>
      <c r="AA270" s="415">
        <f>+W270*50%</f>
        <v>29200</v>
      </c>
      <c r="AB270" s="416">
        <v>0</v>
      </c>
      <c r="AC270" s="417" t="s">
        <v>1195</v>
      </c>
      <c r="AD270" s="227"/>
      <c r="AE270" s="241">
        <v>1</v>
      </c>
      <c r="AF270" s="204" t="str">
        <f t="shared" si="426"/>
        <v>Appui Frais fonctionnement CAC</v>
      </c>
      <c r="AG270" s="413">
        <f t="shared" si="402"/>
        <v>1</v>
      </c>
      <c r="AH270" s="413">
        <f t="shared" si="403"/>
        <v>0</v>
      </c>
      <c r="AI270" s="419">
        <f t="shared" si="417"/>
        <v>115000</v>
      </c>
      <c r="AJ270" s="419">
        <f t="shared" si="418"/>
        <v>0</v>
      </c>
      <c r="AK270" s="415">
        <f t="shared" si="419"/>
        <v>0</v>
      </c>
      <c r="AL270" s="415">
        <f t="shared" si="420"/>
        <v>115000</v>
      </c>
      <c r="AM270" s="323">
        <f t="shared" si="422"/>
        <v>56600</v>
      </c>
      <c r="AN270" s="323">
        <f t="shared" si="423"/>
        <v>0</v>
      </c>
      <c r="AO270" s="323">
        <f t="shared" si="424"/>
        <v>58400</v>
      </c>
      <c r="AP270" s="323">
        <f t="shared" si="425"/>
        <v>0</v>
      </c>
      <c r="AQ270" s="186" t="s">
        <v>1153</v>
      </c>
      <c r="AT270" s="186"/>
      <c r="AU270" s="186"/>
    </row>
    <row r="271" spans="1:47" s="199" customFormat="1" ht="26" x14ac:dyDescent="0.35">
      <c r="A271" s="408">
        <v>2</v>
      </c>
      <c r="B271" s="409" t="s">
        <v>1196</v>
      </c>
      <c r="C271" s="409" t="s">
        <v>495</v>
      </c>
      <c r="D271" s="410">
        <v>50</v>
      </c>
      <c r="E271" s="411">
        <v>283</v>
      </c>
      <c r="F271" s="412">
        <v>4</v>
      </c>
      <c r="G271" s="413">
        <v>1</v>
      </c>
      <c r="H271" s="413">
        <v>0</v>
      </c>
      <c r="I271" s="414">
        <f t="shared" si="430"/>
        <v>56600</v>
      </c>
      <c r="J271" s="415">
        <f t="shared" si="431"/>
        <v>0</v>
      </c>
      <c r="K271" s="415">
        <v>0</v>
      </c>
      <c r="L271" s="415">
        <f>+I271*50%</f>
        <v>28300</v>
      </c>
      <c r="M271" s="415">
        <f>+I271*50%</f>
        <v>28300</v>
      </c>
      <c r="N271" s="416">
        <v>0</v>
      </c>
      <c r="O271" s="417" t="s">
        <v>1197</v>
      </c>
      <c r="P271" s="202"/>
      <c r="Q271" s="409" t="s">
        <v>495</v>
      </c>
      <c r="R271" s="418">
        <v>50</v>
      </c>
      <c r="S271" s="411">
        <v>292</v>
      </c>
      <c r="T271" s="411">
        <f>142850/50/858</f>
        <v>3.3298368298368297</v>
      </c>
      <c r="U271" s="413">
        <v>1</v>
      </c>
      <c r="V271" s="413">
        <v>0</v>
      </c>
      <c r="W271" s="419">
        <f t="shared" si="432"/>
        <v>48615.617715617715</v>
      </c>
      <c r="X271" s="415">
        <f t="shared" si="433"/>
        <v>0</v>
      </c>
      <c r="Y271" s="415">
        <v>0</v>
      </c>
      <c r="Z271" s="415">
        <f>+W271*50%</f>
        <v>24307.808857808857</v>
      </c>
      <c r="AA271" s="415">
        <f>+W271*50%</f>
        <v>24307.808857808857</v>
      </c>
      <c r="AB271" s="416">
        <v>0</v>
      </c>
      <c r="AC271" s="417" t="s">
        <v>1198</v>
      </c>
      <c r="AD271" s="227"/>
      <c r="AE271" s="241">
        <v>2</v>
      </c>
      <c r="AF271" s="204" t="str">
        <f t="shared" si="426"/>
        <v>Prime de performance en faveur des CAC pour organisation de depistage et referencement des enfants nécessitant une prise en charge nutritionnelle aux CS</v>
      </c>
      <c r="AG271" s="413">
        <f t="shared" si="402"/>
        <v>1</v>
      </c>
      <c r="AH271" s="413">
        <f t="shared" si="403"/>
        <v>0</v>
      </c>
      <c r="AI271" s="419">
        <f t="shared" si="417"/>
        <v>105215.61771561771</v>
      </c>
      <c r="AJ271" s="419">
        <f t="shared" si="418"/>
        <v>0</v>
      </c>
      <c r="AK271" s="415">
        <f t="shared" si="419"/>
        <v>0</v>
      </c>
      <c r="AL271" s="415">
        <f t="shared" si="420"/>
        <v>105215.61771561771</v>
      </c>
      <c r="AM271" s="323">
        <f t="shared" si="422"/>
        <v>56600</v>
      </c>
      <c r="AN271" s="323">
        <f t="shared" si="423"/>
        <v>0</v>
      </c>
      <c r="AO271" s="323">
        <f t="shared" si="424"/>
        <v>48615.617715617715</v>
      </c>
      <c r="AP271" s="323">
        <f t="shared" si="425"/>
        <v>0</v>
      </c>
      <c r="AQ271" s="186" t="s">
        <v>1153</v>
      </c>
      <c r="AT271" s="186"/>
      <c r="AU271" s="186"/>
    </row>
    <row r="272" spans="1:47" s="199" customFormat="1" ht="26" x14ac:dyDescent="0.35">
      <c r="A272" s="408">
        <v>3</v>
      </c>
      <c r="B272" s="409" t="s">
        <v>1199</v>
      </c>
      <c r="C272" s="409" t="s">
        <v>1200</v>
      </c>
      <c r="D272" s="410">
        <v>7</v>
      </c>
      <c r="E272" s="411">
        <v>3396</v>
      </c>
      <c r="F272" s="412">
        <v>2</v>
      </c>
      <c r="G272" s="413">
        <v>1</v>
      </c>
      <c r="H272" s="413">
        <v>0</v>
      </c>
      <c r="I272" s="414">
        <f t="shared" si="430"/>
        <v>47544</v>
      </c>
      <c r="J272" s="415">
        <f t="shared" si="431"/>
        <v>0</v>
      </c>
      <c r="K272" s="415">
        <f>I272</f>
        <v>47544</v>
      </c>
      <c r="L272" s="415">
        <v>0</v>
      </c>
      <c r="M272" s="415">
        <v>0</v>
      </c>
      <c r="N272" s="416">
        <v>0</v>
      </c>
      <c r="O272" s="417" t="s">
        <v>1201</v>
      </c>
      <c r="P272" s="202"/>
      <c r="Q272" s="409" t="s">
        <v>1200</v>
      </c>
      <c r="R272" s="418">
        <v>7</v>
      </c>
      <c r="S272" s="411">
        <v>6900</v>
      </c>
      <c r="T272" s="411">
        <v>2</v>
      </c>
      <c r="U272" s="413">
        <v>1</v>
      </c>
      <c r="V272" s="413">
        <v>0</v>
      </c>
      <c r="W272" s="419">
        <f t="shared" si="432"/>
        <v>96600</v>
      </c>
      <c r="X272" s="415">
        <f t="shared" si="433"/>
        <v>0</v>
      </c>
      <c r="Y272" s="415">
        <f t="shared" ref="Y272:Y273" si="434">W272</f>
        <v>96600</v>
      </c>
      <c r="Z272" s="415">
        <v>0</v>
      </c>
      <c r="AA272" s="415">
        <v>0</v>
      </c>
      <c r="AB272" s="416">
        <v>0</v>
      </c>
      <c r="AC272" s="417" t="s">
        <v>1202</v>
      </c>
      <c r="AD272" s="227"/>
      <c r="AE272" s="241">
        <v>3</v>
      </c>
      <c r="AF272" s="204" t="str">
        <f t="shared" si="426"/>
        <v>Frais d'impression t-shirt pour l'organisation de jeux meilleure CAC-CAC modèle-CAC Performant</v>
      </c>
      <c r="AG272" s="413"/>
      <c r="AH272" s="413"/>
      <c r="AI272" s="419">
        <f t="shared" si="417"/>
        <v>144144</v>
      </c>
      <c r="AJ272" s="419">
        <f t="shared" si="418"/>
        <v>0</v>
      </c>
      <c r="AK272" s="415">
        <f t="shared" si="419"/>
        <v>0</v>
      </c>
      <c r="AL272" s="415">
        <f t="shared" si="420"/>
        <v>144144</v>
      </c>
      <c r="AM272" s="323">
        <f t="shared" si="422"/>
        <v>47544</v>
      </c>
      <c r="AN272" s="323">
        <f t="shared" si="423"/>
        <v>0</v>
      </c>
      <c r="AO272" s="323">
        <f t="shared" si="424"/>
        <v>96600</v>
      </c>
      <c r="AP272" s="323">
        <f t="shared" si="425"/>
        <v>0</v>
      </c>
      <c r="AQ272" s="186" t="s">
        <v>1153</v>
      </c>
      <c r="AT272" s="186"/>
      <c r="AU272" s="186"/>
    </row>
    <row r="273" spans="1:47" s="199" customFormat="1" ht="39" x14ac:dyDescent="0.35">
      <c r="A273" s="408">
        <v>4</v>
      </c>
      <c r="B273" s="409" t="s">
        <v>1203</v>
      </c>
      <c r="C273" s="409" t="s">
        <v>405</v>
      </c>
      <c r="D273" s="410">
        <v>1200</v>
      </c>
      <c r="E273" s="411">
        <v>4</v>
      </c>
      <c r="F273" s="412">
        <v>1</v>
      </c>
      <c r="G273" s="413">
        <v>1</v>
      </c>
      <c r="H273" s="413">
        <v>0</v>
      </c>
      <c r="I273" s="414">
        <f t="shared" si="430"/>
        <v>4800</v>
      </c>
      <c r="J273" s="415">
        <f t="shared" si="431"/>
        <v>0</v>
      </c>
      <c r="K273" s="415">
        <f>I273</f>
        <v>4800</v>
      </c>
      <c r="L273" s="415"/>
      <c r="M273" s="415">
        <v>0</v>
      </c>
      <c r="N273" s="416">
        <v>0</v>
      </c>
      <c r="O273" s="417" t="s">
        <v>1204</v>
      </c>
      <c r="P273" s="202"/>
      <c r="Q273" s="409" t="s">
        <v>405</v>
      </c>
      <c r="R273" s="418">
        <v>1200</v>
      </c>
      <c r="S273" s="411">
        <v>2</v>
      </c>
      <c r="T273" s="411">
        <v>1</v>
      </c>
      <c r="U273" s="413">
        <v>1</v>
      </c>
      <c r="V273" s="413">
        <v>0</v>
      </c>
      <c r="W273" s="419">
        <f t="shared" si="432"/>
        <v>2400</v>
      </c>
      <c r="X273" s="415">
        <f t="shared" si="433"/>
        <v>0</v>
      </c>
      <c r="Y273" s="415">
        <f t="shared" si="434"/>
        <v>2400</v>
      </c>
      <c r="Z273" s="415"/>
      <c r="AA273" s="415">
        <v>0</v>
      </c>
      <c r="AB273" s="416">
        <v>0</v>
      </c>
      <c r="AC273" s="417" t="s">
        <v>1205</v>
      </c>
      <c r="AD273" s="227"/>
      <c r="AE273" s="241">
        <v>4</v>
      </c>
      <c r="AF273" s="204" t="str">
        <f t="shared" si="426"/>
        <v>Achat des imprimentes performante pour l'impression des fiches de rapportage des CAC</v>
      </c>
      <c r="AG273" s="413">
        <f t="shared" si="402"/>
        <v>1</v>
      </c>
      <c r="AH273" s="413">
        <f t="shared" si="403"/>
        <v>0</v>
      </c>
      <c r="AI273" s="419">
        <f t="shared" si="417"/>
        <v>7200</v>
      </c>
      <c r="AJ273" s="419">
        <f t="shared" si="418"/>
        <v>0</v>
      </c>
      <c r="AK273" s="415">
        <f t="shared" si="419"/>
        <v>0</v>
      </c>
      <c r="AL273" s="415">
        <f t="shared" si="420"/>
        <v>7200</v>
      </c>
      <c r="AM273" s="323">
        <f t="shared" si="422"/>
        <v>4800</v>
      </c>
      <c r="AN273" s="323">
        <f t="shared" si="423"/>
        <v>0</v>
      </c>
      <c r="AO273" s="323">
        <f t="shared" si="424"/>
        <v>2400</v>
      </c>
      <c r="AP273" s="323">
        <f t="shared" si="425"/>
        <v>0</v>
      </c>
      <c r="AQ273" s="186" t="s">
        <v>1153</v>
      </c>
      <c r="AT273" s="186"/>
      <c r="AU273" s="186"/>
    </row>
    <row r="274" spans="1:47" s="199" customFormat="1" ht="26" x14ac:dyDescent="0.35">
      <c r="A274" s="408">
        <v>5</v>
      </c>
      <c r="B274" s="409" t="s">
        <v>500</v>
      </c>
      <c r="C274" s="409" t="s">
        <v>112</v>
      </c>
      <c r="D274" s="410">
        <v>5</v>
      </c>
      <c r="E274" s="411">
        <v>121.66</v>
      </c>
      <c r="F274" s="412">
        <v>9</v>
      </c>
      <c r="G274" s="413">
        <v>1</v>
      </c>
      <c r="H274" s="413">
        <v>0</v>
      </c>
      <c r="I274" s="414">
        <f t="shared" si="430"/>
        <v>5474.7</v>
      </c>
      <c r="J274" s="415">
        <f t="shared" si="431"/>
        <v>0</v>
      </c>
      <c r="K274" s="415">
        <f>+I274*70%</f>
        <v>3832.2899999999995</v>
      </c>
      <c r="L274" s="415">
        <f>+I274*30%</f>
        <v>1642.4099999999999</v>
      </c>
      <c r="M274" s="415">
        <v>0</v>
      </c>
      <c r="N274" s="416">
        <v>0</v>
      </c>
      <c r="O274" s="417" t="s">
        <v>1206</v>
      </c>
      <c r="P274" s="202"/>
      <c r="Q274" s="409" t="s">
        <v>112</v>
      </c>
      <c r="R274" s="418">
        <v>5</v>
      </c>
      <c r="S274" s="411">
        <v>24</v>
      </c>
      <c r="T274" s="411">
        <v>9</v>
      </c>
      <c r="U274" s="413">
        <v>1</v>
      </c>
      <c r="V274" s="413">
        <v>0</v>
      </c>
      <c r="W274" s="419">
        <f t="shared" si="432"/>
        <v>1080</v>
      </c>
      <c r="X274" s="415">
        <f t="shared" si="433"/>
        <v>0</v>
      </c>
      <c r="Y274" s="415">
        <f>+W274*70%</f>
        <v>756</v>
      </c>
      <c r="Z274" s="415">
        <f>+W274*30%</f>
        <v>324</v>
      </c>
      <c r="AA274" s="415">
        <v>0</v>
      </c>
      <c r="AB274" s="416">
        <v>0</v>
      </c>
      <c r="AC274" s="417" t="s">
        <v>1207</v>
      </c>
      <c r="AD274" s="227"/>
      <c r="AE274" s="241">
        <v>5</v>
      </c>
      <c r="AF274" s="204" t="str">
        <f t="shared" si="426"/>
        <v>Achat Rame de papier pour impression des fiches de rapportage des CAC</v>
      </c>
      <c r="AG274" s="413">
        <f t="shared" si="402"/>
        <v>1</v>
      </c>
      <c r="AH274" s="413">
        <f t="shared" si="403"/>
        <v>0</v>
      </c>
      <c r="AI274" s="419">
        <f t="shared" si="417"/>
        <v>6554.7</v>
      </c>
      <c r="AJ274" s="419">
        <f t="shared" si="418"/>
        <v>0</v>
      </c>
      <c r="AK274" s="415">
        <f t="shared" si="419"/>
        <v>0</v>
      </c>
      <c r="AL274" s="415">
        <f t="shared" si="420"/>
        <v>6554.7</v>
      </c>
      <c r="AM274" s="323">
        <f t="shared" si="422"/>
        <v>5474.7</v>
      </c>
      <c r="AN274" s="323">
        <f t="shared" si="423"/>
        <v>0</v>
      </c>
      <c r="AO274" s="323">
        <f t="shared" si="424"/>
        <v>1080</v>
      </c>
      <c r="AP274" s="323">
        <f t="shared" si="425"/>
        <v>0</v>
      </c>
      <c r="AQ274" s="186" t="s">
        <v>1153</v>
      </c>
      <c r="AT274" s="186"/>
      <c r="AU274" s="186"/>
    </row>
    <row r="275" spans="1:47" s="199" customFormat="1" ht="26" x14ac:dyDescent="0.35">
      <c r="A275" s="408">
        <v>6</v>
      </c>
      <c r="B275" s="409" t="s">
        <v>501</v>
      </c>
      <c r="C275" s="409" t="s">
        <v>498</v>
      </c>
      <c r="D275" s="410">
        <v>130</v>
      </c>
      <c r="E275" s="411">
        <v>16</v>
      </c>
      <c r="F275" s="412">
        <v>9</v>
      </c>
      <c r="G275" s="413">
        <v>1</v>
      </c>
      <c r="H275" s="413">
        <v>0</v>
      </c>
      <c r="I275" s="414">
        <f t="shared" si="430"/>
        <v>18720</v>
      </c>
      <c r="J275" s="415">
        <f t="shared" si="431"/>
        <v>0</v>
      </c>
      <c r="K275" s="415">
        <f>+I275*50%</f>
        <v>9360</v>
      </c>
      <c r="L275" s="415">
        <f>+I275*50%</f>
        <v>9360</v>
      </c>
      <c r="M275" s="415">
        <v>0</v>
      </c>
      <c r="N275" s="416">
        <v>0</v>
      </c>
      <c r="O275" s="417" t="s">
        <v>1208</v>
      </c>
      <c r="P275" s="202"/>
      <c r="Q275" s="409" t="s">
        <v>498</v>
      </c>
      <c r="R275" s="418">
        <v>130</v>
      </c>
      <c r="S275" s="411">
        <v>40</v>
      </c>
      <c r="T275" s="411">
        <v>9</v>
      </c>
      <c r="U275" s="413">
        <v>1</v>
      </c>
      <c r="V275" s="413">
        <v>0</v>
      </c>
      <c r="W275" s="419">
        <f t="shared" si="432"/>
        <v>46800</v>
      </c>
      <c r="X275" s="415">
        <f t="shared" si="433"/>
        <v>0</v>
      </c>
      <c r="Y275" s="415">
        <f>+W275*50%</f>
        <v>23400</v>
      </c>
      <c r="Z275" s="415">
        <f>+W275*50%</f>
        <v>23400</v>
      </c>
      <c r="AA275" s="415">
        <v>0</v>
      </c>
      <c r="AB275" s="416">
        <v>0</v>
      </c>
      <c r="AC275" s="417" t="s">
        <v>1209</v>
      </c>
      <c r="AD275" s="227"/>
      <c r="AE275" s="241">
        <v>6</v>
      </c>
      <c r="AF275" s="204" t="str">
        <f t="shared" si="426"/>
        <v xml:space="preserve">Cartouche pour imprimante </v>
      </c>
      <c r="AG275" s="413">
        <f t="shared" si="402"/>
        <v>1</v>
      </c>
      <c r="AH275" s="413">
        <f t="shared" si="403"/>
        <v>0</v>
      </c>
      <c r="AI275" s="419">
        <f t="shared" si="417"/>
        <v>65520</v>
      </c>
      <c r="AJ275" s="419">
        <f t="shared" si="418"/>
        <v>0</v>
      </c>
      <c r="AK275" s="415">
        <f t="shared" si="419"/>
        <v>0</v>
      </c>
      <c r="AL275" s="415">
        <f t="shared" si="420"/>
        <v>65520</v>
      </c>
      <c r="AM275" s="323">
        <f t="shared" si="422"/>
        <v>18720</v>
      </c>
      <c r="AN275" s="323">
        <f t="shared" si="423"/>
        <v>0</v>
      </c>
      <c r="AO275" s="323">
        <f t="shared" si="424"/>
        <v>46800</v>
      </c>
      <c r="AP275" s="323">
        <f t="shared" si="425"/>
        <v>0</v>
      </c>
      <c r="AQ275" s="186" t="s">
        <v>1153</v>
      </c>
      <c r="AT275" s="186"/>
      <c r="AU275" s="186"/>
    </row>
    <row r="276" spans="1:47" s="199" customFormat="1" x14ac:dyDescent="0.35">
      <c r="A276" s="408">
        <v>7</v>
      </c>
      <c r="B276" s="409" t="s">
        <v>499</v>
      </c>
      <c r="C276" s="409" t="s">
        <v>488</v>
      </c>
      <c r="D276" s="410">
        <v>50</v>
      </c>
      <c r="E276" s="411">
        <v>15</v>
      </c>
      <c r="F276" s="412">
        <v>1</v>
      </c>
      <c r="G276" s="413">
        <v>1</v>
      </c>
      <c r="H276" s="413">
        <v>0</v>
      </c>
      <c r="I276" s="414">
        <f t="shared" si="430"/>
        <v>750</v>
      </c>
      <c r="J276" s="415">
        <f t="shared" si="431"/>
        <v>0</v>
      </c>
      <c r="K276" s="415">
        <f>I276</f>
        <v>750</v>
      </c>
      <c r="L276" s="415"/>
      <c r="M276" s="415"/>
      <c r="N276" s="416">
        <v>0</v>
      </c>
      <c r="O276" s="417" t="s">
        <v>1210</v>
      </c>
      <c r="P276" s="202"/>
      <c r="Q276" s="409" t="s">
        <v>488</v>
      </c>
      <c r="R276" s="418">
        <v>50</v>
      </c>
      <c r="S276" s="411">
        <v>16</v>
      </c>
      <c r="T276" s="411">
        <v>1</v>
      </c>
      <c r="U276" s="413">
        <v>1</v>
      </c>
      <c r="V276" s="413">
        <v>0</v>
      </c>
      <c r="W276" s="419">
        <f t="shared" si="432"/>
        <v>800</v>
      </c>
      <c r="X276" s="415">
        <f t="shared" si="433"/>
        <v>0</v>
      </c>
      <c r="Y276" s="415">
        <f t="shared" ref="Y276:Y277" si="435">W276</f>
        <v>800</v>
      </c>
      <c r="Z276" s="415"/>
      <c r="AA276" s="415"/>
      <c r="AB276" s="416">
        <v>0</v>
      </c>
      <c r="AC276" s="417" t="s">
        <v>1211</v>
      </c>
      <c r="AD276" s="227"/>
      <c r="AE276" s="241">
        <v>7</v>
      </c>
      <c r="AF276" s="204" t="str">
        <f t="shared" si="426"/>
        <v>Banderole lors des activités</v>
      </c>
      <c r="AG276" s="413">
        <f t="shared" si="402"/>
        <v>1</v>
      </c>
      <c r="AH276" s="413">
        <f t="shared" si="403"/>
        <v>0</v>
      </c>
      <c r="AI276" s="419">
        <f t="shared" si="417"/>
        <v>1550</v>
      </c>
      <c r="AJ276" s="419">
        <f t="shared" si="418"/>
        <v>0</v>
      </c>
      <c r="AK276" s="415">
        <f t="shared" si="419"/>
        <v>0</v>
      </c>
      <c r="AL276" s="415">
        <f t="shared" si="420"/>
        <v>1550</v>
      </c>
      <c r="AM276" s="323">
        <f t="shared" si="422"/>
        <v>750</v>
      </c>
      <c r="AN276" s="323">
        <f t="shared" si="423"/>
        <v>0</v>
      </c>
      <c r="AO276" s="323">
        <f t="shared" si="424"/>
        <v>800</v>
      </c>
      <c r="AP276" s="323">
        <f t="shared" si="425"/>
        <v>0</v>
      </c>
      <c r="AQ276" s="186" t="s">
        <v>1153</v>
      </c>
      <c r="AT276" s="186"/>
      <c r="AU276" s="186"/>
    </row>
    <row r="277" spans="1:47" s="199" customFormat="1" x14ac:dyDescent="0.35">
      <c r="A277" s="408">
        <v>8</v>
      </c>
      <c r="B277" s="409" t="s">
        <v>1212</v>
      </c>
      <c r="C277" s="409" t="s">
        <v>1213</v>
      </c>
      <c r="D277" s="410">
        <v>10</v>
      </c>
      <c r="E277" s="411">
        <v>100</v>
      </c>
      <c r="F277" s="412">
        <v>1</v>
      </c>
      <c r="G277" s="413">
        <v>1</v>
      </c>
      <c r="H277" s="413">
        <v>0</v>
      </c>
      <c r="I277" s="414">
        <f t="shared" si="430"/>
        <v>1000</v>
      </c>
      <c r="J277" s="415">
        <f t="shared" si="431"/>
        <v>0</v>
      </c>
      <c r="K277" s="415">
        <f>I277</f>
        <v>1000</v>
      </c>
      <c r="L277" s="415"/>
      <c r="M277" s="415"/>
      <c r="N277" s="416">
        <v>0</v>
      </c>
      <c r="O277" s="417" t="s">
        <v>1214</v>
      </c>
      <c r="P277" s="202"/>
      <c r="Q277" s="409" t="s">
        <v>1213</v>
      </c>
      <c r="R277" s="418">
        <v>10</v>
      </c>
      <c r="S277" s="411">
        <v>100</v>
      </c>
      <c r="T277" s="411">
        <v>1</v>
      </c>
      <c r="U277" s="413">
        <v>1</v>
      </c>
      <c r="V277" s="413">
        <v>0</v>
      </c>
      <c r="W277" s="419">
        <f t="shared" si="432"/>
        <v>1000</v>
      </c>
      <c r="X277" s="415">
        <f t="shared" si="433"/>
        <v>0</v>
      </c>
      <c r="Y277" s="415">
        <f t="shared" si="435"/>
        <v>1000</v>
      </c>
      <c r="Z277" s="415"/>
      <c r="AA277" s="415"/>
      <c r="AB277" s="416">
        <v>0</v>
      </c>
      <c r="AC277" s="417" t="s">
        <v>1214</v>
      </c>
      <c r="AD277" s="227"/>
      <c r="AE277" s="241">
        <v>8</v>
      </c>
      <c r="AF277" s="204" t="str">
        <f t="shared" si="426"/>
        <v>Impression lacoste pour les superviseurs de proximités</v>
      </c>
      <c r="AG277" s="413">
        <f t="shared" si="402"/>
        <v>1</v>
      </c>
      <c r="AH277" s="413">
        <f t="shared" si="403"/>
        <v>0</v>
      </c>
      <c r="AI277" s="419">
        <f t="shared" si="417"/>
        <v>2000</v>
      </c>
      <c r="AJ277" s="419">
        <f t="shared" si="418"/>
        <v>0</v>
      </c>
      <c r="AK277" s="415">
        <f t="shared" si="419"/>
        <v>0</v>
      </c>
      <c r="AL277" s="415">
        <f t="shared" si="420"/>
        <v>2000</v>
      </c>
      <c r="AM277" s="323">
        <f t="shared" si="422"/>
        <v>1000</v>
      </c>
      <c r="AN277" s="323">
        <f t="shared" si="423"/>
        <v>0</v>
      </c>
      <c r="AO277" s="323">
        <f t="shared" si="424"/>
        <v>1000</v>
      </c>
      <c r="AP277" s="323">
        <f t="shared" si="425"/>
        <v>0</v>
      </c>
      <c r="AQ277" s="186" t="s">
        <v>1153</v>
      </c>
      <c r="AT277" s="186"/>
      <c r="AU277" s="186"/>
    </row>
    <row r="278" spans="1:47" s="199" customFormat="1" x14ac:dyDescent="0.35">
      <c r="A278" s="408">
        <v>9</v>
      </c>
      <c r="B278" s="409" t="s">
        <v>496</v>
      </c>
      <c r="C278" s="409" t="s">
        <v>497</v>
      </c>
      <c r="D278" s="410">
        <v>7</v>
      </c>
      <c r="E278" s="411">
        <v>3396</v>
      </c>
      <c r="F278" s="412">
        <v>1</v>
      </c>
      <c r="G278" s="413">
        <v>1</v>
      </c>
      <c r="H278" s="413">
        <v>0</v>
      </c>
      <c r="I278" s="414">
        <f t="shared" si="430"/>
        <v>23772</v>
      </c>
      <c r="J278" s="415">
        <f t="shared" si="431"/>
        <v>0</v>
      </c>
      <c r="K278" s="415">
        <v>0</v>
      </c>
      <c r="L278" s="415">
        <f>+I278</f>
        <v>23772</v>
      </c>
      <c r="M278" s="415">
        <v>0</v>
      </c>
      <c r="N278" s="416">
        <v>0</v>
      </c>
      <c r="O278" s="417" t="s">
        <v>1215</v>
      </c>
      <c r="P278" s="202"/>
      <c r="Q278" s="409" t="s">
        <v>497</v>
      </c>
      <c r="R278" s="418">
        <v>7</v>
      </c>
      <c r="S278" s="411">
        <v>6900</v>
      </c>
      <c r="T278" s="411">
        <v>1</v>
      </c>
      <c r="U278" s="413">
        <v>1</v>
      </c>
      <c r="V278" s="413">
        <v>0</v>
      </c>
      <c r="W278" s="419">
        <f t="shared" si="432"/>
        <v>48300</v>
      </c>
      <c r="X278" s="415">
        <f t="shared" si="433"/>
        <v>0</v>
      </c>
      <c r="Y278" s="415">
        <v>0</v>
      </c>
      <c r="Z278" s="415">
        <f>+W278</f>
        <v>48300</v>
      </c>
      <c r="AA278" s="415">
        <v>0</v>
      </c>
      <c r="AB278" s="416">
        <v>0</v>
      </c>
      <c r="AC278" s="417" t="s">
        <v>1216</v>
      </c>
      <c r="AD278" s="227"/>
      <c r="AE278" s="241">
        <v>9</v>
      </c>
      <c r="AF278" s="204" t="str">
        <f t="shared" si="426"/>
        <v>Bottes pour les membres de CAC</v>
      </c>
      <c r="AG278" s="413">
        <f t="shared" si="402"/>
        <v>1</v>
      </c>
      <c r="AH278" s="413">
        <f t="shared" si="403"/>
        <v>0</v>
      </c>
      <c r="AI278" s="419">
        <f t="shared" si="417"/>
        <v>72072</v>
      </c>
      <c r="AJ278" s="419">
        <f t="shared" si="418"/>
        <v>0</v>
      </c>
      <c r="AK278" s="415">
        <f t="shared" si="419"/>
        <v>0</v>
      </c>
      <c r="AL278" s="415">
        <f t="shared" si="420"/>
        <v>72072</v>
      </c>
      <c r="AM278" s="323">
        <f t="shared" si="422"/>
        <v>23772</v>
      </c>
      <c r="AN278" s="323">
        <f t="shared" si="423"/>
        <v>0</v>
      </c>
      <c r="AO278" s="323">
        <f t="shared" si="424"/>
        <v>48300</v>
      </c>
      <c r="AP278" s="323">
        <f t="shared" si="425"/>
        <v>0</v>
      </c>
      <c r="AQ278" s="186" t="s">
        <v>1153</v>
      </c>
      <c r="AT278" s="186"/>
      <c r="AU278" s="186"/>
    </row>
    <row r="279" spans="1:47" s="172" customFormat="1" x14ac:dyDescent="0.3">
      <c r="A279" s="488"/>
      <c r="B279" s="489" t="s">
        <v>502</v>
      </c>
      <c r="C279" s="489"/>
      <c r="D279" s="490"/>
      <c r="E279" s="491"/>
      <c r="F279" s="492"/>
      <c r="G279" s="493"/>
      <c r="H279" s="493"/>
      <c r="I279" s="494"/>
      <c r="J279" s="495"/>
      <c r="K279" s="495"/>
      <c r="L279" s="495"/>
      <c r="M279" s="495"/>
      <c r="N279" s="494"/>
      <c r="O279" s="496"/>
      <c r="P279" s="169"/>
      <c r="Q279" s="489"/>
      <c r="R279" s="490"/>
      <c r="S279" s="491"/>
      <c r="T279" s="492"/>
      <c r="U279" s="493">
        <v>1</v>
      </c>
      <c r="V279" s="493">
        <v>0</v>
      </c>
      <c r="W279" s="495">
        <f t="shared" si="432"/>
        <v>0</v>
      </c>
      <c r="X279" s="495">
        <f t="shared" si="433"/>
        <v>0</v>
      </c>
      <c r="Y279" s="495">
        <f t="shared" ref="Y279:Y284" si="436">W279</f>
        <v>0</v>
      </c>
      <c r="Z279" s="495"/>
      <c r="AA279" s="495"/>
      <c r="AB279" s="494"/>
      <c r="AC279" s="498"/>
      <c r="AD279" s="182"/>
      <c r="AE279" s="204"/>
      <c r="AF279" s="204" t="str">
        <f t="shared" si="426"/>
        <v xml:space="preserve">Staff </v>
      </c>
      <c r="AG279" s="493"/>
      <c r="AH279" s="493"/>
      <c r="AI279" s="495"/>
      <c r="AJ279" s="495">
        <f t="shared" si="418"/>
        <v>0</v>
      </c>
      <c r="AK279" s="495"/>
      <c r="AL279" s="495">
        <f t="shared" si="420"/>
        <v>0</v>
      </c>
      <c r="AM279" s="317">
        <f t="shared" si="422"/>
        <v>0</v>
      </c>
      <c r="AN279" s="317">
        <f t="shared" si="423"/>
        <v>0</v>
      </c>
      <c r="AO279" s="317">
        <f t="shared" si="424"/>
        <v>0</v>
      </c>
      <c r="AP279" s="317">
        <f t="shared" si="425"/>
        <v>0</v>
      </c>
      <c r="AQ279" s="169"/>
      <c r="AT279" s="169"/>
      <c r="AU279" s="169"/>
    </row>
    <row r="280" spans="1:47" s="199" customFormat="1" ht="39" x14ac:dyDescent="0.35">
      <c r="A280" s="408">
        <v>10</v>
      </c>
      <c r="B280" s="409" t="s">
        <v>1217</v>
      </c>
      <c r="C280" s="409" t="s">
        <v>124</v>
      </c>
      <c r="D280" s="410">
        <v>1813</v>
      </c>
      <c r="E280" s="411">
        <v>1</v>
      </c>
      <c r="F280" s="412">
        <v>9</v>
      </c>
      <c r="G280" s="503">
        <f>I280/(I280+J280)</f>
        <v>0.6944291230005516</v>
      </c>
      <c r="H280" s="503">
        <f>J280/(I280+J280)</f>
        <v>0.3055708769994484</v>
      </c>
      <c r="I280" s="416">
        <f>E280*F280*1259</f>
        <v>11331</v>
      </c>
      <c r="J280" s="506">
        <f>(D280*E280*F280)-I280</f>
        <v>4986</v>
      </c>
      <c r="K280" s="415">
        <f>I280*40%</f>
        <v>4532.4000000000005</v>
      </c>
      <c r="L280" s="415">
        <f>I280*30%</f>
        <v>3399.2999999999997</v>
      </c>
      <c r="M280" s="415">
        <f>I280*30%</f>
        <v>3399.2999999999997</v>
      </c>
      <c r="N280" s="416">
        <v>0</v>
      </c>
      <c r="O280" s="417" t="s">
        <v>1218</v>
      </c>
      <c r="P280" s="200"/>
      <c r="Q280" s="409" t="s">
        <v>124</v>
      </c>
      <c r="R280" s="418">
        <v>1813</v>
      </c>
      <c r="S280" s="411">
        <v>1</v>
      </c>
      <c r="T280" s="411">
        <v>9</v>
      </c>
      <c r="U280" s="413">
        <v>1</v>
      </c>
      <c r="V280" s="413">
        <v>0</v>
      </c>
      <c r="W280" s="419">
        <f t="shared" si="432"/>
        <v>16317</v>
      </c>
      <c r="X280" s="415">
        <f t="shared" si="433"/>
        <v>0</v>
      </c>
      <c r="Y280" s="415">
        <f t="shared" si="436"/>
        <v>16317</v>
      </c>
      <c r="Z280" s="415"/>
      <c r="AA280" s="415"/>
      <c r="AB280" s="416">
        <v>0</v>
      </c>
      <c r="AC280" s="417" t="s">
        <v>1219</v>
      </c>
      <c r="AD280" s="227"/>
      <c r="AE280" s="241">
        <v>10</v>
      </c>
      <c r="AF280" s="204" t="str">
        <f t="shared" si="426"/>
        <v>Coordonateur des interventions C4D</v>
      </c>
      <c r="AG280" s="413">
        <f t="shared" ref="AG280:AG309" si="437">AI280/($AI280+$AK280)</f>
        <v>0.84721456150027574</v>
      </c>
      <c r="AH280" s="413">
        <f t="shared" ref="AH280:AH309" si="438">AK280/($AI280+$AK280)</f>
        <v>0.1527854384997242</v>
      </c>
      <c r="AI280" s="419">
        <f t="shared" ref="AI280:AI309" si="439">I280+W280</f>
        <v>27648</v>
      </c>
      <c r="AJ280" s="419">
        <f t="shared" si="418"/>
        <v>0</v>
      </c>
      <c r="AK280" s="415">
        <f t="shared" ref="AK280:AK309" si="440">J280+X280</f>
        <v>4986</v>
      </c>
      <c r="AL280" s="415">
        <f t="shared" si="420"/>
        <v>32634</v>
      </c>
      <c r="AM280" s="323">
        <f t="shared" si="422"/>
        <v>11331</v>
      </c>
      <c r="AN280" s="323">
        <f t="shared" si="423"/>
        <v>0</v>
      </c>
      <c r="AO280" s="323">
        <f t="shared" si="424"/>
        <v>16317</v>
      </c>
      <c r="AP280" s="323">
        <f t="shared" si="425"/>
        <v>0</v>
      </c>
      <c r="AQ280" s="186" t="s">
        <v>1153</v>
      </c>
      <c r="AT280" s="186"/>
      <c r="AU280" s="186"/>
    </row>
    <row r="281" spans="1:47" s="199" customFormat="1" ht="42" customHeight="1" x14ac:dyDescent="0.35">
      <c r="A281" s="408">
        <v>11</v>
      </c>
      <c r="B281" s="409" t="s">
        <v>1220</v>
      </c>
      <c r="C281" s="409" t="s">
        <v>124</v>
      </c>
      <c r="D281" s="410">
        <v>1121</v>
      </c>
      <c r="E281" s="411">
        <v>2</v>
      </c>
      <c r="F281" s="412">
        <v>9</v>
      </c>
      <c r="G281" s="413">
        <v>1</v>
      </c>
      <c r="H281" s="413">
        <v>0</v>
      </c>
      <c r="I281" s="414">
        <f>D281*E281*F281*G281</f>
        <v>20178</v>
      </c>
      <c r="J281" s="415">
        <f>D281*E281*F281*H281</f>
        <v>0</v>
      </c>
      <c r="K281" s="415">
        <f>I281*40%</f>
        <v>8071.2000000000007</v>
      </c>
      <c r="L281" s="415">
        <f>I281*30%</f>
        <v>6053.4</v>
      </c>
      <c r="M281" s="415">
        <f>I281*30%</f>
        <v>6053.4</v>
      </c>
      <c r="N281" s="416">
        <v>0</v>
      </c>
      <c r="O281" s="417" t="s">
        <v>1221</v>
      </c>
      <c r="P281" s="200"/>
      <c r="Q281" s="409" t="s">
        <v>124</v>
      </c>
      <c r="R281" s="418">
        <v>1121</v>
      </c>
      <c r="S281" s="411">
        <v>2</v>
      </c>
      <c r="T281" s="411">
        <v>9</v>
      </c>
      <c r="U281" s="413">
        <v>1</v>
      </c>
      <c r="V281" s="413">
        <v>0</v>
      </c>
      <c r="W281" s="419">
        <f t="shared" si="432"/>
        <v>20178</v>
      </c>
      <c r="X281" s="415">
        <f t="shared" si="433"/>
        <v>0</v>
      </c>
      <c r="Y281" s="415">
        <f t="shared" si="436"/>
        <v>20178</v>
      </c>
      <c r="Z281" s="415"/>
      <c r="AA281" s="415"/>
      <c r="AB281" s="416">
        <v>0</v>
      </c>
      <c r="AC281" s="417" t="s">
        <v>1222</v>
      </c>
      <c r="AD281" s="227"/>
      <c r="AE281" s="241">
        <v>11</v>
      </c>
      <c r="AF281" s="204" t="str">
        <f t="shared" si="426"/>
        <v>Assistants suivi et évaluation (zonale)</v>
      </c>
      <c r="AG281" s="413">
        <f t="shared" si="437"/>
        <v>1</v>
      </c>
      <c r="AH281" s="413">
        <f t="shared" si="438"/>
        <v>0</v>
      </c>
      <c r="AI281" s="419">
        <f t="shared" si="439"/>
        <v>40356</v>
      </c>
      <c r="AJ281" s="419">
        <f t="shared" si="418"/>
        <v>0</v>
      </c>
      <c r="AK281" s="415">
        <f t="shared" si="440"/>
        <v>0</v>
      </c>
      <c r="AL281" s="415">
        <f t="shared" si="420"/>
        <v>40356</v>
      </c>
      <c r="AM281" s="323">
        <f t="shared" si="422"/>
        <v>20178</v>
      </c>
      <c r="AN281" s="323">
        <f t="shared" si="423"/>
        <v>0</v>
      </c>
      <c r="AO281" s="323">
        <f t="shared" si="424"/>
        <v>20178</v>
      </c>
      <c r="AP281" s="323">
        <f t="shared" si="425"/>
        <v>0</v>
      </c>
      <c r="AQ281" s="186" t="s">
        <v>1153</v>
      </c>
      <c r="AT281" s="186"/>
      <c r="AU281" s="186"/>
    </row>
    <row r="282" spans="1:47" s="199" customFormat="1" ht="42.75" customHeight="1" x14ac:dyDescent="0.35">
      <c r="A282" s="408">
        <v>12</v>
      </c>
      <c r="B282" s="409" t="s">
        <v>1223</v>
      </c>
      <c r="C282" s="409" t="s">
        <v>124</v>
      </c>
      <c r="D282" s="410">
        <v>1121</v>
      </c>
      <c r="E282" s="411">
        <v>1</v>
      </c>
      <c r="F282" s="412">
        <v>9</v>
      </c>
      <c r="G282" s="413">
        <v>1</v>
      </c>
      <c r="H282" s="413">
        <v>0</v>
      </c>
      <c r="I282" s="414">
        <f>D282*E282*F282*G282</f>
        <v>10089</v>
      </c>
      <c r="J282" s="415">
        <f>D282*E282*F282*H282</f>
        <v>0</v>
      </c>
      <c r="K282" s="415">
        <f>I282*40%</f>
        <v>4035.6000000000004</v>
      </c>
      <c r="L282" s="415">
        <f>I282*30%</f>
        <v>3026.7</v>
      </c>
      <c r="M282" s="415">
        <f>I282*30%</f>
        <v>3026.7</v>
      </c>
      <c r="N282" s="416">
        <v>0</v>
      </c>
      <c r="O282" s="417" t="s">
        <v>1224</v>
      </c>
      <c r="P282" s="200"/>
      <c r="Q282" s="409" t="s">
        <v>124</v>
      </c>
      <c r="R282" s="418">
        <v>1121</v>
      </c>
      <c r="S282" s="411">
        <v>1</v>
      </c>
      <c r="T282" s="411">
        <v>9</v>
      </c>
      <c r="U282" s="413">
        <v>1</v>
      </c>
      <c r="V282" s="413">
        <v>0</v>
      </c>
      <c r="W282" s="419">
        <f t="shared" si="432"/>
        <v>10089</v>
      </c>
      <c r="X282" s="415">
        <f t="shared" si="433"/>
        <v>0</v>
      </c>
      <c r="Y282" s="415">
        <f t="shared" si="436"/>
        <v>10089</v>
      </c>
      <c r="Z282" s="415"/>
      <c r="AA282" s="415"/>
      <c r="AB282" s="416">
        <v>0</v>
      </c>
      <c r="AC282" s="417" t="s">
        <v>1225</v>
      </c>
      <c r="AD282" s="227"/>
      <c r="AE282" s="241">
        <v>12</v>
      </c>
      <c r="AF282" s="204" t="str">
        <f t="shared" si="426"/>
        <v>Salaire du Comptable du bureau de Rutshuru</v>
      </c>
      <c r="AG282" s="413">
        <f t="shared" si="437"/>
        <v>1</v>
      </c>
      <c r="AH282" s="413">
        <f t="shared" si="438"/>
        <v>0</v>
      </c>
      <c r="AI282" s="419">
        <f t="shared" si="439"/>
        <v>20178</v>
      </c>
      <c r="AJ282" s="419">
        <f t="shared" si="418"/>
        <v>0</v>
      </c>
      <c r="AK282" s="415">
        <f t="shared" si="440"/>
        <v>0</v>
      </c>
      <c r="AL282" s="415">
        <f t="shared" si="420"/>
        <v>20178</v>
      </c>
      <c r="AM282" s="323">
        <f t="shared" si="422"/>
        <v>10089</v>
      </c>
      <c r="AN282" s="323">
        <f t="shared" si="423"/>
        <v>0</v>
      </c>
      <c r="AO282" s="323">
        <f t="shared" si="424"/>
        <v>10089</v>
      </c>
      <c r="AP282" s="323">
        <f t="shared" si="425"/>
        <v>0</v>
      </c>
      <c r="AQ282" s="186" t="s">
        <v>1153</v>
      </c>
      <c r="AT282" s="186"/>
      <c r="AU282" s="186"/>
    </row>
    <row r="283" spans="1:47" s="199" customFormat="1" ht="65" x14ac:dyDescent="0.35">
      <c r="A283" s="408">
        <v>13</v>
      </c>
      <c r="B283" s="409" t="s">
        <v>1226</v>
      </c>
      <c r="C283" s="409" t="s">
        <v>124</v>
      </c>
      <c r="D283" s="410">
        <v>1121</v>
      </c>
      <c r="E283" s="411">
        <v>2</v>
      </c>
      <c r="F283" s="412">
        <v>9</v>
      </c>
      <c r="G283" s="413">
        <v>1</v>
      </c>
      <c r="H283" s="413">
        <v>0</v>
      </c>
      <c r="I283" s="414">
        <f>D283*E283*F283*G283</f>
        <v>20178</v>
      </c>
      <c r="J283" s="415">
        <f>D283*E283*F283*H283</f>
        <v>0</v>
      </c>
      <c r="K283" s="415">
        <f>I283*40%</f>
        <v>8071.2000000000007</v>
      </c>
      <c r="L283" s="415">
        <f>I283*30%</f>
        <v>6053.4</v>
      </c>
      <c r="M283" s="415">
        <f>I283*30%</f>
        <v>6053.4</v>
      </c>
      <c r="N283" s="416">
        <v>0</v>
      </c>
      <c r="O283" s="417" t="s">
        <v>1227</v>
      </c>
      <c r="P283" s="200"/>
      <c r="Q283" s="409" t="s">
        <v>124</v>
      </c>
      <c r="R283" s="418">
        <v>1121</v>
      </c>
      <c r="S283" s="411">
        <v>2</v>
      </c>
      <c r="T283" s="411">
        <v>9</v>
      </c>
      <c r="U283" s="413">
        <v>1</v>
      </c>
      <c r="V283" s="413">
        <v>0</v>
      </c>
      <c r="W283" s="419">
        <f t="shared" si="432"/>
        <v>20178</v>
      </c>
      <c r="X283" s="415">
        <f t="shared" si="433"/>
        <v>0</v>
      </c>
      <c r="Y283" s="415">
        <f t="shared" si="436"/>
        <v>20178</v>
      </c>
      <c r="Z283" s="415"/>
      <c r="AA283" s="415"/>
      <c r="AB283" s="416">
        <v>0</v>
      </c>
      <c r="AC283" s="417" t="s">
        <v>1228</v>
      </c>
      <c r="AD283" s="227"/>
      <c r="AE283" s="241">
        <v>13</v>
      </c>
      <c r="AF283" s="204" t="str">
        <f t="shared" si="426"/>
        <v>Superviseurs de Zone</v>
      </c>
      <c r="AG283" s="413">
        <f t="shared" si="437"/>
        <v>1</v>
      </c>
      <c r="AH283" s="413">
        <f t="shared" si="438"/>
        <v>0</v>
      </c>
      <c r="AI283" s="419">
        <f t="shared" si="439"/>
        <v>40356</v>
      </c>
      <c r="AJ283" s="419">
        <f t="shared" si="418"/>
        <v>0</v>
      </c>
      <c r="AK283" s="415">
        <f t="shared" si="440"/>
        <v>0</v>
      </c>
      <c r="AL283" s="415">
        <f t="shared" si="420"/>
        <v>40356</v>
      </c>
      <c r="AM283" s="323">
        <f t="shared" si="422"/>
        <v>20178</v>
      </c>
      <c r="AN283" s="323">
        <f t="shared" si="423"/>
        <v>0</v>
      </c>
      <c r="AO283" s="323">
        <f t="shared" si="424"/>
        <v>20178</v>
      </c>
      <c r="AP283" s="323">
        <f t="shared" si="425"/>
        <v>0</v>
      </c>
      <c r="AQ283" s="186" t="s">
        <v>1153</v>
      </c>
      <c r="AT283" s="186"/>
      <c r="AU283" s="186"/>
    </row>
    <row r="284" spans="1:47" s="199" customFormat="1" ht="52" x14ac:dyDescent="0.35">
      <c r="A284" s="408">
        <v>14</v>
      </c>
      <c r="B284" s="409" t="s">
        <v>1229</v>
      </c>
      <c r="C284" s="409" t="s">
        <v>124</v>
      </c>
      <c r="D284" s="410">
        <v>705</v>
      </c>
      <c r="E284" s="411">
        <v>2</v>
      </c>
      <c r="F284" s="412">
        <v>9</v>
      </c>
      <c r="G284" s="413">
        <v>1</v>
      </c>
      <c r="H284" s="413">
        <v>0</v>
      </c>
      <c r="I284" s="414">
        <f>D284*E284*F284*G284</f>
        <v>12690</v>
      </c>
      <c r="J284" s="415">
        <f>D284*E284*F284*H284</f>
        <v>0</v>
      </c>
      <c r="K284" s="415">
        <f>I284*40%</f>
        <v>5076</v>
      </c>
      <c r="L284" s="415">
        <f>I284*30%</f>
        <v>3807</v>
      </c>
      <c r="M284" s="415">
        <f>I284*30%</f>
        <v>3807</v>
      </c>
      <c r="N284" s="416">
        <v>0</v>
      </c>
      <c r="O284" s="417" t="s">
        <v>1230</v>
      </c>
      <c r="P284" s="200"/>
      <c r="Q284" s="409" t="s">
        <v>124</v>
      </c>
      <c r="R284" s="418">
        <v>705</v>
      </c>
      <c r="S284" s="411">
        <v>2</v>
      </c>
      <c r="T284" s="411">
        <v>9</v>
      </c>
      <c r="U284" s="413">
        <v>1</v>
      </c>
      <c r="V284" s="413">
        <v>0</v>
      </c>
      <c r="W284" s="419">
        <f t="shared" si="432"/>
        <v>12690</v>
      </c>
      <c r="X284" s="415">
        <f t="shared" si="433"/>
        <v>0</v>
      </c>
      <c r="Y284" s="415">
        <f t="shared" si="436"/>
        <v>12690</v>
      </c>
      <c r="Z284" s="415"/>
      <c r="AA284" s="415"/>
      <c r="AB284" s="416">
        <v>0</v>
      </c>
      <c r="AC284" s="417" t="s">
        <v>1231</v>
      </c>
      <c r="AD284" s="227"/>
      <c r="AE284" s="241">
        <v>14</v>
      </c>
      <c r="AF284" s="204" t="str">
        <f t="shared" si="426"/>
        <v>Salaire des Assistants logisticiens (Zonaux/Junior)</v>
      </c>
      <c r="AG284" s="413">
        <f t="shared" si="437"/>
        <v>1</v>
      </c>
      <c r="AH284" s="413">
        <f t="shared" si="438"/>
        <v>0</v>
      </c>
      <c r="AI284" s="419">
        <f t="shared" si="439"/>
        <v>25380</v>
      </c>
      <c r="AJ284" s="419">
        <f t="shared" si="418"/>
        <v>0</v>
      </c>
      <c r="AK284" s="415">
        <f t="shared" si="440"/>
        <v>0</v>
      </c>
      <c r="AL284" s="415">
        <f t="shared" si="420"/>
        <v>25380</v>
      </c>
      <c r="AM284" s="323">
        <f t="shared" si="422"/>
        <v>12690</v>
      </c>
      <c r="AN284" s="323">
        <f t="shared" si="423"/>
        <v>0</v>
      </c>
      <c r="AO284" s="323">
        <f t="shared" si="424"/>
        <v>12690</v>
      </c>
      <c r="AP284" s="323">
        <f t="shared" si="425"/>
        <v>0</v>
      </c>
      <c r="AQ284" s="186" t="s">
        <v>1153</v>
      </c>
      <c r="AT284" s="186"/>
      <c r="AU284" s="186"/>
    </row>
    <row r="285" spans="1:47" s="173" customFormat="1" ht="12.75" customHeight="1" x14ac:dyDescent="0.3">
      <c r="A285" s="480" t="s">
        <v>269</v>
      </c>
      <c r="B285" s="861" t="s">
        <v>1232</v>
      </c>
      <c r="C285" s="862"/>
      <c r="D285" s="862"/>
      <c r="E285" s="862"/>
      <c r="F285" s="862"/>
      <c r="G285" s="862"/>
      <c r="H285" s="863"/>
      <c r="I285" s="481">
        <f>SUM(I286:I287)</f>
        <v>25032</v>
      </c>
      <c r="J285" s="482">
        <f t="shared" ref="J285" si="441">SUM(J286:J287)</f>
        <v>0</v>
      </c>
      <c r="K285" s="482">
        <f>SUM(K286:K287)</f>
        <v>12516</v>
      </c>
      <c r="L285" s="482">
        <f t="shared" ref="L285:M285" si="442">SUM(L286:L287)</f>
        <v>6258</v>
      </c>
      <c r="M285" s="482">
        <f t="shared" si="442"/>
        <v>6258</v>
      </c>
      <c r="N285" s="481">
        <f>SUM(N286:N287)</f>
        <v>0</v>
      </c>
      <c r="O285" s="508"/>
      <c r="P285" s="168"/>
      <c r="Q285" s="538"/>
      <c r="R285" s="539"/>
      <c r="S285" s="538"/>
      <c r="T285" s="539"/>
      <c r="U285" s="539"/>
      <c r="V285" s="484"/>
      <c r="W285" s="482">
        <f t="shared" ref="W285:X285" si="443">SUM(W286:W287)</f>
        <v>38178</v>
      </c>
      <c r="X285" s="482">
        <f t="shared" si="443"/>
        <v>0</v>
      </c>
      <c r="Y285" s="482">
        <f>SUM(Y286:Y287)</f>
        <v>19089</v>
      </c>
      <c r="Z285" s="482">
        <f t="shared" ref="Z285:AA285" si="444">SUM(Z286:Z287)</f>
        <v>9544.5</v>
      </c>
      <c r="AA285" s="482">
        <f t="shared" si="444"/>
        <v>9544.5</v>
      </c>
      <c r="AB285" s="481">
        <f>SUM(AB286:AB287)</f>
        <v>0</v>
      </c>
      <c r="AC285" s="508"/>
      <c r="AD285" s="234"/>
      <c r="AE285" s="247" t="s">
        <v>269</v>
      </c>
      <c r="AF285" s="204" t="str">
        <f t="shared" si="426"/>
        <v>Organiser des réunions d’auto-évaluation par les membres de nouvelles CAC au tour de l’Autorité locale de base</v>
      </c>
      <c r="AG285" s="485">
        <f t="shared" si="437"/>
        <v>1</v>
      </c>
      <c r="AH285" s="485">
        <f t="shared" si="438"/>
        <v>0</v>
      </c>
      <c r="AI285" s="482">
        <f t="shared" si="439"/>
        <v>63210</v>
      </c>
      <c r="AJ285" s="482">
        <f t="shared" si="418"/>
        <v>0</v>
      </c>
      <c r="AK285" s="482">
        <f t="shared" si="440"/>
        <v>0</v>
      </c>
      <c r="AL285" s="482">
        <f t="shared" si="420"/>
        <v>63210</v>
      </c>
      <c r="AM285" s="314">
        <f t="shared" si="422"/>
        <v>25032</v>
      </c>
      <c r="AN285" s="314">
        <f t="shared" si="423"/>
        <v>0</v>
      </c>
      <c r="AO285" s="314">
        <f t="shared" si="424"/>
        <v>38178</v>
      </c>
      <c r="AP285" s="314">
        <f t="shared" si="425"/>
        <v>0</v>
      </c>
      <c r="AQ285" s="169"/>
      <c r="AT285" s="168"/>
      <c r="AU285" s="168"/>
    </row>
    <row r="286" spans="1:47" s="172" customFormat="1" ht="39" x14ac:dyDescent="0.3">
      <c r="A286" s="509">
        <v>1</v>
      </c>
      <c r="B286" s="510" t="s">
        <v>1233</v>
      </c>
      <c r="C286" s="409" t="s">
        <v>419</v>
      </c>
      <c r="D286" s="536">
        <v>2</v>
      </c>
      <c r="E286" s="411">
        <v>894</v>
      </c>
      <c r="F286" s="512">
        <v>4</v>
      </c>
      <c r="G286" s="413">
        <v>1</v>
      </c>
      <c r="H286" s="413">
        <v>0</v>
      </c>
      <c r="I286" s="414">
        <f t="shared" ref="I286:I287" si="445">D286*E286*F286*G286</f>
        <v>7152</v>
      </c>
      <c r="J286" s="415">
        <f>D286*E286*F286*H286</f>
        <v>0</v>
      </c>
      <c r="K286" s="415">
        <f>+I286*50%</f>
        <v>3576</v>
      </c>
      <c r="L286" s="415">
        <f>+I286*25%</f>
        <v>1788</v>
      </c>
      <c r="M286" s="415">
        <f>+I286*25%</f>
        <v>1788</v>
      </c>
      <c r="N286" s="416">
        <v>0</v>
      </c>
      <c r="O286" s="507" t="s">
        <v>1234</v>
      </c>
      <c r="Q286" s="409" t="s">
        <v>419</v>
      </c>
      <c r="R286" s="516">
        <v>2</v>
      </c>
      <c r="S286" s="411">
        <v>1818</v>
      </c>
      <c r="T286" s="514">
        <v>3</v>
      </c>
      <c r="U286" s="413">
        <v>1</v>
      </c>
      <c r="V286" s="413">
        <v>0</v>
      </c>
      <c r="W286" s="419">
        <f t="shared" ref="W286:W287" si="446">R286*S286*T286*U286</f>
        <v>10908</v>
      </c>
      <c r="X286" s="415">
        <f t="shared" ref="X286:X287" si="447">R286*S286*T286*V286</f>
        <v>0</v>
      </c>
      <c r="Y286" s="415">
        <f>+W286*50%</f>
        <v>5454</v>
      </c>
      <c r="Z286" s="415">
        <f>+W286*25%</f>
        <v>2727</v>
      </c>
      <c r="AA286" s="415">
        <f>+W286*25%</f>
        <v>2727</v>
      </c>
      <c r="AB286" s="416">
        <v>0</v>
      </c>
      <c r="AC286" s="417" t="s">
        <v>1235</v>
      </c>
      <c r="AD286" s="227"/>
      <c r="AE286" s="241">
        <v>1</v>
      </c>
      <c r="AF286" s="204" t="str">
        <f t="shared" si="426"/>
        <v>Frais de pause-café (casse-croute) des participants</v>
      </c>
      <c r="AG286" s="413">
        <f t="shared" si="437"/>
        <v>1</v>
      </c>
      <c r="AH286" s="413">
        <f t="shared" si="438"/>
        <v>0</v>
      </c>
      <c r="AI286" s="419">
        <f t="shared" si="439"/>
        <v>18060</v>
      </c>
      <c r="AJ286" s="419">
        <f t="shared" si="418"/>
        <v>0</v>
      </c>
      <c r="AK286" s="415">
        <f t="shared" si="440"/>
        <v>0</v>
      </c>
      <c r="AL286" s="415">
        <f t="shared" si="420"/>
        <v>18060</v>
      </c>
      <c r="AM286" s="323">
        <f t="shared" si="422"/>
        <v>7152</v>
      </c>
      <c r="AN286" s="323">
        <f t="shared" si="423"/>
        <v>0</v>
      </c>
      <c r="AO286" s="323">
        <f t="shared" si="424"/>
        <v>10908</v>
      </c>
      <c r="AP286" s="323">
        <f t="shared" si="425"/>
        <v>0</v>
      </c>
      <c r="AQ286" s="169" t="s">
        <v>1153</v>
      </c>
      <c r="AT286" s="169"/>
      <c r="AU286" s="169"/>
    </row>
    <row r="287" spans="1:47" s="172" customFormat="1" ht="39" x14ac:dyDescent="0.3">
      <c r="A287" s="509">
        <v>2</v>
      </c>
      <c r="B287" s="510" t="s">
        <v>491</v>
      </c>
      <c r="C287" s="409" t="s">
        <v>419</v>
      </c>
      <c r="D287" s="536">
        <v>5</v>
      </c>
      <c r="E287" s="411">
        <v>894</v>
      </c>
      <c r="F287" s="512">
        <v>4</v>
      </c>
      <c r="G287" s="413">
        <v>1</v>
      </c>
      <c r="H287" s="413">
        <v>0</v>
      </c>
      <c r="I287" s="414">
        <f t="shared" si="445"/>
        <v>17880</v>
      </c>
      <c r="J287" s="415">
        <f>D287*E287*F287*H287</f>
        <v>0</v>
      </c>
      <c r="K287" s="415">
        <f>+I287*50%</f>
        <v>8940</v>
      </c>
      <c r="L287" s="415">
        <f>+I287*25%</f>
        <v>4470</v>
      </c>
      <c r="M287" s="415">
        <f>+I287*25%</f>
        <v>4470</v>
      </c>
      <c r="N287" s="416">
        <v>0</v>
      </c>
      <c r="O287" s="507" t="s">
        <v>1236</v>
      </c>
      <c r="Q287" s="409" t="s">
        <v>419</v>
      </c>
      <c r="R287" s="516">
        <v>5</v>
      </c>
      <c r="S287" s="411">
        <v>1818</v>
      </c>
      <c r="T287" s="514">
        <v>3</v>
      </c>
      <c r="U287" s="413">
        <v>1</v>
      </c>
      <c r="V287" s="413">
        <v>0</v>
      </c>
      <c r="W287" s="419">
        <f t="shared" si="446"/>
        <v>27270</v>
      </c>
      <c r="X287" s="415">
        <f t="shared" si="447"/>
        <v>0</v>
      </c>
      <c r="Y287" s="415">
        <f>+W287*50%</f>
        <v>13635</v>
      </c>
      <c r="Z287" s="415">
        <f>+W287*25%</f>
        <v>6817.5</v>
      </c>
      <c r="AA287" s="415">
        <f>+W287*25%</f>
        <v>6817.5</v>
      </c>
      <c r="AB287" s="416">
        <v>0</v>
      </c>
      <c r="AC287" s="417" t="s">
        <v>1237</v>
      </c>
      <c r="AD287" s="227"/>
      <c r="AE287" s="241">
        <v>2</v>
      </c>
      <c r="AF287" s="204" t="str">
        <f t="shared" si="426"/>
        <v xml:space="preserve">Frais de transport des participants à la réunion </v>
      </c>
      <c r="AG287" s="413">
        <f t="shared" si="437"/>
        <v>1</v>
      </c>
      <c r="AH287" s="413">
        <f t="shared" si="438"/>
        <v>0</v>
      </c>
      <c r="AI287" s="419">
        <f t="shared" si="439"/>
        <v>45150</v>
      </c>
      <c r="AJ287" s="419">
        <f t="shared" si="418"/>
        <v>0</v>
      </c>
      <c r="AK287" s="415">
        <f t="shared" si="440"/>
        <v>0</v>
      </c>
      <c r="AL287" s="415">
        <f t="shared" si="420"/>
        <v>45150</v>
      </c>
      <c r="AM287" s="323">
        <f t="shared" si="422"/>
        <v>17880</v>
      </c>
      <c r="AN287" s="323">
        <f t="shared" si="423"/>
        <v>0</v>
      </c>
      <c r="AO287" s="323">
        <f t="shared" si="424"/>
        <v>27270</v>
      </c>
      <c r="AP287" s="323">
        <f t="shared" si="425"/>
        <v>0</v>
      </c>
      <c r="AQ287" s="169" t="s">
        <v>1153</v>
      </c>
      <c r="AT287" s="169"/>
      <c r="AU287" s="169"/>
    </row>
    <row r="288" spans="1:47" s="173" customFormat="1" x14ac:dyDescent="0.3">
      <c r="A288" s="480" t="s">
        <v>270</v>
      </c>
      <c r="B288" s="861" t="s">
        <v>317</v>
      </c>
      <c r="C288" s="862"/>
      <c r="D288" s="862"/>
      <c r="E288" s="862"/>
      <c r="F288" s="862"/>
      <c r="G288" s="862"/>
      <c r="H288" s="863"/>
      <c r="I288" s="481">
        <f>SUM(I289)</f>
        <v>7075</v>
      </c>
      <c r="J288" s="482">
        <f t="shared" ref="J288" si="448">SUM(J289)</f>
        <v>0</v>
      </c>
      <c r="K288" s="482">
        <f>SUM(K289)</f>
        <v>7075</v>
      </c>
      <c r="L288" s="482">
        <f t="shared" ref="L288:M288" si="449">SUM(L289)</f>
        <v>0</v>
      </c>
      <c r="M288" s="482">
        <f t="shared" si="449"/>
        <v>0</v>
      </c>
      <c r="N288" s="481">
        <f>SUM(N289)</f>
        <v>0</v>
      </c>
      <c r="O288" s="508"/>
      <c r="P288" s="168"/>
      <c r="Q288" s="538"/>
      <c r="R288" s="539"/>
      <c r="S288" s="538"/>
      <c r="T288" s="539"/>
      <c r="U288" s="539"/>
      <c r="V288" s="484"/>
      <c r="W288" s="482">
        <f t="shared" ref="W288:X288" si="450">SUM(W289)</f>
        <v>14375</v>
      </c>
      <c r="X288" s="482">
        <f t="shared" si="450"/>
        <v>0</v>
      </c>
      <c r="Y288" s="482">
        <f>SUM(Y289)</f>
        <v>14375</v>
      </c>
      <c r="Z288" s="482">
        <f t="shared" ref="Z288:AA288" si="451">SUM(Z289)</f>
        <v>0</v>
      </c>
      <c r="AA288" s="482">
        <f t="shared" si="451"/>
        <v>0</v>
      </c>
      <c r="AB288" s="481">
        <f>SUM(AB289)</f>
        <v>0</v>
      </c>
      <c r="AC288" s="508"/>
      <c r="AD288" s="234"/>
      <c r="AE288" s="247" t="s">
        <v>270</v>
      </c>
      <c r="AF288" s="204" t="str">
        <f t="shared" si="426"/>
        <v>Accompagner et Mettre en place des clubs d'écoute communautaire dans les CAC</v>
      </c>
      <c r="AG288" s="485">
        <f t="shared" si="437"/>
        <v>1</v>
      </c>
      <c r="AH288" s="485">
        <f t="shared" si="438"/>
        <v>0</v>
      </c>
      <c r="AI288" s="482">
        <f t="shared" si="439"/>
        <v>21450</v>
      </c>
      <c r="AJ288" s="482">
        <f t="shared" si="418"/>
        <v>0</v>
      </c>
      <c r="AK288" s="482">
        <f t="shared" si="440"/>
        <v>0</v>
      </c>
      <c r="AL288" s="482">
        <f t="shared" si="420"/>
        <v>21450</v>
      </c>
      <c r="AM288" s="314">
        <f t="shared" si="422"/>
        <v>7075</v>
      </c>
      <c r="AN288" s="314">
        <f t="shared" si="423"/>
        <v>0</v>
      </c>
      <c r="AO288" s="314">
        <f t="shared" si="424"/>
        <v>14375</v>
      </c>
      <c r="AP288" s="314">
        <f t="shared" si="425"/>
        <v>0</v>
      </c>
      <c r="AQ288" s="169"/>
      <c r="AT288" s="168"/>
      <c r="AU288" s="168"/>
    </row>
    <row r="289" spans="1:47" s="172" customFormat="1" x14ac:dyDescent="0.3">
      <c r="A289" s="509">
        <v>1</v>
      </c>
      <c r="B289" s="510" t="s">
        <v>1238</v>
      </c>
      <c r="C289" s="409" t="s">
        <v>405</v>
      </c>
      <c r="D289" s="536">
        <v>25</v>
      </c>
      <c r="E289" s="411">
        <v>283</v>
      </c>
      <c r="F289" s="512">
        <v>1</v>
      </c>
      <c r="G289" s="413">
        <v>1</v>
      </c>
      <c r="H289" s="413">
        <v>0</v>
      </c>
      <c r="I289" s="414">
        <f t="shared" ref="I289" si="452">D289*E289*F289*G289</f>
        <v>7075</v>
      </c>
      <c r="J289" s="415">
        <f>D289*E289*F289*H289</f>
        <v>0</v>
      </c>
      <c r="K289" s="415">
        <f>I289</f>
        <v>7075</v>
      </c>
      <c r="L289" s="415"/>
      <c r="M289" s="415"/>
      <c r="N289" s="416">
        <v>0</v>
      </c>
      <c r="O289" s="544" t="s">
        <v>1239</v>
      </c>
      <c r="Q289" s="409" t="s">
        <v>405</v>
      </c>
      <c r="R289" s="516">
        <v>25</v>
      </c>
      <c r="S289" s="411">
        <v>1</v>
      </c>
      <c r="T289" s="514">
        <v>575</v>
      </c>
      <c r="U289" s="413">
        <v>1</v>
      </c>
      <c r="V289" s="413">
        <v>0</v>
      </c>
      <c r="W289" s="419">
        <f t="shared" ref="W289" si="453">R289*S289*T289*U289</f>
        <v>14375</v>
      </c>
      <c r="X289" s="415">
        <f t="shared" ref="X289" si="454">R289*S289*T289*V289</f>
        <v>0</v>
      </c>
      <c r="Y289" s="415">
        <f t="shared" ref="Y289" si="455">W289</f>
        <v>14375</v>
      </c>
      <c r="Z289" s="415"/>
      <c r="AA289" s="415"/>
      <c r="AB289" s="416">
        <v>0</v>
      </c>
      <c r="AC289" s="544" t="s">
        <v>1240</v>
      </c>
      <c r="AD289" s="237"/>
      <c r="AE289" s="237">
        <v>1</v>
      </c>
      <c r="AF289" s="204" t="str">
        <f t="shared" si="426"/>
        <v>Achat radios solaires</v>
      </c>
      <c r="AG289" s="413">
        <f t="shared" si="437"/>
        <v>1</v>
      </c>
      <c r="AH289" s="413">
        <f t="shared" si="438"/>
        <v>0</v>
      </c>
      <c r="AI289" s="419">
        <f t="shared" si="439"/>
        <v>21450</v>
      </c>
      <c r="AJ289" s="419">
        <f t="shared" si="418"/>
        <v>0</v>
      </c>
      <c r="AK289" s="415">
        <f t="shared" si="440"/>
        <v>0</v>
      </c>
      <c r="AL289" s="415">
        <f t="shared" si="420"/>
        <v>21450</v>
      </c>
      <c r="AM289" s="323">
        <f t="shared" si="422"/>
        <v>7075</v>
      </c>
      <c r="AN289" s="323">
        <f t="shared" si="423"/>
        <v>0</v>
      </c>
      <c r="AO289" s="323">
        <f t="shared" si="424"/>
        <v>14375</v>
      </c>
      <c r="AP289" s="323">
        <f t="shared" si="425"/>
        <v>0</v>
      </c>
      <c r="AQ289" s="169" t="s">
        <v>1153</v>
      </c>
      <c r="AT289" s="169"/>
      <c r="AU289" s="169"/>
    </row>
    <row r="290" spans="1:47" s="187" customFormat="1" ht="12.75" customHeight="1" x14ac:dyDescent="0.35">
      <c r="A290" s="480" t="s">
        <v>271</v>
      </c>
      <c r="B290" s="861" t="s">
        <v>1241</v>
      </c>
      <c r="C290" s="862"/>
      <c r="D290" s="862"/>
      <c r="E290" s="862"/>
      <c r="F290" s="862"/>
      <c r="G290" s="862"/>
      <c r="H290" s="863"/>
      <c r="I290" s="481">
        <f>SUM(I291:I295)</f>
        <v>101324</v>
      </c>
      <c r="J290" s="482">
        <f>SUM(J291:J295)</f>
        <v>0</v>
      </c>
      <c r="K290" s="482">
        <f>SUM(K291:K295)</f>
        <v>101324</v>
      </c>
      <c r="L290" s="482"/>
      <c r="M290" s="482"/>
      <c r="N290" s="481">
        <f>SUM(N291:N295)</f>
        <v>0</v>
      </c>
      <c r="O290" s="508"/>
      <c r="P290" s="182"/>
      <c r="Q290" s="538"/>
      <c r="R290" s="538"/>
      <c r="S290" s="538"/>
      <c r="T290" s="538"/>
      <c r="U290" s="538"/>
      <c r="V290" s="484"/>
      <c r="W290" s="482">
        <f t="shared" ref="W290:Y290" si="456">SUM(W291:W295)</f>
        <v>205850</v>
      </c>
      <c r="X290" s="482">
        <f t="shared" si="456"/>
        <v>0</v>
      </c>
      <c r="Y290" s="482">
        <f t="shared" si="456"/>
        <v>205850</v>
      </c>
      <c r="Z290" s="482">
        <f t="shared" ref="Z290:AB290" si="457">SUM(Z291:Z295)</f>
        <v>0</v>
      </c>
      <c r="AA290" s="482">
        <f t="shared" si="457"/>
        <v>0</v>
      </c>
      <c r="AB290" s="481">
        <f t="shared" si="457"/>
        <v>0</v>
      </c>
      <c r="AC290" s="508"/>
      <c r="AD290" s="234"/>
      <c r="AE290" s="247" t="s">
        <v>271</v>
      </c>
      <c r="AF290" s="204" t="str">
        <f t="shared" si="426"/>
        <v>Organiser le Dénombrement, le Diagnostic communautaire et élaborer les Plan d’actions communautaire Multisectoriels</v>
      </c>
      <c r="AG290" s="485">
        <f t="shared" si="437"/>
        <v>1</v>
      </c>
      <c r="AH290" s="485">
        <f t="shared" si="438"/>
        <v>0</v>
      </c>
      <c r="AI290" s="482">
        <f t="shared" si="439"/>
        <v>307174</v>
      </c>
      <c r="AJ290" s="482">
        <f t="shared" si="418"/>
        <v>0</v>
      </c>
      <c r="AK290" s="482">
        <f t="shared" si="440"/>
        <v>0</v>
      </c>
      <c r="AL290" s="482">
        <f t="shared" si="420"/>
        <v>307174</v>
      </c>
      <c r="AM290" s="314">
        <f t="shared" si="422"/>
        <v>101324</v>
      </c>
      <c r="AN290" s="314">
        <f t="shared" si="423"/>
        <v>0</v>
      </c>
      <c r="AO290" s="314">
        <f t="shared" si="424"/>
        <v>205850</v>
      </c>
      <c r="AP290" s="314">
        <f t="shared" si="425"/>
        <v>0</v>
      </c>
      <c r="AQ290" s="186"/>
      <c r="AT290" s="182"/>
      <c r="AU290" s="182"/>
    </row>
    <row r="291" spans="1:47" s="199" customFormat="1" ht="26" x14ac:dyDescent="0.35">
      <c r="A291" s="408">
        <v>1</v>
      </c>
      <c r="B291" s="409" t="s">
        <v>1242</v>
      </c>
      <c r="C291" s="409" t="s">
        <v>90</v>
      </c>
      <c r="D291" s="410">
        <v>2</v>
      </c>
      <c r="E291" s="411">
        <v>3396</v>
      </c>
      <c r="F291" s="412">
        <v>2</v>
      </c>
      <c r="G291" s="413">
        <v>1</v>
      </c>
      <c r="H291" s="413">
        <v>0</v>
      </c>
      <c r="I291" s="414">
        <f t="shared" ref="I291:I295" si="458">D291*E291*F291*G291</f>
        <v>13584</v>
      </c>
      <c r="J291" s="415">
        <f t="shared" ref="J291:J295" si="459">D291*E291*F291*H291</f>
        <v>0</v>
      </c>
      <c r="K291" s="415">
        <f t="shared" ref="K291:K295" si="460">I291</f>
        <v>13584</v>
      </c>
      <c r="L291" s="415"/>
      <c r="M291" s="415"/>
      <c r="N291" s="416">
        <v>0</v>
      </c>
      <c r="O291" s="417" t="s">
        <v>1243</v>
      </c>
      <c r="Q291" s="409" t="s">
        <v>90</v>
      </c>
      <c r="R291" s="418">
        <v>2</v>
      </c>
      <c r="S291" s="411">
        <v>6900</v>
      </c>
      <c r="T291" s="411">
        <v>2</v>
      </c>
      <c r="U291" s="413">
        <v>1</v>
      </c>
      <c r="V291" s="413">
        <v>0</v>
      </c>
      <c r="W291" s="419">
        <f t="shared" ref="W291:W295" si="461">R291*S291*T291*U291</f>
        <v>27600</v>
      </c>
      <c r="X291" s="415">
        <f t="shared" ref="X291:X295" si="462">R291*S291*T291*V291</f>
        <v>0</v>
      </c>
      <c r="Y291" s="415">
        <f t="shared" ref="Y291:Y295" si="463">W291</f>
        <v>27600</v>
      </c>
      <c r="Z291" s="415"/>
      <c r="AA291" s="415"/>
      <c r="AB291" s="416">
        <v>0</v>
      </c>
      <c r="AC291" s="417" t="s">
        <v>1244</v>
      </c>
      <c r="AD291" s="227"/>
      <c r="AE291" s="241">
        <v>1</v>
      </c>
      <c r="AF291" s="204" t="str">
        <f t="shared" si="426"/>
        <v>Pause-café en faveur de participants à l'élaboration des Plan d’actions communautaire et seance de diagnostique communautaire</v>
      </c>
      <c r="AG291" s="413">
        <f t="shared" si="437"/>
        <v>1</v>
      </c>
      <c r="AH291" s="413">
        <f t="shared" si="438"/>
        <v>0</v>
      </c>
      <c r="AI291" s="419">
        <f t="shared" si="439"/>
        <v>41184</v>
      </c>
      <c r="AJ291" s="419">
        <f t="shared" si="418"/>
        <v>0</v>
      </c>
      <c r="AK291" s="415">
        <f t="shared" si="440"/>
        <v>0</v>
      </c>
      <c r="AL291" s="415">
        <f t="shared" si="420"/>
        <v>41184</v>
      </c>
      <c r="AM291" s="323">
        <f t="shared" si="422"/>
        <v>13584</v>
      </c>
      <c r="AN291" s="323">
        <f t="shared" si="423"/>
        <v>0</v>
      </c>
      <c r="AO291" s="323">
        <f t="shared" si="424"/>
        <v>27600</v>
      </c>
      <c r="AP291" s="323">
        <f t="shared" si="425"/>
        <v>0</v>
      </c>
      <c r="AQ291" s="186" t="s">
        <v>1153</v>
      </c>
      <c r="AT291" s="186"/>
      <c r="AU291" s="186"/>
    </row>
    <row r="292" spans="1:47" s="199" customFormat="1" ht="26" x14ac:dyDescent="0.35">
      <c r="A292" s="408">
        <v>2</v>
      </c>
      <c r="B292" s="409" t="s">
        <v>1245</v>
      </c>
      <c r="C292" s="409" t="s">
        <v>90</v>
      </c>
      <c r="D292" s="410">
        <v>5</v>
      </c>
      <c r="E292" s="411">
        <v>3396</v>
      </c>
      <c r="F292" s="412">
        <v>2</v>
      </c>
      <c r="G292" s="413">
        <v>1</v>
      </c>
      <c r="H292" s="413">
        <v>0</v>
      </c>
      <c r="I292" s="414">
        <f t="shared" si="458"/>
        <v>33960</v>
      </c>
      <c r="J292" s="415">
        <f t="shared" si="459"/>
        <v>0</v>
      </c>
      <c r="K292" s="415">
        <f t="shared" si="460"/>
        <v>33960</v>
      </c>
      <c r="L292" s="415"/>
      <c r="M292" s="415"/>
      <c r="N292" s="416">
        <v>0</v>
      </c>
      <c r="O292" s="417" t="s">
        <v>1246</v>
      </c>
      <c r="Q292" s="409" t="s">
        <v>90</v>
      </c>
      <c r="R292" s="418">
        <v>5</v>
      </c>
      <c r="S292" s="411">
        <v>6900</v>
      </c>
      <c r="T292" s="411">
        <v>2</v>
      </c>
      <c r="U292" s="413">
        <v>1</v>
      </c>
      <c r="V292" s="413">
        <v>0</v>
      </c>
      <c r="W292" s="419">
        <f t="shared" si="461"/>
        <v>69000</v>
      </c>
      <c r="X292" s="415">
        <f t="shared" si="462"/>
        <v>0</v>
      </c>
      <c r="Y292" s="415">
        <f t="shared" si="463"/>
        <v>69000</v>
      </c>
      <c r="Z292" s="415"/>
      <c r="AA292" s="415"/>
      <c r="AB292" s="416">
        <v>0</v>
      </c>
      <c r="AC292" s="417" t="s">
        <v>1247</v>
      </c>
      <c r="AD292" s="227"/>
      <c r="AE292" s="241">
        <v>2</v>
      </c>
      <c r="AF292" s="204" t="str">
        <f t="shared" si="426"/>
        <v>Pause-repas en faveur de participants à l'élaboration des Plan d’actions communautaire et seance de diagnostique communautaire</v>
      </c>
      <c r="AG292" s="413">
        <f t="shared" si="437"/>
        <v>1</v>
      </c>
      <c r="AH292" s="413">
        <f t="shared" si="438"/>
        <v>0</v>
      </c>
      <c r="AI292" s="419">
        <f t="shared" si="439"/>
        <v>102960</v>
      </c>
      <c r="AJ292" s="419">
        <f t="shared" si="418"/>
        <v>0</v>
      </c>
      <c r="AK292" s="415">
        <f t="shared" si="440"/>
        <v>0</v>
      </c>
      <c r="AL292" s="415">
        <f t="shared" si="420"/>
        <v>102960</v>
      </c>
      <c r="AM292" s="323">
        <f t="shared" si="422"/>
        <v>33960</v>
      </c>
      <c r="AN292" s="323">
        <f t="shared" si="423"/>
        <v>0</v>
      </c>
      <c r="AO292" s="323">
        <f t="shared" si="424"/>
        <v>69000</v>
      </c>
      <c r="AP292" s="323">
        <f t="shared" si="425"/>
        <v>0</v>
      </c>
      <c r="AQ292" s="186" t="s">
        <v>1153</v>
      </c>
      <c r="AT292" s="186"/>
      <c r="AU292" s="186"/>
    </row>
    <row r="293" spans="1:47" s="199" customFormat="1" ht="26" x14ac:dyDescent="0.35">
      <c r="A293" s="408">
        <v>3</v>
      </c>
      <c r="B293" s="409" t="s">
        <v>1248</v>
      </c>
      <c r="C293" s="409" t="s">
        <v>90</v>
      </c>
      <c r="D293" s="410">
        <v>5</v>
      </c>
      <c r="E293" s="411">
        <v>3396</v>
      </c>
      <c r="F293" s="412">
        <v>2</v>
      </c>
      <c r="G293" s="413">
        <v>1</v>
      </c>
      <c r="H293" s="413">
        <v>0</v>
      </c>
      <c r="I293" s="414">
        <f t="shared" si="458"/>
        <v>33960</v>
      </c>
      <c r="J293" s="415">
        <f t="shared" si="459"/>
        <v>0</v>
      </c>
      <c r="K293" s="415">
        <f t="shared" si="460"/>
        <v>33960</v>
      </c>
      <c r="L293" s="415"/>
      <c r="M293" s="415"/>
      <c r="N293" s="416">
        <v>0</v>
      </c>
      <c r="O293" s="417" t="s">
        <v>1249</v>
      </c>
      <c r="Q293" s="409" t="s">
        <v>90</v>
      </c>
      <c r="R293" s="418">
        <v>5</v>
      </c>
      <c r="S293" s="411">
        <v>6900</v>
      </c>
      <c r="T293" s="411">
        <v>2</v>
      </c>
      <c r="U293" s="413">
        <v>1</v>
      </c>
      <c r="V293" s="413">
        <v>0</v>
      </c>
      <c r="W293" s="419">
        <f t="shared" si="461"/>
        <v>69000</v>
      </c>
      <c r="X293" s="415">
        <f t="shared" si="462"/>
        <v>0</v>
      </c>
      <c r="Y293" s="415">
        <f t="shared" si="463"/>
        <v>69000</v>
      </c>
      <c r="Z293" s="415"/>
      <c r="AA293" s="415"/>
      <c r="AB293" s="416">
        <v>0</v>
      </c>
      <c r="AC293" s="417" t="s">
        <v>1250</v>
      </c>
      <c r="AD293" s="227"/>
      <c r="AE293" s="241">
        <v>3</v>
      </c>
      <c r="AF293" s="204" t="str">
        <f t="shared" si="426"/>
        <v>Frais de transport des participants à l'élaboration des Plan d’actions communautaire et seance de diagnostique communautaire</v>
      </c>
      <c r="AG293" s="413">
        <f t="shared" si="437"/>
        <v>1</v>
      </c>
      <c r="AH293" s="413">
        <f t="shared" si="438"/>
        <v>0</v>
      </c>
      <c r="AI293" s="419">
        <f t="shared" si="439"/>
        <v>102960</v>
      </c>
      <c r="AJ293" s="419">
        <f t="shared" si="418"/>
        <v>0</v>
      </c>
      <c r="AK293" s="415">
        <f t="shared" si="440"/>
        <v>0</v>
      </c>
      <c r="AL293" s="415">
        <f t="shared" si="420"/>
        <v>102960</v>
      </c>
      <c r="AM293" s="323">
        <f t="shared" si="422"/>
        <v>33960</v>
      </c>
      <c r="AN293" s="323">
        <f t="shared" si="423"/>
        <v>0</v>
      </c>
      <c r="AO293" s="323">
        <f t="shared" si="424"/>
        <v>69000</v>
      </c>
      <c r="AP293" s="323">
        <f t="shared" si="425"/>
        <v>0</v>
      </c>
      <c r="AQ293" s="186" t="s">
        <v>1153</v>
      </c>
      <c r="AT293" s="186"/>
      <c r="AU293" s="186"/>
    </row>
    <row r="294" spans="1:47" s="199" customFormat="1" x14ac:dyDescent="0.35">
      <c r="A294" s="408">
        <v>4</v>
      </c>
      <c r="B294" s="409" t="s">
        <v>492</v>
      </c>
      <c r="C294" s="409" t="s">
        <v>422</v>
      </c>
      <c r="D294" s="410">
        <v>50</v>
      </c>
      <c r="E294" s="411">
        <v>170</v>
      </c>
      <c r="F294" s="412">
        <v>1</v>
      </c>
      <c r="G294" s="413">
        <v>1</v>
      </c>
      <c r="H294" s="413">
        <v>0</v>
      </c>
      <c r="I294" s="414">
        <f t="shared" si="458"/>
        <v>8500</v>
      </c>
      <c r="J294" s="415">
        <f t="shared" si="459"/>
        <v>0</v>
      </c>
      <c r="K294" s="415">
        <f t="shared" si="460"/>
        <v>8500</v>
      </c>
      <c r="L294" s="415"/>
      <c r="M294" s="415"/>
      <c r="N294" s="416">
        <v>0</v>
      </c>
      <c r="O294" s="417" t="s">
        <v>1251</v>
      </c>
      <c r="Q294" s="409" t="s">
        <v>422</v>
      </c>
      <c r="R294" s="418">
        <v>50</v>
      </c>
      <c r="S294" s="411">
        <v>345</v>
      </c>
      <c r="T294" s="411">
        <v>1</v>
      </c>
      <c r="U294" s="413">
        <v>1</v>
      </c>
      <c r="V294" s="413">
        <v>0</v>
      </c>
      <c r="W294" s="419">
        <f t="shared" si="461"/>
        <v>17250</v>
      </c>
      <c r="X294" s="415">
        <f t="shared" si="462"/>
        <v>0</v>
      </c>
      <c r="Y294" s="415">
        <f t="shared" si="463"/>
        <v>17250</v>
      </c>
      <c r="Z294" s="415"/>
      <c r="AA294" s="415"/>
      <c r="AB294" s="416">
        <v>0</v>
      </c>
      <c r="AC294" s="417" t="s">
        <v>1252</v>
      </c>
      <c r="AD294" s="227"/>
      <c r="AE294" s="241">
        <v>4</v>
      </c>
      <c r="AF294" s="204" t="str">
        <f t="shared" si="426"/>
        <v xml:space="preserve">Location salle  lors de l'élaboration de plan d'action communautaire </v>
      </c>
      <c r="AG294" s="413">
        <f t="shared" si="437"/>
        <v>1</v>
      </c>
      <c r="AH294" s="413">
        <f t="shared" si="438"/>
        <v>0</v>
      </c>
      <c r="AI294" s="419">
        <f t="shared" si="439"/>
        <v>25750</v>
      </c>
      <c r="AJ294" s="419">
        <f t="shared" si="418"/>
        <v>0</v>
      </c>
      <c r="AK294" s="415">
        <f t="shared" si="440"/>
        <v>0</v>
      </c>
      <c r="AL294" s="415">
        <f t="shared" si="420"/>
        <v>25750</v>
      </c>
      <c r="AM294" s="323">
        <f t="shared" si="422"/>
        <v>8500</v>
      </c>
      <c r="AN294" s="323">
        <f t="shared" si="423"/>
        <v>0</v>
      </c>
      <c r="AO294" s="323">
        <f t="shared" si="424"/>
        <v>17250</v>
      </c>
      <c r="AP294" s="323">
        <f t="shared" si="425"/>
        <v>0</v>
      </c>
      <c r="AQ294" s="186" t="s">
        <v>1153</v>
      </c>
      <c r="AT294" s="186"/>
      <c r="AU294" s="186"/>
    </row>
    <row r="295" spans="1:47" s="199" customFormat="1" ht="26" x14ac:dyDescent="0.35">
      <c r="A295" s="408">
        <v>5</v>
      </c>
      <c r="B295" s="409" t="s">
        <v>493</v>
      </c>
      <c r="C295" s="409" t="s">
        <v>405</v>
      </c>
      <c r="D295" s="410">
        <v>5</v>
      </c>
      <c r="E295" s="411">
        <v>2264</v>
      </c>
      <c r="F295" s="412">
        <v>1</v>
      </c>
      <c r="G295" s="413">
        <v>1</v>
      </c>
      <c r="H295" s="413">
        <v>0</v>
      </c>
      <c r="I295" s="414">
        <f t="shared" si="458"/>
        <v>11320</v>
      </c>
      <c r="J295" s="415">
        <f t="shared" si="459"/>
        <v>0</v>
      </c>
      <c r="K295" s="415">
        <f t="shared" si="460"/>
        <v>11320</v>
      </c>
      <c r="L295" s="415"/>
      <c r="M295" s="415"/>
      <c r="N295" s="416">
        <v>0</v>
      </c>
      <c r="O295" s="417" t="s">
        <v>1253</v>
      </c>
      <c r="Q295" s="409" t="s">
        <v>405</v>
      </c>
      <c r="R295" s="418">
        <v>5</v>
      </c>
      <c r="S295" s="411">
        <v>4600</v>
      </c>
      <c r="T295" s="411">
        <v>1</v>
      </c>
      <c r="U295" s="413">
        <v>1</v>
      </c>
      <c r="V295" s="413">
        <v>0</v>
      </c>
      <c r="W295" s="419">
        <f t="shared" si="461"/>
        <v>23000</v>
      </c>
      <c r="X295" s="415">
        <f t="shared" si="462"/>
        <v>0</v>
      </c>
      <c r="Y295" s="415">
        <f t="shared" si="463"/>
        <v>23000</v>
      </c>
      <c r="Z295" s="415"/>
      <c r="AA295" s="415"/>
      <c r="AB295" s="416">
        <v>0</v>
      </c>
      <c r="AC295" s="417" t="s">
        <v>1254</v>
      </c>
      <c r="AD295" s="227"/>
      <c r="AE295" s="241">
        <v>6</v>
      </c>
      <c r="AF295" s="204" t="str">
        <f t="shared" si="426"/>
        <v xml:space="preserve">Carnet de données de dénombrement </v>
      </c>
      <c r="AG295" s="413"/>
      <c r="AH295" s="413"/>
      <c r="AI295" s="419">
        <f t="shared" si="439"/>
        <v>34320</v>
      </c>
      <c r="AJ295" s="419">
        <f t="shared" si="418"/>
        <v>0</v>
      </c>
      <c r="AK295" s="415">
        <f t="shared" si="440"/>
        <v>0</v>
      </c>
      <c r="AL295" s="415">
        <f t="shared" si="420"/>
        <v>34320</v>
      </c>
      <c r="AM295" s="323">
        <f t="shared" si="422"/>
        <v>11320</v>
      </c>
      <c r="AN295" s="323">
        <f t="shared" si="423"/>
        <v>0</v>
      </c>
      <c r="AO295" s="323">
        <f t="shared" si="424"/>
        <v>23000</v>
      </c>
      <c r="AP295" s="323">
        <f t="shared" si="425"/>
        <v>0</v>
      </c>
      <c r="AQ295" s="186" t="s">
        <v>1153</v>
      </c>
      <c r="AT295" s="186"/>
      <c r="AU295" s="186"/>
    </row>
    <row r="296" spans="1:47" s="173" customFormat="1" ht="29.25" customHeight="1" x14ac:dyDescent="0.3">
      <c r="A296" s="480" t="s">
        <v>272</v>
      </c>
      <c r="B296" s="861" t="s">
        <v>1255</v>
      </c>
      <c r="C296" s="862"/>
      <c r="D296" s="862"/>
      <c r="E296" s="862"/>
      <c r="F296" s="862"/>
      <c r="G296" s="862"/>
      <c r="H296" s="863"/>
      <c r="I296" s="481">
        <f t="shared" ref="I296:N296" si="464">SUM(I297:I302)</f>
        <v>9207</v>
      </c>
      <c r="J296" s="482">
        <f t="shared" si="464"/>
        <v>0</v>
      </c>
      <c r="K296" s="482">
        <f t="shared" si="464"/>
        <v>9207</v>
      </c>
      <c r="L296" s="482">
        <f t="shared" si="464"/>
        <v>0</v>
      </c>
      <c r="M296" s="482">
        <f t="shared" si="464"/>
        <v>0</v>
      </c>
      <c r="N296" s="481">
        <f t="shared" si="464"/>
        <v>0</v>
      </c>
      <c r="O296" s="508"/>
      <c r="P296" s="168"/>
      <c r="Q296" s="538"/>
      <c r="R296" s="539"/>
      <c r="S296" s="538"/>
      <c r="T296" s="539"/>
      <c r="U296" s="539"/>
      <c r="V296" s="484"/>
      <c r="W296" s="482">
        <f>SUM(W297:W302)</f>
        <v>0</v>
      </c>
      <c r="X296" s="482">
        <f>SUM(X297:X302)</f>
        <v>0</v>
      </c>
      <c r="Y296" s="482">
        <f>SUM(Y297:Y302)</f>
        <v>0</v>
      </c>
      <c r="Z296" s="482"/>
      <c r="AA296" s="482"/>
      <c r="AB296" s="481">
        <f>SUM(AB297:AB302)</f>
        <v>0</v>
      </c>
      <c r="AC296" s="508"/>
      <c r="AD296" s="234"/>
      <c r="AE296" s="247" t="s">
        <v>272</v>
      </c>
      <c r="AF296" s="204" t="str">
        <f t="shared" si="426"/>
        <v>Contribuer à la formation des facilitateurs locaux en Nutrition à assise communautaire (NAC) dans les AS suplemenaires NUTRITION et non ciblés par C4D</v>
      </c>
      <c r="AG296" s="485">
        <f t="shared" si="437"/>
        <v>1</v>
      </c>
      <c r="AH296" s="485">
        <f t="shared" si="438"/>
        <v>0</v>
      </c>
      <c r="AI296" s="482">
        <f t="shared" si="439"/>
        <v>9207</v>
      </c>
      <c r="AJ296" s="482">
        <f t="shared" si="418"/>
        <v>0</v>
      </c>
      <c r="AK296" s="482">
        <f t="shared" si="440"/>
        <v>0</v>
      </c>
      <c r="AL296" s="482">
        <f t="shared" si="420"/>
        <v>9207</v>
      </c>
      <c r="AM296" s="314">
        <f t="shared" si="422"/>
        <v>9207</v>
      </c>
      <c r="AN296" s="314">
        <f t="shared" si="423"/>
        <v>0</v>
      </c>
      <c r="AO296" s="314">
        <f t="shared" si="424"/>
        <v>0</v>
      </c>
      <c r="AP296" s="314">
        <f t="shared" si="425"/>
        <v>0</v>
      </c>
      <c r="AT296" s="168"/>
      <c r="AU296" s="168"/>
    </row>
    <row r="297" spans="1:47" s="199" customFormat="1" ht="26" x14ac:dyDescent="0.35">
      <c r="A297" s="408">
        <v>1</v>
      </c>
      <c r="B297" s="409" t="s">
        <v>454</v>
      </c>
      <c r="C297" s="409" t="s">
        <v>90</v>
      </c>
      <c r="D297" s="410">
        <v>2</v>
      </c>
      <c r="E297" s="411">
        <v>288</v>
      </c>
      <c r="F297" s="412">
        <v>2</v>
      </c>
      <c r="G297" s="413">
        <v>1</v>
      </c>
      <c r="H297" s="413">
        <v>0</v>
      </c>
      <c r="I297" s="414">
        <f t="shared" ref="I297:I302" si="465">D297*E297*F297*G297</f>
        <v>1152</v>
      </c>
      <c r="J297" s="415">
        <f t="shared" ref="J297:J302" si="466">D297*E297*F297*H297</f>
        <v>0</v>
      </c>
      <c r="K297" s="415">
        <f t="shared" ref="K297:K302" si="467">I297</f>
        <v>1152</v>
      </c>
      <c r="L297" s="415"/>
      <c r="M297" s="415"/>
      <c r="N297" s="416">
        <v>0</v>
      </c>
      <c r="O297" s="417" t="s">
        <v>1256</v>
      </c>
      <c r="P297" s="200"/>
      <c r="Q297" s="409"/>
      <c r="R297" s="418"/>
      <c r="S297" s="411"/>
      <c r="T297" s="411"/>
      <c r="U297" s="413">
        <v>1</v>
      </c>
      <c r="V297" s="413">
        <v>0</v>
      </c>
      <c r="W297" s="419">
        <f t="shared" ref="W297:W302" si="468">R297*S297*T297*U297</f>
        <v>0</v>
      </c>
      <c r="X297" s="415">
        <f t="shared" ref="X297:X302" si="469">R297*S297*T297*V297</f>
        <v>0</v>
      </c>
      <c r="Y297" s="415">
        <f t="shared" ref="Y297:Y302" si="470">W297</f>
        <v>0</v>
      </c>
      <c r="Z297" s="415"/>
      <c r="AA297" s="415"/>
      <c r="AB297" s="416">
        <v>0</v>
      </c>
      <c r="AC297" s="417"/>
      <c r="AD297" s="227"/>
      <c r="AE297" s="241">
        <v>1</v>
      </c>
      <c r="AF297" s="204" t="str">
        <f t="shared" si="426"/>
        <v>Pause café</v>
      </c>
      <c r="AG297" s="413">
        <f t="shared" si="437"/>
        <v>1</v>
      </c>
      <c r="AH297" s="413">
        <f t="shared" si="438"/>
        <v>0</v>
      </c>
      <c r="AI297" s="419">
        <f t="shared" si="439"/>
        <v>1152</v>
      </c>
      <c r="AJ297" s="419">
        <f t="shared" si="418"/>
        <v>0</v>
      </c>
      <c r="AK297" s="415">
        <f t="shared" si="440"/>
        <v>0</v>
      </c>
      <c r="AL297" s="415">
        <f t="shared" si="420"/>
        <v>1152</v>
      </c>
      <c r="AM297" s="323">
        <f t="shared" si="422"/>
        <v>1152</v>
      </c>
      <c r="AN297" s="323">
        <f t="shared" si="423"/>
        <v>0</v>
      </c>
      <c r="AO297" s="323">
        <f t="shared" si="424"/>
        <v>0</v>
      </c>
      <c r="AP297" s="323">
        <f t="shared" si="425"/>
        <v>0</v>
      </c>
      <c r="AQ297" s="186" t="s">
        <v>1257</v>
      </c>
      <c r="AR297" s="199" t="s">
        <v>420</v>
      </c>
      <c r="AT297" s="186"/>
      <c r="AU297" s="186"/>
    </row>
    <row r="298" spans="1:47" s="199" customFormat="1" ht="26" x14ac:dyDescent="0.35">
      <c r="A298" s="408">
        <v>2</v>
      </c>
      <c r="B298" s="409" t="s">
        <v>473</v>
      </c>
      <c r="C298" s="409" t="s">
        <v>90</v>
      </c>
      <c r="D298" s="410">
        <v>5</v>
      </c>
      <c r="E298" s="411">
        <v>288</v>
      </c>
      <c r="F298" s="412">
        <v>2</v>
      </c>
      <c r="G298" s="413">
        <v>1</v>
      </c>
      <c r="H298" s="413">
        <v>0</v>
      </c>
      <c r="I298" s="414">
        <f t="shared" si="465"/>
        <v>2880</v>
      </c>
      <c r="J298" s="415">
        <f t="shared" si="466"/>
        <v>0</v>
      </c>
      <c r="K298" s="415">
        <f t="shared" si="467"/>
        <v>2880</v>
      </c>
      <c r="L298" s="415"/>
      <c r="M298" s="415"/>
      <c r="N298" s="416">
        <v>0</v>
      </c>
      <c r="O298" s="417" t="s">
        <v>1256</v>
      </c>
      <c r="P298" s="200"/>
      <c r="Q298" s="409"/>
      <c r="R298" s="418"/>
      <c r="S298" s="411"/>
      <c r="T298" s="411"/>
      <c r="U298" s="413">
        <v>1</v>
      </c>
      <c r="V298" s="413">
        <v>0</v>
      </c>
      <c r="W298" s="419">
        <f t="shared" si="468"/>
        <v>0</v>
      </c>
      <c r="X298" s="415">
        <f t="shared" si="469"/>
        <v>0</v>
      </c>
      <c r="Y298" s="415">
        <f t="shared" si="470"/>
        <v>0</v>
      </c>
      <c r="Z298" s="415"/>
      <c r="AA298" s="415"/>
      <c r="AB298" s="416">
        <v>0</v>
      </c>
      <c r="AC298" s="417"/>
      <c r="AD298" s="227"/>
      <c r="AE298" s="241">
        <v>2</v>
      </c>
      <c r="AF298" s="204" t="str">
        <f t="shared" si="426"/>
        <v>Pause repas</v>
      </c>
      <c r="AG298" s="413">
        <f t="shared" si="437"/>
        <v>1</v>
      </c>
      <c r="AH298" s="413">
        <f t="shared" si="438"/>
        <v>0</v>
      </c>
      <c r="AI298" s="419">
        <f t="shared" si="439"/>
        <v>2880</v>
      </c>
      <c r="AJ298" s="419">
        <f t="shared" si="418"/>
        <v>0</v>
      </c>
      <c r="AK298" s="415">
        <f t="shared" si="440"/>
        <v>0</v>
      </c>
      <c r="AL298" s="415">
        <f t="shared" si="420"/>
        <v>2880</v>
      </c>
      <c r="AM298" s="323">
        <f t="shared" si="422"/>
        <v>2880</v>
      </c>
      <c r="AN298" s="323">
        <f t="shared" si="423"/>
        <v>0</v>
      </c>
      <c r="AO298" s="323">
        <f t="shared" si="424"/>
        <v>0</v>
      </c>
      <c r="AP298" s="323">
        <f t="shared" si="425"/>
        <v>0</v>
      </c>
      <c r="AQ298" s="186" t="s">
        <v>1257</v>
      </c>
      <c r="AR298" s="199" t="s">
        <v>420</v>
      </c>
      <c r="AT298" s="186"/>
      <c r="AU298" s="186"/>
    </row>
    <row r="299" spans="1:47" s="199" customFormat="1" x14ac:dyDescent="0.35">
      <c r="A299" s="408">
        <v>3</v>
      </c>
      <c r="B299" s="409" t="s">
        <v>421</v>
      </c>
      <c r="C299" s="409" t="s">
        <v>422</v>
      </c>
      <c r="D299" s="410">
        <v>50</v>
      </c>
      <c r="E299" s="411">
        <v>13</v>
      </c>
      <c r="F299" s="412">
        <v>2</v>
      </c>
      <c r="G299" s="413">
        <v>1</v>
      </c>
      <c r="H299" s="413">
        <v>0</v>
      </c>
      <c r="I299" s="414">
        <f t="shared" si="465"/>
        <v>1300</v>
      </c>
      <c r="J299" s="415">
        <f t="shared" si="466"/>
        <v>0</v>
      </c>
      <c r="K299" s="415">
        <f t="shared" si="467"/>
        <v>1300</v>
      </c>
      <c r="L299" s="415"/>
      <c r="M299" s="415"/>
      <c r="N299" s="416">
        <v>0</v>
      </c>
      <c r="O299" s="417" t="s">
        <v>1258</v>
      </c>
      <c r="P299" s="200"/>
      <c r="Q299" s="409"/>
      <c r="R299" s="418"/>
      <c r="S299" s="411"/>
      <c r="T299" s="411"/>
      <c r="U299" s="413">
        <v>1</v>
      </c>
      <c r="V299" s="413">
        <v>0</v>
      </c>
      <c r="W299" s="419">
        <f t="shared" si="468"/>
        <v>0</v>
      </c>
      <c r="X299" s="415">
        <f t="shared" si="469"/>
        <v>0</v>
      </c>
      <c r="Y299" s="415">
        <f t="shared" si="470"/>
        <v>0</v>
      </c>
      <c r="Z299" s="415"/>
      <c r="AA299" s="415"/>
      <c r="AB299" s="416">
        <v>0</v>
      </c>
      <c r="AC299" s="417"/>
      <c r="AD299" s="227"/>
      <c r="AE299" s="241">
        <v>3</v>
      </c>
      <c r="AF299" s="204" t="str">
        <f t="shared" si="426"/>
        <v>Location salle</v>
      </c>
      <c r="AG299" s="413">
        <f t="shared" si="437"/>
        <v>1</v>
      </c>
      <c r="AH299" s="413">
        <f t="shared" si="438"/>
        <v>0</v>
      </c>
      <c r="AI299" s="419">
        <f t="shared" si="439"/>
        <v>1300</v>
      </c>
      <c r="AJ299" s="419">
        <f t="shared" si="418"/>
        <v>0</v>
      </c>
      <c r="AK299" s="415">
        <f t="shared" si="440"/>
        <v>0</v>
      </c>
      <c r="AL299" s="415">
        <f t="shared" si="420"/>
        <v>1300</v>
      </c>
      <c r="AM299" s="323">
        <f t="shared" si="422"/>
        <v>1300</v>
      </c>
      <c r="AN299" s="323">
        <f t="shared" si="423"/>
        <v>0</v>
      </c>
      <c r="AO299" s="323">
        <f t="shared" si="424"/>
        <v>0</v>
      </c>
      <c r="AP299" s="323">
        <f t="shared" si="425"/>
        <v>0</v>
      </c>
      <c r="AQ299" s="186" t="s">
        <v>1257</v>
      </c>
      <c r="AR299" s="199" t="s">
        <v>420</v>
      </c>
      <c r="AT299" s="186"/>
      <c r="AU299" s="186"/>
    </row>
    <row r="300" spans="1:47" s="199" customFormat="1" x14ac:dyDescent="0.35">
      <c r="A300" s="408">
        <v>4</v>
      </c>
      <c r="B300" s="409" t="s">
        <v>426</v>
      </c>
      <c r="C300" s="409" t="s">
        <v>90</v>
      </c>
      <c r="D300" s="410">
        <v>5</v>
      </c>
      <c r="E300" s="411">
        <v>258</v>
      </c>
      <c r="F300" s="412">
        <v>2</v>
      </c>
      <c r="G300" s="413">
        <v>1</v>
      </c>
      <c r="H300" s="413">
        <v>0</v>
      </c>
      <c r="I300" s="414">
        <f t="shared" si="465"/>
        <v>2580</v>
      </c>
      <c r="J300" s="415">
        <f t="shared" si="466"/>
        <v>0</v>
      </c>
      <c r="K300" s="415">
        <f t="shared" si="467"/>
        <v>2580</v>
      </c>
      <c r="L300" s="415"/>
      <c r="M300" s="415"/>
      <c r="N300" s="416">
        <v>0</v>
      </c>
      <c r="O300" s="417" t="s">
        <v>1259</v>
      </c>
      <c r="P300" s="200"/>
      <c r="Q300" s="409"/>
      <c r="R300" s="418"/>
      <c r="S300" s="411"/>
      <c r="T300" s="411"/>
      <c r="U300" s="413">
        <v>1</v>
      </c>
      <c r="V300" s="413">
        <v>0</v>
      </c>
      <c r="W300" s="419">
        <f t="shared" si="468"/>
        <v>0</v>
      </c>
      <c r="X300" s="415">
        <f t="shared" si="469"/>
        <v>0</v>
      </c>
      <c r="Y300" s="415">
        <f t="shared" si="470"/>
        <v>0</v>
      </c>
      <c r="Z300" s="415"/>
      <c r="AA300" s="415"/>
      <c r="AB300" s="416">
        <v>0</v>
      </c>
      <c r="AC300" s="417"/>
      <c r="AD300" s="227"/>
      <c r="AE300" s="241">
        <v>4</v>
      </c>
      <c r="AF300" s="204" t="str">
        <f t="shared" si="426"/>
        <v>Transport des participants</v>
      </c>
      <c r="AG300" s="413">
        <f t="shared" si="437"/>
        <v>1</v>
      </c>
      <c r="AH300" s="413">
        <f t="shared" si="438"/>
        <v>0</v>
      </c>
      <c r="AI300" s="419">
        <f t="shared" si="439"/>
        <v>2580</v>
      </c>
      <c r="AJ300" s="419">
        <f t="shared" si="418"/>
        <v>0</v>
      </c>
      <c r="AK300" s="415">
        <f t="shared" si="440"/>
        <v>0</v>
      </c>
      <c r="AL300" s="415">
        <f t="shared" si="420"/>
        <v>2580</v>
      </c>
      <c r="AM300" s="323">
        <f t="shared" si="422"/>
        <v>2580</v>
      </c>
      <c r="AN300" s="323">
        <f t="shared" si="423"/>
        <v>0</v>
      </c>
      <c r="AO300" s="323">
        <f t="shared" si="424"/>
        <v>0</v>
      </c>
      <c r="AP300" s="323">
        <f t="shared" si="425"/>
        <v>0</v>
      </c>
      <c r="AQ300" s="186" t="s">
        <v>1257</v>
      </c>
      <c r="AR300" s="199" t="s">
        <v>420</v>
      </c>
      <c r="AT300" s="186"/>
      <c r="AU300" s="186"/>
    </row>
    <row r="301" spans="1:47" s="199" customFormat="1" x14ac:dyDescent="0.35">
      <c r="A301" s="408">
        <v>5</v>
      </c>
      <c r="B301" s="409" t="s">
        <v>960</v>
      </c>
      <c r="C301" s="409" t="s">
        <v>90</v>
      </c>
      <c r="D301" s="541">
        <v>12.5</v>
      </c>
      <c r="E301" s="411">
        <v>26</v>
      </c>
      <c r="F301" s="412">
        <v>2</v>
      </c>
      <c r="G301" s="413">
        <v>1</v>
      </c>
      <c r="H301" s="413">
        <v>0</v>
      </c>
      <c r="I301" s="414">
        <f t="shared" si="465"/>
        <v>650</v>
      </c>
      <c r="J301" s="415">
        <f t="shared" si="466"/>
        <v>0</v>
      </c>
      <c r="K301" s="415">
        <f t="shared" si="467"/>
        <v>650</v>
      </c>
      <c r="L301" s="415"/>
      <c r="M301" s="415"/>
      <c r="N301" s="416">
        <v>0</v>
      </c>
      <c r="O301" s="417" t="s">
        <v>1260</v>
      </c>
      <c r="P301" s="200"/>
      <c r="Q301" s="409"/>
      <c r="R301" s="418"/>
      <c r="S301" s="411"/>
      <c r="T301" s="411"/>
      <c r="U301" s="413">
        <v>1</v>
      </c>
      <c r="V301" s="413">
        <v>0</v>
      </c>
      <c r="W301" s="419">
        <f t="shared" si="468"/>
        <v>0</v>
      </c>
      <c r="X301" s="415">
        <f t="shared" si="469"/>
        <v>0</v>
      </c>
      <c r="Y301" s="415">
        <f t="shared" si="470"/>
        <v>0</v>
      </c>
      <c r="Z301" s="415"/>
      <c r="AA301" s="415"/>
      <c r="AB301" s="416">
        <v>0</v>
      </c>
      <c r="AC301" s="417"/>
      <c r="AD301" s="227"/>
      <c r="AE301" s="241">
        <v>5</v>
      </c>
      <c r="AF301" s="204" t="str">
        <f t="shared" si="426"/>
        <v>Emolument formateurs</v>
      </c>
      <c r="AG301" s="413">
        <f t="shared" si="437"/>
        <v>1</v>
      </c>
      <c r="AH301" s="413">
        <f t="shared" si="438"/>
        <v>0</v>
      </c>
      <c r="AI301" s="419">
        <f t="shared" si="439"/>
        <v>650</v>
      </c>
      <c r="AJ301" s="419">
        <f t="shared" si="418"/>
        <v>0</v>
      </c>
      <c r="AK301" s="415">
        <f t="shared" si="440"/>
        <v>0</v>
      </c>
      <c r="AL301" s="415">
        <f t="shared" si="420"/>
        <v>650</v>
      </c>
      <c r="AM301" s="323">
        <f t="shared" si="422"/>
        <v>650</v>
      </c>
      <c r="AN301" s="323">
        <f t="shared" si="423"/>
        <v>0</v>
      </c>
      <c r="AO301" s="323">
        <f t="shared" si="424"/>
        <v>0</v>
      </c>
      <c r="AP301" s="323">
        <f t="shared" si="425"/>
        <v>0</v>
      </c>
      <c r="AQ301" s="186" t="s">
        <v>1257</v>
      </c>
      <c r="AR301" s="199" t="s">
        <v>420</v>
      </c>
      <c r="AT301" s="186"/>
      <c r="AU301" s="186"/>
    </row>
    <row r="302" spans="1:47" s="199" customFormat="1" x14ac:dyDescent="0.35">
      <c r="A302" s="408">
        <v>6</v>
      </c>
      <c r="B302" s="409" t="s">
        <v>424</v>
      </c>
      <c r="C302" s="409" t="s">
        <v>425</v>
      </c>
      <c r="D302" s="541">
        <v>2.5</v>
      </c>
      <c r="E302" s="411">
        <v>258</v>
      </c>
      <c r="F302" s="412">
        <v>1</v>
      </c>
      <c r="G302" s="413">
        <v>1</v>
      </c>
      <c r="H302" s="413">
        <v>0</v>
      </c>
      <c r="I302" s="414">
        <f t="shared" si="465"/>
        <v>645</v>
      </c>
      <c r="J302" s="415">
        <f t="shared" si="466"/>
        <v>0</v>
      </c>
      <c r="K302" s="415">
        <f t="shared" si="467"/>
        <v>645</v>
      </c>
      <c r="L302" s="415"/>
      <c r="M302" s="415"/>
      <c r="N302" s="416">
        <v>0</v>
      </c>
      <c r="O302" s="417" t="s">
        <v>1261</v>
      </c>
      <c r="P302" s="200"/>
      <c r="Q302" s="409"/>
      <c r="R302" s="418"/>
      <c r="S302" s="411"/>
      <c r="T302" s="411"/>
      <c r="U302" s="413">
        <v>1</v>
      </c>
      <c r="V302" s="413">
        <v>0</v>
      </c>
      <c r="W302" s="419">
        <f t="shared" si="468"/>
        <v>0</v>
      </c>
      <c r="X302" s="415">
        <f t="shared" si="469"/>
        <v>0</v>
      </c>
      <c r="Y302" s="415">
        <f t="shared" si="470"/>
        <v>0</v>
      </c>
      <c r="Z302" s="415"/>
      <c r="AA302" s="415"/>
      <c r="AB302" s="416">
        <v>0</v>
      </c>
      <c r="AC302" s="417"/>
      <c r="AD302" s="227"/>
      <c r="AE302" s="241">
        <v>6</v>
      </c>
      <c r="AF302" s="204" t="str">
        <f t="shared" si="426"/>
        <v>Kits participants</v>
      </c>
      <c r="AG302" s="413">
        <f t="shared" si="437"/>
        <v>1</v>
      </c>
      <c r="AH302" s="413">
        <f t="shared" si="438"/>
        <v>0</v>
      </c>
      <c r="AI302" s="419">
        <f t="shared" si="439"/>
        <v>645</v>
      </c>
      <c r="AJ302" s="419">
        <f t="shared" si="418"/>
        <v>0</v>
      </c>
      <c r="AK302" s="415">
        <f t="shared" si="440"/>
        <v>0</v>
      </c>
      <c r="AL302" s="415">
        <f t="shared" si="420"/>
        <v>645</v>
      </c>
      <c r="AM302" s="323">
        <f t="shared" si="422"/>
        <v>645</v>
      </c>
      <c r="AN302" s="323">
        <f t="shared" si="423"/>
        <v>0</v>
      </c>
      <c r="AO302" s="323">
        <f t="shared" si="424"/>
        <v>0</v>
      </c>
      <c r="AP302" s="323">
        <f t="shared" si="425"/>
        <v>0</v>
      </c>
      <c r="AQ302" s="186" t="s">
        <v>1257</v>
      </c>
      <c r="AR302" s="199" t="s">
        <v>420</v>
      </c>
      <c r="AT302" s="186"/>
      <c r="AU302" s="186"/>
    </row>
    <row r="303" spans="1:47" s="203" customFormat="1" ht="19.5" customHeight="1" x14ac:dyDescent="0.35">
      <c r="A303" s="546" t="s">
        <v>273</v>
      </c>
      <c r="B303" s="861" t="s">
        <v>1262</v>
      </c>
      <c r="C303" s="862"/>
      <c r="D303" s="862"/>
      <c r="E303" s="862"/>
      <c r="F303" s="862"/>
      <c r="G303" s="862"/>
      <c r="H303" s="863"/>
      <c r="I303" s="547">
        <f t="shared" ref="I303:N303" si="471">SUM(I304:I308)</f>
        <v>45806</v>
      </c>
      <c r="J303" s="548">
        <f t="shared" si="471"/>
        <v>0</v>
      </c>
      <c r="K303" s="548">
        <f t="shared" si="471"/>
        <v>45806</v>
      </c>
      <c r="L303" s="548">
        <f t="shared" si="471"/>
        <v>0</v>
      </c>
      <c r="M303" s="548">
        <f t="shared" si="471"/>
        <v>0</v>
      </c>
      <c r="N303" s="547">
        <f t="shared" si="471"/>
        <v>0</v>
      </c>
      <c r="O303" s="549" t="s">
        <v>1263</v>
      </c>
      <c r="P303" s="196"/>
      <c r="Q303" s="550"/>
      <c r="R303" s="550"/>
      <c r="S303" s="550"/>
      <c r="T303" s="550"/>
      <c r="U303" s="550"/>
      <c r="V303" s="551"/>
      <c r="W303" s="548">
        <f>SUM(W304:W308)</f>
        <v>0</v>
      </c>
      <c r="X303" s="548">
        <f>SUM(X304:X308)</f>
        <v>0</v>
      </c>
      <c r="Y303" s="548">
        <f>SUM(Y304:Y308)</f>
        <v>0</v>
      </c>
      <c r="Z303" s="548"/>
      <c r="AA303" s="548"/>
      <c r="AB303" s="547">
        <f>SUM(AB304:AB308)</f>
        <v>0</v>
      </c>
      <c r="AC303" s="552"/>
      <c r="AD303" s="238"/>
      <c r="AE303" s="247" t="s">
        <v>273</v>
      </c>
      <c r="AF303" s="204" t="str">
        <f t="shared" si="426"/>
        <v>Contribuer à la formation des RECO  sur la PCIMA, la NAC, le Genre et la prévention des VBG et AES dans les AS suplemenaires NUTRITION</v>
      </c>
      <c r="AG303" s="553">
        <f t="shared" si="437"/>
        <v>1</v>
      </c>
      <c r="AH303" s="553">
        <f t="shared" si="438"/>
        <v>0</v>
      </c>
      <c r="AI303" s="548">
        <f t="shared" si="439"/>
        <v>45806</v>
      </c>
      <c r="AJ303" s="548">
        <f t="shared" si="418"/>
        <v>0</v>
      </c>
      <c r="AK303" s="548">
        <f t="shared" si="440"/>
        <v>0</v>
      </c>
      <c r="AL303" s="548">
        <f t="shared" si="420"/>
        <v>45806</v>
      </c>
      <c r="AM303" s="324">
        <f t="shared" si="422"/>
        <v>45806</v>
      </c>
      <c r="AN303" s="324">
        <f t="shared" si="423"/>
        <v>0</v>
      </c>
      <c r="AO303" s="324">
        <f t="shared" si="424"/>
        <v>0</v>
      </c>
      <c r="AP303" s="324">
        <f t="shared" si="425"/>
        <v>0</v>
      </c>
      <c r="AQ303" s="195"/>
      <c r="AT303" s="196"/>
      <c r="AU303" s="196"/>
    </row>
    <row r="304" spans="1:47" s="199" customFormat="1" ht="39" x14ac:dyDescent="0.35">
      <c r="A304" s="408">
        <v>1</v>
      </c>
      <c r="B304" s="409" t="s">
        <v>465</v>
      </c>
      <c r="C304" s="409" t="s">
        <v>90</v>
      </c>
      <c r="D304" s="410">
        <v>2</v>
      </c>
      <c r="E304" s="411">
        <v>2858</v>
      </c>
      <c r="F304" s="412">
        <v>1</v>
      </c>
      <c r="G304" s="413">
        <v>1</v>
      </c>
      <c r="H304" s="413">
        <v>0</v>
      </c>
      <c r="I304" s="414">
        <f>D304*E304*F304*G304</f>
        <v>5716</v>
      </c>
      <c r="J304" s="415">
        <f>D304*E304*F304*H304</f>
        <v>0</v>
      </c>
      <c r="K304" s="415">
        <f>I304*1</f>
        <v>5716</v>
      </c>
      <c r="L304" s="415"/>
      <c r="M304" s="415"/>
      <c r="N304" s="416">
        <v>0</v>
      </c>
      <c r="O304" s="417" t="s">
        <v>1264</v>
      </c>
      <c r="P304" s="200"/>
      <c r="Q304" s="409"/>
      <c r="R304" s="418"/>
      <c r="S304" s="411"/>
      <c r="T304" s="411"/>
      <c r="U304" s="413">
        <v>1</v>
      </c>
      <c r="V304" s="413">
        <v>0</v>
      </c>
      <c r="W304" s="419">
        <f>R304*S304*T304*U304</f>
        <v>0</v>
      </c>
      <c r="X304" s="415">
        <f>R304*S304*T304*V304</f>
        <v>0</v>
      </c>
      <c r="Y304" s="415">
        <f>W304</f>
        <v>0</v>
      </c>
      <c r="Z304" s="415"/>
      <c r="AA304" s="415"/>
      <c r="AB304" s="416">
        <v>0</v>
      </c>
      <c r="AC304" s="417"/>
      <c r="AD304" s="227"/>
      <c r="AE304" s="241">
        <v>1</v>
      </c>
      <c r="AF304" s="204" t="str">
        <f t="shared" si="426"/>
        <v xml:space="preserve">Pause café </v>
      </c>
      <c r="AG304" s="413">
        <f t="shared" si="437"/>
        <v>1</v>
      </c>
      <c r="AH304" s="413">
        <f t="shared" si="438"/>
        <v>0</v>
      </c>
      <c r="AI304" s="419">
        <f t="shared" si="439"/>
        <v>5716</v>
      </c>
      <c r="AJ304" s="419">
        <f t="shared" si="418"/>
        <v>0</v>
      </c>
      <c r="AK304" s="415">
        <f t="shared" si="440"/>
        <v>0</v>
      </c>
      <c r="AL304" s="415">
        <f t="shared" si="420"/>
        <v>5716</v>
      </c>
      <c r="AM304" s="323">
        <f t="shared" si="422"/>
        <v>5716</v>
      </c>
      <c r="AN304" s="323">
        <f t="shared" si="423"/>
        <v>0</v>
      </c>
      <c r="AO304" s="323">
        <f t="shared" si="424"/>
        <v>0</v>
      </c>
      <c r="AP304" s="323">
        <f t="shared" si="425"/>
        <v>0</v>
      </c>
      <c r="AQ304" s="186" t="s">
        <v>1257</v>
      </c>
      <c r="AR304" s="199" t="s">
        <v>420</v>
      </c>
      <c r="AT304" s="186"/>
      <c r="AU304" s="186"/>
    </row>
    <row r="305" spans="1:47" s="199" customFormat="1" ht="26" x14ac:dyDescent="0.35">
      <c r="A305" s="408">
        <v>2</v>
      </c>
      <c r="B305" s="409" t="s">
        <v>404</v>
      </c>
      <c r="C305" s="409" t="s">
        <v>90</v>
      </c>
      <c r="D305" s="410">
        <v>5</v>
      </c>
      <c r="E305" s="411">
        <v>2858</v>
      </c>
      <c r="F305" s="412">
        <v>1</v>
      </c>
      <c r="G305" s="413">
        <v>1</v>
      </c>
      <c r="H305" s="413">
        <v>0</v>
      </c>
      <c r="I305" s="414">
        <f>D305*E305*F305*G305</f>
        <v>14290</v>
      </c>
      <c r="J305" s="415">
        <f>D305*E305*F305*H305</f>
        <v>0</v>
      </c>
      <c r="K305" s="415">
        <f>I305*1</f>
        <v>14290</v>
      </c>
      <c r="L305" s="415"/>
      <c r="M305" s="415"/>
      <c r="N305" s="416">
        <v>0</v>
      </c>
      <c r="O305" s="417" t="s">
        <v>1265</v>
      </c>
      <c r="P305" s="200"/>
      <c r="Q305" s="409"/>
      <c r="R305" s="418"/>
      <c r="S305" s="411"/>
      <c r="T305" s="411"/>
      <c r="U305" s="413">
        <v>1</v>
      </c>
      <c r="V305" s="413">
        <v>0</v>
      </c>
      <c r="W305" s="419">
        <f>R305*S305*T305*U305</f>
        <v>0</v>
      </c>
      <c r="X305" s="415">
        <f>R305*S305*T305*V305</f>
        <v>0</v>
      </c>
      <c r="Y305" s="415">
        <f>W305</f>
        <v>0</v>
      </c>
      <c r="Z305" s="415"/>
      <c r="AA305" s="415"/>
      <c r="AB305" s="416">
        <v>0</v>
      </c>
      <c r="AC305" s="417"/>
      <c r="AD305" s="227"/>
      <c r="AE305" s="241">
        <v>2</v>
      </c>
      <c r="AF305" s="204" t="str">
        <f t="shared" si="426"/>
        <v xml:space="preserve">Pause repas  </v>
      </c>
      <c r="AG305" s="413">
        <f t="shared" si="437"/>
        <v>1</v>
      </c>
      <c r="AH305" s="413">
        <f t="shared" si="438"/>
        <v>0</v>
      </c>
      <c r="AI305" s="419">
        <f t="shared" si="439"/>
        <v>14290</v>
      </c>
      <c r="AJ305" s="419">
        <f t="shared" si="418"/>
        <v>0</v>
      </c>
      <c r="AK305" s="415">
        <f t="shared" si="440"/>
        <v>0</v>
      </c>
      <c r="AL305" s="415">
        <f t="shared" si="420"/>
        <v>14290</v>
      </c>
      <c r="AM305" s="323">
        <f t="shared" si="422"/>
        <v>14290</v>
      </c>
      <c r="AN305" s="323">
        <f t="shared" si="423"/>
        <v>0</v>
      </c>
      <c r="AO305" s="323">
        <f t="shared" si="424"/>
        <v>0</v>
      </c>
      <c r="AP305" s="323">
        <f t="shared" si="425"/>
        <v>0</v>
      </c>
      <c r="AQ305" s="186" t="s">
        <v>1257</v>
      </c>
      <c r="AR305" s="199" t="s">
        <v>420</v>
      </c>
      <c r="AT305" s="186"/>
      <c r="AU305" s="186"/>
    </row>
    <row r="306" spans="1:47" s="199" customFormat="1" x14ac:dyDescent="0.35">
      <c r="A306" s="408">
        <v>3</v>
      </c>
      <c r="B306" s="409" t="s">
        <v>421</v>
      </c>
      <c r="C306" s="409" t="s">
        <v>451</v>
      </c>
      <c r="D306" s="410">
        <v>50</v>
      </c>
      <c r="E306" s="411">
        <v>129</v>
      </c>
      <c r="F306" s="412">
        <v>1</v>
      </c>
      <c r="G306" s="413">
        <v>1</v>
      </c>
      <c r="H306" s="413">
        <v>0</v>
      </c>
      <c r="I306" s="414">
        <f>D306*E306*F306*G306</f>
        <v>6450</v>
      </c>
      <c r="J306" s="415">
        <f>D306*E306*F306*H306</f>
        <v>0</v>
      </c>
      <c r="K306" s="415">
        <f>I306*1</f>
        <v>6450</v>
      </c>
      <c r="L306" s="415"/>
      <c r="M306" s="415"/>
      <c r="N306" s="416">
        <v>0</v>
      </c>
      <c r="O306" s="417" t="s">
        <v>1266</v>
      </c>
      <c r="P306" s="200"/>
      <c r="Q306" s="409"/>
      <c r="R306" s="418"/>
      <c r="S306" s="411"/>
      <c r="T306" s="411"/>
      <c r="U306" s="413">
        <v>1</v>
      </c>
      <c r="V306" s="413">
        <v>0</v>
      </c>
      <c r="W306" s="419">
        <f>R306*S306*T306*U306</f>
        <v>0</v>
      </c>
      <c r="X306" s="415">
        <f>R306*S306*T306*V306</f>
        <v>0</v>
      </c>
      <c r="Y306" s="415">
        <f>W306</f>
        <v>0</v>
      </c>
      <c r="Z306" s="415"/>
      <c r="AA306" s="415"/>
      <c r="AB306" s="416">
        <v>0</v>
      </c>
      <c r="AC306" s="417"/>
      <c r="AD306" s="227"/>
      <c r="AE306" s="241">
        <v>3</v>
      </c>
      <c r="AF306" s="204" t="str">
        <f t="shared" si="426"/>
        <v>Location salle</v>
      </c>
      <c r="AG306" s="413">
        <f t="shared" si="437"/>
        <v>1</v>
      </c>
      <c r="AH306" s="413">
        <f t="shared" si="438"/>
        <v>0</v>
      </c>
      <c r="AI306" s="419">
        <f t="shared" si="439"/>
        <v>6450</v>
      </c>
      <c r="AJ306" s="419">
        <f t="shared" si="418"/>
        <v>0</v>
      </c>
      <c r="AK306" s="415">
        <f t="shared" si="440"/>
        <v>0</v>
      </c>
      <c r="AL306" s="415">
        <f t="shared" si="420"/>
        <v>6450</v>
      </c>
      <c r="AM306" s="323">
        <f t="shared" si="422"/>
        <v>6450</v>
      </c>
      <c r="AN306" s="323">
        <f t="shared" si="423"/>
        <v>0</v>
      </c>
      <c r="AO306" s="323">
        <f t="shared" si="424"/>
        <v>0</v>
      </c>
      <c r="AP306" s="323">
        <f t="shared" si="425"/>
        <v>0</v>
      </c>
      <c r="AQ306" s="186" t="s">
        <v>1257</v>
      </c>
      <c r="AR306" s="199" t="s">
        <v>420</v>
      </c>
      <c r="AT306" s="186"/>
      <c r="AU306" s="186"/>
    </row>
    <row r="307" spans="1:47" s="199" customFormat="1" ht="39" x14ac:dyDescent="0.35">
      <c r="A307" s="408">
        <v>4</v>
      </c>
      <c r="B307" s="409" t="s">
        <v>426</v>
      </c>
      <c r="C307" s="409" t="s">
        <v>90</v>
      </c>
      <c r="D307" s="410">
        <v>5</v>
      </c>
      <c r="E307" s="411">
        <v>2580</v>
      </c>
      <c r="F307" s="412">
        <v>1</v>
      </c>
      <c r="G307" s="413">
        <v>1</v>
      </c>
      <c r="H307" s="413">
        <v>0</v>
      </c>
      <c r="I307" s="414">
        <f>D307*E307*F307*G307</f>
        <v>12900</v>
      </c>
      <c r="J307" s="415">
        <f>D307*E307*F307*H307</f>
        <v>0</v>
      </c>
      <c r="K307" s="415">
        <f>I307*1</f>
        <v>12900</v>
      </c>
      <c r="L307" s="415"/>
      <c r="M307" s="415"/>
      <c r="N307" s="416">
        <v>0</v>
      </c>
      <c r="O307" s="417" t="s">
        <v>1267</v>
      </c>
      <c r="P307" s="200"/>
      <c r="Q307" s="409"/>
      <c r="R307" s="418"/>
      <c r="S307" s="411"/>
      <c r="T307" s="411"/>
      <c r="U307" s="413">
        <v>1</v>
      </c>
      <c r="V307" s="413">
        <v>0</v>
      </c>
      <c r="W307" s="419">
        <f>R307*S307*T307*U307</f>
        <v>0</v>
      </c>
      <c r="X307" s="415">
        <f>R307*S307*T307*V307</f>
        <v>0</v>
      </c>
      <c r="Y307" s="415">
        <f>W307</f>
        <v>0</v>
      </c>
      <c r="Z307" s="415"/>
      <c r="AA307" s="415"/>
      <c r="AB307" s="416">
        <v>0</v>
      </c>
      <c r="AC307" s="417"/>
      <c r="AD307" s="227"/>
      <c r="AE307" s="241">
        <v>4</v>
      </c>
      <c r="AF307" s="204" t="str">
        <f t="shared" si="426"/>
        <v>Transport des participants</v>
      </c>
      <c r="AG307" s="413">
        <f t="shared" si="437"/>
        <v>1</v>
      </c>
      <c r="AH307" s="413">
        <f t="shared" si="438"/>
        <v>0</v>
      </c>
      <c r="AI307" s="419">
        <f t="shared" si="439"/>
        <v>12900</v>
      </c>
      <c r="AJ307" s="419">
        <f t="shared" si="418"/>
        <v>0</v>
      </c>
      <c r="AK307" s="415">
        <f t="shared" si="440"/>
        <v>0</v>
      </c>
      <c r="AL307" s="415">
        <f t="shared" si="420"/>
        <v>12900</v>
      </c>
      <c r="AM307" s="323">
        <f t="shared" si="422"/>
        <v>12900</v>
      </c>
      <c r="AN307" s="323">
        <f t="shared" si="423"/>
        <v>0</v>
      </c>
      <c r="AO307" s="323">
        <f t="shared" si="424"/>
        <v>0</v>
      </c>
      <c r="AP307" s="323">
        <f t="shared" si="425"/>
        <v>0</v>
      </c>
      <c r="AQ307" s="186" t="s">
        <v>1257</v>
      </c>
      <c r="AR307" s="199" t="s">
        <v>420</v>
      </c>
      <c r="AT307" s="186"/>
      <c r="AU307" s="186"/>
    </row>
    <row r="308" spans="1:47" s="199" customFormat="1" x14ac:dyDescent="0.35">
      <c r="A308" s="408">
        <v>5</v>
      </c>
      <c r="B308" s="409" t="s">
        <v>1268</v>
      </c>
      <c r="C308" s="409" t="s">
        <v>466</v>
      </c>
      <c r="D308" s="554">
        <v>2.5</v>
      </c>
      <c r="E308" s="411">
        <v>2580</v>
      </c>
      <c r="F308" s="412">
        <v>1</v>
      </c>
      <c r="G308" s="413">
        <v>1</v>
      </c>
      <c r="H308" s="413">
        <v>0</v>
      </c>
      <c r="I308" s="414">
        <f>D308*E308*F308*G308</f>
        <v>6450</v>
      </c>
      <c r="J308" s="415">
        <f>D308*E308*F308*H308</f>
        <v>0</v>
      </c>
      <c r="K308" s="415">
        <f>I308*1</f>
        <v>6450</v>
      </c>
      <c r="L308" s="415"/>
      <c r="M308" s="415"/>
      <c r="N308" s="416">
        <v>0</v>
      </c>
      <c r="O308" s="417" t="s">
        <v>1269</v>
      </c>
      <c r="P308" s="200"/>
      <c r="Q308" s="409"/>
      <c r="R308" s="418"/>
      <c r="S308" s="411"/>
      <c r="T308" s="411"/>
      <c r="U308" s="413">
        <v>1</v>
      </c>
      <c r="V308" s="413">
        <v>0</v>
      </c>
      <c r="W308" s="419">
        <f>R308*S308*T308*U308</f>
        <v>0</v>
      </c>
      <c r="X308" s="415">
        <f>R308*S308*T308*V308</f>
        <v>0</v>
      </c>
      <c r="Y308" s="415">
        <f>W308</f>
        <v>0</v>
      </c>
      <c r="Z308" s="415"/>
      <c r="AA308" s="415"/>
      <c r="AB308" s="416">
        <v>0</v>
      </c>
      <c r="AC308" s="417"/>
      <c r="AD308" s="227"/>
      <c r="AE308" s="241">
        <v>5</v>
      </c>
      <c r="AF308" s="204" t="str">
        <f t="shared" si="426"/>
        <v>Kit participants</v>
      </c>
      <c r="AG308" s="413">
        <f t="shared" si="437"/>
        <v>1</v>
      </c>
      <c r="AH308" s="413">
        <f t="shared" si="438"/>
        <v>0</v>
      </c>
      <c r="AI308" s="419">
        <f t="shared" si="439"/>
        <v>6450</v>
      </c>
      <c r="AJ308" s="419">
        <f t="shared" si="418"/>
        <v>0</v>
      </c>
      <c r="AK308" s="415">
        <f t="shared" si="440"/>
        <v>0</v>
      </c>
      <c r="AL308" s="415">
        <f t="shared" si="420"/>
        <v>6450</v>
      </c>
      <c r="AM308" s="323">
        <f t="shared" si="422"/>
        <v>6450</v>
      </c>
      <c r="AN308" s="323">
        <f t="shared" si="423"/>
        <v>0</v>
      </c>
      <c r="AO308" s="323">
        <f t="shared" si="424"/>
        <v>0</v>
      </c>
      <c r="AP308" s="323">
        <f t="shared" si="425"/>
        <v>0</v>
      </c>
      <c r="AQ308" s="186" t="s">
        <v>1257</v>
      </c>
      <c r="AR308" s="199" t="s">
        <v>420</v>
      </c>
      <c r="AT308" s="186"/>
      <c r="AU308" s="186"/>
    </row>
    <row r="309" spans="1:47" s="182" customFormat="1" ht="15" customHeight="1" x14ac:dyDescent="0.35">
      <c r="A309" s="480" t="s">
        <v>274</v>
      </c>
      <c r="B309" s="861" t="s">
        <v>1270</v>
      </c>
      <c r="C309" s="862"/>
      <c r="D309" s="862"/>
      <c r="E309" s="862"/>
      <c r="F309" s="862"/>
      <c r="G309" s="862"/>
      <c r="H309" s="863"/>
      <c r="I309" s="481">
        <f>SUM(I310:I317)</f>
        <v>51600</v>
      </c>
      <c r="J309" s="482">
        <f t="shared" ref="J309:M309" si="472">SUM(J310:J317)</f>
        <v>0</v>
      </c>
      <c r="K309" s="482">
        <f t="shared" si="472"/>
        <v>51600</v>
      </c>
      <c r="L309" s="482">
        <f t="shared" si="472"/>
        <v>0</v>
      </c>
      <c r="M309" s="482">
        <f t="shared" si="472"/>
        <v>0</v>
      </c>
      <c r="N309" s="481">
        <f>SUM(N310:N317)</f>
        <v>0</v>
      </c>
      <c r="O309" s="508"/>
      <c r="Q309" s="538"/>
      <c r="R309" s="538"/>
      <c r="S309" s="538"/>
      <c r="T309" s="538"/>
      <c r="U309" s="538"/>
      <c r="V309" s="484"/>
      <c r="W309" s="482">
        <f t="shared" ref="W309:X309" si="473">SUM(W310:W317)</f>
        <v>0</v>
      </c>
      <c r="X309" s="482">
        <f t="shared" si="473"/>
        <v>0</v>
      </c>
      <c r="Y309" s="482">
        <f>SUM(Y310:Y317)</f>
        <v>0</v>
      </c>
      <c r="Z309" s="482"/>
      <c r="AA309" s="482"/>
      <c r="AB309" s="481">
        <f>SUM(AB310:AB317)</f>
        <v>0</v>
      </c>
      <c r="AC309" s="508"/>
      <c r="AD309" s="234"/>
      <c r="AE309" s="247" t="s">
        <v>274</v>
      </c>
      <c r="AF309" s="204" t="str">
        <f t="shared" si="426"/>
        <v>Contribuer à l'organisation de dénombrement, diagnostic communautaire et élaboration de plan d'action communautaire</v>
      </c>
      <c r="AG309" s="485">
        <f t="shared" si="437"/>
        <v>1</v>
      </c>
      <c r="AH309" s="485">
        <f t="shared" si="438"/>
        <v>0</v>
      </c>
      <c r="AI309" s="482">
        <f t="shared" si="439"/>
        <v>51600</v>
      </c>
      <c r="AJ309" s="482">
        <f t="shared" si="418"/>
        <v>0</v>
      </c>
      <c r="AK309" s="482">
        <f t="shared" si="440"/>
        <v>0</v>
      </c>
      <c r="AL309" s="482">
        <f t="shared" si="420"/>
        <v>51600</v>
      </c>
      <c r="AM309" s="314">
        <f t="shared" si="422"/>
        <v>51600</v>
      </c>
      <c r="AN309" s="314">
        <f t="shared" si="423"/>
        <v>0</v>
      </c>
      <c r="AO309" s="314">
        <f t="shared" si="424"/>
        <v>0</v>
      </c>
      <c r="AP309" s="314">
        <f t="shared" si="425"/>
        <v>0</v>
      </c>
      <c r="AQ309" s="186"/>
    </row>
    <row r="310" spans="1:47" s="186" customFormat="1" x14ac:dyDescent="0.3">
      <c r="A310" s="488"/>
      <c r="B310" s="489" t="s">
        <v>1271</v>
      </c>
      <c r="C310" s="489"/>
      <c r="D310" s="490"/>
      <c r="E310" s="491"/>
      <c r="F310" s="492"/>
      <c r="G310" s="493">
        <v>1</v>
      </c>
      <c r="H310" s="493">
        <v>0</v>
      </c>
      <c r="I310" s="494">
        <f t="shared" ref="I310:I317" si="474">D310*E310*F310*G310</f>
        <v>0</v>
      </c>
      <c r="J310" s="495">
        <f t="shared" ref="J310:J317" si="475">D310*E310*F310*H310</f>
        <v>0</v>
      </c>
      <c r="K310" s="495">
        <f t="shared" ref="K310:K317" si="476">I310</f>
        <v>0</v>
      </c>
      <c r="L310" s="495"/>
      <c r="M310" s="495"/>
      <c r="N310" s="494"/>
      <c r="O310" s="496"/>
      <c r="P310" s="169"/>
      <c r="Q310" s="489"/>
      <c r="R310" s="490"/>
      <c r="S310" s="491"/>
      <c r="T310" s="492"/>
      <c r="U310" s="493">
        <v>1</v>
      </c>
      <c r="V310" s="493">
        <v>0</v>
      </c>
      <c r="W310" s="495">
        <f t="shared" ref="W310:W317" si="477">R310*S310*T310*U310</f>
        <v>0</v>
      </c>
      <c r="X310" s="495">
        <f t="shared" ref="X310:X317" si="478">R310*S310*T310*V310</f>
        <v>0</v>
      </c>
      <c r="Y310" s="495">
        <f t="shared" ref="Y310:Y317" si="479">W310</f>
        <v>0</v>
      </c>
      <c r="Z310" s="495"/>
      <c r="AA310" s="495"/>
      <c r="AB310" s="494"/>
      <c r="AC310" s="498"/>
      <c r="AD310" s="182"/>
      <c r="AE310" s="204"/>
      <c r="AF310" s="204" t="str">
        <f t="shared" si="426"/>
        <v>Denombrement dans les 16 AS non ciblées par C4D durant l'année 1</v>
      </c>
      <c r="AG310" s="493"/>
      <c r="AH310" s="493"/>
      <c r="AI310" s="495"/>
      <c r="AJ310" s="495">
        <f t="shared" si="418"/>
        <v>0</v>
      </c>
      <c r="AK310" s="495"/>
      <c r="AL310" s="495">
        <f t="shared" si="420"/>
        <v>0</v>
      </c>
      <c r="AM310" s="317">
        <f t="shared" si="422"/>
        <v>0</v>
      </c>
      <c r="AN310" s="317">
        <f t="shared" si="423"/>
        <v>0</v>
      </c>
      <c r="AO310" s="317">
        <f t="shared" si="424"/>
        <v>0</v>
      </c>
      <c r="AP310" s="317">
        <f t="shared" si="425"/>
        <v>0</v>
      </c>
    </row>
    <row r="311" spans="1:47" s="199" customFormat="1" ht="26" x14ac:dyDescent="0.35">
      <c r="A311" s="408">
        <v>1</v>
      </c>
      <c r="B311" s="409" t="s">
        <v>1272</v>
      </c>
      <c r="C311" s="409" t="s">
        <v>1273</v>
      </c>
      <c r="D311" s="410">
        <v>2</v>
      </c>
      <c r="E311" s="411">
        <v>1290</v>
      </c>
      <c r="F311" s="412">
        <v>1</v>
      </c>
      <c r="G311" s="413">
        <v>1</v>
      </c>
      <c r="H311" s="413">
        <v>0</v>
      </c>
      <c r="I311" s="414">
        <f t="shared" si="474"/>
        <v>2580</v>
      </c>
      <c r="J311" s="415">
        <f t="shared" si="475"/>
        <v>0</v>
      </c>
      <c r="K311" s="415">
        <f t="shared" si="476"/>
        <v>2580</v>
      </c>
      <c r="L311" s="415"/>
      <c r="M311" s="415"/>
      <c r="N311" s="416">
        <v>0</v>
      </c>
      <c r="O311" s="417" t="s">
        <v>1274</v>
      </c>
      <c r="P311" s="200"/>
      <c r="Q311" s="409"/>
      <c r="R311" s="418"/>
      <c r="S311" s="411"/>
      <c r="T311" s="411"/>
      <c r="U311" s="413">
        <v>1</v>
      </c>
      <c r="V311" s="413">
        <v>0</v>
      </c>
      <c r="W311" s="419">
        <f t="shared" si="477"/>
        <v>0</v>
      </c>
      <c r="X311" s="415">
        <f t="shared" si="478"/>
        <v>0</v>
      </c>
      <c r="Y311" s="415">
        <f t="shared" si="479"/>
        <v>0</v>
      </c>
      <c r="Z311" s="415"/>
      <c r="AA311" s="415"/>
      <c r="AB311" s="416">
        <f t="shared" ref="AB311" si="480">R311*S311*T311*U311</f>
        <v>0</v>
      </c>
      <c r="AC311" s="417"/>
      <c r="AD311" s="227"/>
      <c r="AE311" s="241">
        <v>1</v>
      </c>
      <c r="AF311" s="204" t="str">
        <f t="shared" si="426"/>
        <v>Reprodution carnets de denombrement NUTRITION dans les villages non ciblé par la C4D l'année 1 (258 Villages non ciblées l'année 1)</v>
      </c>
      <c r="AG311" s="413"/>
      <c r="AH311" s="413"/>
      <c r="AI311" s="419">
        <f>I311+W311</f>
        <v>2580</v>
      </c>
      <c r="AJ311" s="419">
        <f t="shared" si="418"/>
        <v>0</v>
      </c>
      <c r="AK311" s="415">
        <f>J311+X311</f>
        <v>0</v>
      </c>
      <c r="AL311" s="415">
        <f t="shared" si="420"/>
        <v>2580</v>
      </c>
      <c r="AM311" s="323">
        <f t="shared" si="422"/>
        <v>2580</v>
      </c>
      <c r="AN311" s="323">
        <f t="shared" si="423"/>
        <v>0</v>
      </c>
      <c r="AO311" s="323">
        <f t="shared" si="424"/>
        <v>0</v>
      </c>
      <c r="AP311" s="323">
        <f t="shared" si="425"/>
        <v>0</v>
      </c>
      <c r="AQ311" s="186" t="s">
        <v>1257</v>
      </c>
      <c r="AR311" s="199" t="s">
        <v>420</v>
      </c>
      <c r="AT311" s="186"/>
      <c r="AU311" s="186"/>
    </row>
    <row r="312" spans="1:47" s="186" customFormat="1" x14ac:dyDescent="0.3">
      <c r="A312" s="488"/>
      <c r="B312" s="489" t="s">
        <v>1275</v>
      </c>
      <c r="C312" s="489"/>
      <c r="D312" s="490"/>
      <c r="E312" s="491"/>
      <c r="F312" s="492"/>
      <c r="G312" s="493">
        <v>1</v>
      </c>
      <c r="H312" s="493">
        <v>0</v>
      </c>
      <c r="I312" s="494">
        <f t="shared" si="474"/>
        <v>0</v>
      </c>
      <c r="J312" s="495">
        <f t="shared" si="475"/>
        <v>0</v>
      </c>
      <c r="K312" s="495">
        <f t="shared" si="476"/>
        <v>0</v>
      </c>
      <c r="L312" s="495"/>
      <c r="M312" s="495"/>
      <c r="N312" s="494"/>
      <c r="O312" s="496"/>
      <c r="P312" s="169"/>
      <c r="Q312" s="489"/>
      <c r="R312" s="490"/>
      <c r="S312" s="491"/>
      <c r="T312" s="492"/>
      <c r="U312" s="493">
        <v>1</v>
      </c>
      <c r="V312" s="493">
        <v>0</v>
      </c>
      <c r="W312" s="495">
        <f t="shared" si="477"/>
        <v>0</v>
      </c>
      <c r="X312" s="495">
        <f t="shared" si="478"/>
        <v>0</v>
      </c>
      <c r="Y312" s="495">
        <f t="shared" si="479"/>
        <v>0</v>
      </c>
      <c r="Z312" s="495"/>
      <c r="AA312" s="495"/>
      <c r="AB312" s="494"/>
      <c r="AC312" s="498"/>
      <c r="AD312" s="182"/>
      <c r="AE312" s="204"/>
      <c r="AF312" s="204" t="str">
        <f t="shared" si="426"/>
        <v>Diagnostic communautaire dans les 16 AS non ciblées par C4D durant l'année 1</v>
      </c>
      <c r="AG312" s="493"/>
      <c r="AH312" s="493"/>
      <c r="AI312" s="495"/>
      <c r="AJ312" s="495">
        <f t="shared" si="418"/>
        <v>0</v>
      </c>
      <c r="AK312" s="495"/>
      <c r="AL312" s="495">
        <f t="shared" si="420"/>
        <v>0</v>
      </c>
      <c r="AM312" s="317">
        <f t="shared" si="422"/>
        <v>0</v>
      </c>
      <c r="AN312" s="317">
        <f t="shared" si="423"/>
        <v>0</v>
      </c>
      <c r="AO312" s="317">
        <f t="shared" si="424"/>
        <v>0</v>
      </c>
      <c r="AP312" s="317">
        <f t="shared" si="425"/>
        <v>0</v>
      </c>
      <c r="AQ312" s="186" t="s">
        <v>1257</v>
      </c>
    </row>
    <row r="313" spans="1:47" s="199" customFormat="1" ht="26" x14ac:dyDescent="0.35">
      <c r="A313" s="408">
        <v>2</v>
      </c>
      <c r="B313" s="409" t="s">
        <v>1276</v>
      </c>
      <c r="C313" s="409" t="s">
        <v>90</v>
      </c>
      <c r="D313" s="410">
        <v>2</v>
      </c>
      <c r="E313" s="411">
        <v>2580</v>
      </c>
      <c r="F313" s="412">
        <v>1</v>
      </c>
      <c r="G313" s="413">
        <v>1</v>
      </c>
      <c r="H313" s="413">
        <v>0</v>
      </c>
      <c r="I313" s="414">
        <f t="shared" si="474"/>
        <v>5160</v>
      </c>
      <c r="J313" s="415">
        <f t="shared" si="475"/>
        <v>0</v>
      </c>
      <c r="K313" s="415">
        <f t="shared" si="476"/>
        <v>5160</v>
      </c>
      <c r="L313" s="415"/>
      <c r="M313" s="415"/>
      <c r="N313" s="416">
        <v>0</v>
      </c>
      <c r="O313" s="417" t="s">
        <v>1277</v>
      </c>
      <c r="P313" s="200"/>
      <c r="Q313" s="409"/>
      <c r="R313" s="418"/>
      <c r="S313" s="411"/>
      <c r="T313" s="411"/>
      <c r="U313" s="413">
        <v>1</v>
      </c>
      <c r="V313" s="413">
        <v>0</v>
      </c>
      <c r="W313" s="419">
        <f t="shared" si="477"/>
        <v>0</v>
      </c>
      <c r="X313" s="415">
        <f t="shared" si="478"/>
        <v>0</v>
      </c>
      <c r="Y313" s="415">
        <f t="shared" si="479"/>
        <v>0</v>
      </c>
      <c r="Z313" s="415"/>
      <c r="AA313" s="415"/>
      <c r="AB313" s="416">
        <v>0</v>
      </c>
      <c r="AC313" s="417"/>
      <c r="AD313" s="227"/>
      <c r="AE313" s="241">
        <v>2</v>
      </c>
      <c r="AF313" s="204" t="str">
        <f t="shared" si="426"/>
        <v>Pause café des participants pendant les focus groupe pour poser le diagnostic specifique NUTRITION dans les villages non ciblé par la C4D l'année 1</v>
      </c>
      <c r="AG313" s="413">
        <f>AI313/($AI313+$AK313)</f>
        <v>1</v>
      </c>
      <c r="AH313" s="413">
        <f>AK313/($AI313+$AK313)</f>
        <v>0</v>
      </c>
      <c r="AI313" s="419">
        <f>I313+W313</f>
        <v>5160</v>
      </c>
      <c r="AJ313" s="419">
        <f t="shared" si="418"/>
        <v>0</v>
      </c>
      <c r="AK313" s="415">
        <f>J313+X313</f>
        <v>0</v>
      </c>
      <c r="AL313" s="415">
        <f t="shared" si="420"/>
        <v>5160</v>
      </c>
      <c r="AM313" s="323">
        <f t="shared" si="422"/>
        <v>5160</v>
      </c>
      <c r="AN313" s="323">
        <f t="shared" si="423"/>
        <v>0</v>
      </c>
      <c r="AO313" s="323">
        <f t="shared" si="424"/>
        <v>0</v>
      </c>
      <c r="AP313" s="323">
        <f t="shared" si="425"/>
        <v>0</v>
      </c>
      <c r="AQ313" s="186" t="s">
        <v>1257</v>
      </c>
      <c r="AR313" s="199" t="s">
        <v>420</v>
      </c>
      <c r="AT313" s="186"/>
      <c r="AU313" s="186"/>
    </row>
    <row r="314" spans="1:47" s="199" customFormat="1" ht="26" x14ac:dyDescent="0.35">
      <c r="A314" s="408">
        <v>3</v>
      </c>
      <c r="B314" s="409" t="s">
        <v>1278</v>
      </c>
      <c r="C314" s="409" t="s">
        <v>90</v>
      </c>
      <c r="D314" s="410">
        <v>5</v>
      </c>
      <c r="E314" s="411">
        <v>2580</v>
      </c>
      <c r="F314" s="412">
        <v>1</v>
      </c>
      <c r="G314" s="413">
        <v>1</v>
      </c>
      <c r="H314" s="413">
        <v>0</v>
      </c>
      <c r="I314" s="414">
        <f t="shared" si="474"/>
        <v>12900</v>
      </c>
      <c r="J314" s="415">
        <f t="shared" si="475"/>
        <v>0</v>
      </c>
      <c r="K314" s="415">
        <f t="shared" si="476"/>
        <v>12900</v>
      </c>
      <c r="L314" s="415"/>
      <c r="M314" s="415"/>
      <c r="N314" s="416">
        <v>0</v>
      </c>
      <c r="O314" s="417" t="s">
        <v>1279</v>
      </c>
      <c r="P314" s="200"/>
      <c r="Q314" s="409"/>
      <c r="R314" s="418"/>
      <c r="S314" s="411"/>
      <c r="T314" s="411"/>
      <c r="U314" s="413">
        <v>1</v>
      </c>
      <c r="V314" s="413">
        <v>0</v>
      </c>
      <c r="W314" s="419">
        <f t="shared" si="477"/>
        <v>0</v>
      </c>
      <c r="X314" s="415">
        <f t="shared" si="478"/>
        <v>0</v>
      </c>
      <c r="Y314" s="415">
        <f t="shared" si="479"/>
        <v>0</v>
      </c>
      <c r="Z314" s="415"/>
      <c r="AA314" s="415"/>
      <c r="AB314" s="416">
        <v>0</v>
      </c>
      <c r="AC314" s="417"/>
      <c r="AD314" s="227"/>
      <c r="AE314" s="241">
        <v>3</v>
      </c>
      <c r="AF314" s="204" t="str">
        <f t="shared" si="426"/>
        <v>Pause repas des participants pendant les focus groupe pour poser le diagnostic et priorites sectorielles</v>
      </c>
      <c r="AG314" s="413">
        <f>AI314/($AI314+$AK314)</f>
        <v>1</v>
      </c>
      <c r="AH314" s="413">
        <f>AK314/($AI314+$AK314)</f>
        <v>0</v>
      </c>
      <c r="AI314" s="419">
        <f>I314+W314</f>
        <v>12900</v>
      </c>
      <c r="AJ314" s="419">
        <f t="shared" si="418"/>
        <v>0</v>
      </c>
      <c r="AK314" s="415">
        <f>J314+X314</f>
        <v>0</v>
      </c>
      <c r="AL314" s="415">
        <f t="shared" si="420"/>
        <v>12900</v>
      </c>
      <c r="AM314" s="323">
        <f t="shared" si="422"/>
        <v>12900</v>
      </c>
      <c r="AN314" s="323">
        <f t="shared" si="423"/>
        <v>0</v>
      </c>
      <c r="AO314" s="323">
        <f t="shared" si="424"/>
        <v>0</v>
      </c>
      <c r="AP314" s="323">
        <f t="shared" si="425"/>
        <v>0</v>
      </c>
      <c r="AQ314" s="186" t="s">
        <v>1257</v>
      </c>
      <c r="AR314" s="199" t="s">
        <v>420</v>
      </c>
      <c r="AT314" s="186"/>
      <c r="AU314" s="186"/>
    </row>
    <row r="315" spans="1:47" s="186" customFormat="1" ht="26" x14ac:dyDescent="0.3">
      <c r="A315" s="488"/>
      <c r="B315" s="489" t="s">
        <v>1280</v>
      </c>
      <c r="C315" s="489"/>
      <c r="D315" s="490"/>
      <c r="E315" s="491"/>
      <c r="F315" s="492"/>
      <c r="G315" s="493">
        <v>1</v>
      </c>
      <c r="H315" s="493">
        <v>0</v>
      </c>
      <c r="I315" s="494">
        <f t="shared" si="474"/>
        <v>0</v>
      </c>
      <c r="J315" s="495">
        <f t="shared" si="475"/>
        <v>0</v>
      </c>
      <c r="K315" s="495">
        <f t="shared" si="476"/>
        <v>0</v>
      </c>
      <c r="L315" s="495"/>
      <c r="M315" s="495"/>
      <c r="N315" s="494"/>
      <c r="O315" s="496"/>
      <c r="P315" s="169"/>
      <c r="Q315" s="489"/>
      <c r="R315" s="490"/>
      <c r="S315" s="491"/>
      <c r="T315" s="492"/>
      <c r="U315" s="493">
        <v>1</v>
      </c>
      <c r="V315" s="493">
        <v>0</v>
      </c>
      <c r="W315" s="495">
        <f t="shared" si="477"/>
        <v>0</v>
      </c>
      <c r="X315" s="495">
        <f t="shared" si="478"/>
        <v>0</v>
      </c>
      <c r="Y315" s="495">
        <f t="shared" si="479"/>
        <v>0</v>
      </c>
      <c r="Z315" s="495"/>
      <c r="AA315" s="495"/>
      <c r="AB315" s="494"/>
      <c r="AC315" s="498"/>
      <c r="AD315" s="182"/>
      <c r="AE315" s="204"/>
      <c r="AF315" s="204" t="str">
        <f t="shared" si="426"/>
        <v>Elaboration de plans d'actions communautaires nutrition dans les 16 AS non ciblées par C4D durant l'année 1</v>
      </c>
      <c r="AG315" s="493"/>
      <c r="AH315" s="493"/>
      <c r="AI315" s="495"/>
      <c r="AJ315" s="495">
        <f t="shared" si="418"/>
        <v>0</v>
      </c>
      <c r="AK315" s="495"/>
      <c r="AL315" s="495">
        <f t="shared" si="420"/>
        <v>0</v>
      </c>
      <c r="AM315" s="317">
        <f t="shared" si="422"/>
        <v>0</v>
      </c>
      <c r="AN315" s="317">
        <f t="shared" si="423"/>
        <v>0</v>
      </c>
      <c r="AO315" s="317">
        <f t="shared" si="424"/>
        <v>0</v>
      </c>
      <c r="AP315" s="317">
        <f t="shared" si="425"/>
        <v>0</v>
      </c>
    </row>
    <row r="316" spans="1:47" s="199" customFormat="1" ht="26" x14ac:dyDescent="0.35">
      <c r="A316" s="408">
        <v>4</v>
      </c>
      <c r="B316" s="409" t="s">
        <v>1281</v>
      </c>
      <c r="C316" s="409" t="s">
        <v>90</v>
      </c>
      <c r="D316" s="410">
        <v>5</v>
      </c>
      <c r="E316" s="411">
        <v>2580</v>
      </c>
      <c r="F316" s="412">
        <v>1</v>
      </c>
      <c r="G316" s="413">
        <v>1</v>
      </c>
      <c r="H316" s="413">
        <v>0</v>
      </c>
      <c r="I316" s="414">
        <f t="shared" si="474"/>
        <v>12900</v>
      </c>
      <c r="J316" s="415">
        <f t="shared" si="475"/>
        <v>0</v>
      </c>
      <c r="K316" s="415">
        <f t="shared" si="476"/>
        <v>12900</v>
      </c>
      <c r="L316" s="415"/>
      <c r="M316" s="415"/>
      <c r="N316" s="416">
        <v>0</v>
      </c>
      <c r="O316" s="417" t="s">
        <v>1282</v>
      </c>
      <c r="P316" s="200"/>
      <c r="Q316" s="409"/>
      <c r="R316" s="418"/>
      <c r="S316" s="411"/>
      <c r="T316" s="411"/>
      <c r="U316" s="413">
        <v>1</v>
      </c>
      <c r="V316" s="413">
        <v>0</v>
      </c>
      <c r="W316" s="419">
        <f t="shared" si="477"/>
        <v>0</v>
      </c>
      <c r="X316" s="415">
        <f t="shared" si="478"/>
        <v>0</v>
      </c>
      <c r="Y316" s="415">
        <f t="shared" si="479"/>
        <v>0</v>
      </c>
      <c r="Z316" s="415"/>
      <c r="AA316" s="415"/>
      <c r="AB316" s="416">
        <v>0</v>
      </c>
      <c r="AC316" s="417"/>
      <c r="AD316" s="227"/>
      <c r="AE316" s="241">
        <v>4</v>
      </c>
      <c r="AF316" s="204" t="str">
        <f t="shared" si="426"/>
        <v>Transport des participants lors de l'elaboration de PAC</v>
      </c>
      <c r="AG316" s="413">
        <f t="shared" ref="AG316:AG334" si="481">AI316/($AI316+$AK316)</f>
        <v>1</v>
      </c>
      <c r="AH316" s="413">
        <f t="shared" ref="AH316:AH334" si="482">AK316/($AI316+$AK316)</f>
        <v>0</v>
      </c>
      <c r="AI316" s="419">
        <f t="shared" ref="AI316:AI335" si="483">I316+W316</f>
        <v>12900</v>
      </c>
      <c r="AJ316" s="419">
        <f t="shared" si="418"/>
        <v>0</v>
      </c>
      <c r="AK316" s="415">
        <f t="shared" ref="AK316:AK335" si="484">J316+X316</f>
        <v>0</v>
      </c>
      <c r="AL316" s="415">
        <f t="shared" si="420"/>
        <v>12900</v>
      </c>
      <c r="AM316" s="323">
        <f t="shared" si="422"/>
        <v>12900</v>
      </c>
      <c r="AN316" s="323">
        <f t="shared" si="423"/>
        <v>0</v>
      </c>
      <c r="AO316" s="323">
        <f t="shared" si="424"/>
        <v>0</v>
      </c>
      <c r="AP316" s="323">
        <f t="shared" si="425"/>
        <v>0</v>
      </c>
      <c r="AQ316" s="186" t="s">
        <v>1257</v>
      </c>
      <c r="AR316" s="199" t="s">
        <v>420</v>
      </c>
      <c r="AT316" s="186"/>
      <c r="AU316" s="186"/>
    </row>
    <row r="317" spans="1:47" s="199" customFormat="1" ht="26" x14ac:dyDescent="0.35">
      <c r="A317" s="408">
        <v>5</v>
      </c>
      <c r="B317" s="409" t="s">
        <v>1283</v>
      </c>
      <c r="C317" s="409" t="s">
        <v>90</v>
      </c>
      <c r="D317" s="410">
        <v>7</v>
      </c>
      <c r="E317" s="411">
        <v>2580</v>
      </c>
      <c r="F317" s="412">
        <v>1</v>
      </c>
      <c r="G317" s="413">
        <v>1</v>
      </c>
      <c r="H317" s="413">
        <v>0</v>
      </c>
      <c r="I317" s="414">
        <f t="shared" si="474"/>
        <v>18060</v>
      </c>
      <c r="J317" s="415">
        <f t="shared" si="475"/>
        <v>0</v>
      </c>
      <c r="K317" s="415">
        <f t="shared" si="476"/>
        <v>18060</v>
      </c>
      <c r="L317" s="415"/>
      <c r="M317" s="415"/>
      <c r="N317" s="416">
        <v>0</v>
      </c>
      <c r="O317" s="417" t="s">
        <v>1284</v>
      </c>
      <c r="P317" s="200"/>
      <c r="Q317" s="409"/>
      <c r="R317" s="418"/>
      <c r="S317" s="411"/>
      <c r="T317" s="411"/>
      <c r="U317" s="413">
        <v>1</v>
      </c>
      <c r="V317" s="413">
        <v>0</v>
      </c>
      <c r="W317" s="419">
        <f t="shared" si="477"/>
        <v>0</v>
      </c>
      <c r="X317" s="415">
        <f t="shared" si="478"/>
        <v>0</v>
      </c>
      <c r="Y317" s="415">
        <f t="shared" si="479"/>
        <v>0</v>
      </c>
      <c r="Z317" s="415"/>
      <c r="AA317" s="415"/>
      <c r="AB317" s="416">
        <v>0</v>
      </c>
      <c r="AC317" s="417"/>
      <c r="AD317" s="227"/>
      <c r="AE317" s="241">
        <v>5</v>
      </c>
      <c r="AF317" s="204" t="str">
        <f t="shared" si="426"/>
        <v>Pause café et Pause repas des participants pendant l'elaboration de PAC</v>
      </c>
      <c r="AG317" s="413">
        <f t="shared" si="481"/>
        <v>1</v>
      </c>
      <c r="AH317" s="413">
        <f t="shared" si="482"/>
        <v>0</v>
      </c>
      <c r="AI317" s="419">
        <f t="shared" si="483"/>
        <v>18060</v>
      </c>
      <c r="AJ317" s="419">
        <f t="shared" si="418"/>
        <v>0</v>
      </c>
      <c r="AK317" s="415">
        <f t="shared" si="484"/>
        <v>0</v>
      </c>
      <c r="AL317" s="415">
        <f t="shared" si="420"/>
        <v>18060</v>
      </c>
      <c r="AM317" s="323">
        <f t="shared" si="422"/>
        <v>18060</v>
      </c>
      <c r="AN317" s="323">
        <f t="shared" si="423"/>
        <v>0</v>
      </c>
      <c r="AO317" s="323">
        <f t="shared" si="424"/>
        <v>0</v>
      </c>
      <c r="AP317" s="323">
        <f t="shared" si="425"/>
        <v>0</v>
      </c>
      <c r="AQ317" s="186" t="s">
        <v>1257</v>
      </c>
      <c r="AR317" s="199" t="s">
        <v>420</v>
      </c>
      <c r="AT317" s="186"/>
      <c r="AU317" s="186"/>
    </row>
    <row r="318" spans="1:47" ht="30" customHeight="1" x14ac:dyDescent="0.3">
      <c r="A318" s="480" t="s">
        <v>275</v>
      </c>
      <c r="B318" s="861" t="s">
        <v>1285</v>
      </c>
      <c r="C318" s="862"/>
      <c r="D318" s="862"/>
      <c r="E318" s="862"/>
      <c r="F318" s="862"/>
      <c r="G318" s="862"/>
      <c r="H318" s="863"/>
      <c r="I318" s="481">
        <f t="shared" ref="I318:N318" si="485">SUM(I319:I323)</f>
        <v>118541</v>
      </c>
      <c r="J318" s="482">
        <f t="shared" si="485"/>
        <v>279</v>
      </c>
      <c r="K318" s="482">
        <f t="shared" si="485"/>
        <v>82134.090909090912</v>
      </c>
      <c r="L318" s="482">
        <f t="shared" si="485"/>
        <v>24119.090909090908</v>
      </c>
      <c r="M318" s="482">
        <f t="shared" si="485"/>
        <v>12287.818181818182</v>
      </c>
      <c r="N318" s="481">
        <f t="shared" si="485"/>
        <v>0</v>
      </c>
      <c r="O318" s="508"/>
      <c r="Q318" s="538"/>
      <c r="R318" s="539"/>
      <c r="S318" s="538"/>
      <c r="T318" s="539"/>
      <c r="U318" s="539"/>
      <c r="V318" s="484"/>
      <c r="W318" s="482">
        <f t="shared" ref="W318:Y318" si="486">SUM(W319:W323)</f>
        <v>122231</v>
      </c>
      <c r="X318" s="482">
        <f t="shared" si="486"/>
        <v>279</v>
      </c>
      <c r="Y318" s="482">
        <f t="shared" si="486"/>
        <v>40743.666666666664</v>
      </c>
      <c r="Z318" s="482">
        <f t="shared" ref="Z318:AB318" si="487">SUM(Z319:Z323)</f>
        <v>40743.666666666664</v>
      </c>
      <c r="AA318" s="482">
        <f t="shared" si="487"/>
        <v>40743.666666666664</v>
      </c>
      <c r="AB318" s="481">
        <f t="shared" si="487"/>
        <v>0</v>
      </c>
      <c r="AC318" s="508"/>
      <c r="AD318" s="234"/>
      <c r="AE318" s="247" t="s">
        <v>275</v>
      </c>
      <c r="AF318" s="204" t="str">
        <f t="shared" si="426"/>
        <v>Renforcer la promotion de l’alimentation du nouveau-né et du jeune enfant (ANJE) comme partie intégrante des PFE dans tous les points de contacts, notamment dans la communauté (Visites à domicile, groupe de soutien, discussions communautaires, Organisations à base communautaire, Associations paysannes, etc.)</v>
      </c>
      <c r="AG318" s="485">
        <f t="shared" si="481"/>
        <v>0.99768781336758794</v>
      </c>
      <c r="AH318" s="485">
        <f t="shared" si="482"/>
        <v>2.3121866324120497E-3</v>
      </c>
      <c r="AI318" s="482">
        <f t="shared" si="483"/>
        <v>240772</v>
      </c>
      <c r="AJ318" s="482">
        <f t="shared" si="418"/>
        <v>0</v>
      </c>
      <c r="AK318" s="482">
        <f t="shared" si="484"/>
        <v>558</v>
      </c>
      <c r="AL318" s="482">
        <f t="shared" ref="AL318:AL365" si="488">AI318+AJ318+AK318</f>
        <v>241330</v>
      </c>
      <c r="AM318" s="314">
        <f t="shared" si="422"/>
        <v>118541</v>
      </c>
      <c r="AN318" s="314">
        <f t="shared" si="423"/>
        <v>0</v>
      </c>
      <c r="AO318" s="314">
        <f t="shared" si="424"/>
        <v>122231</v>
      </c>
      <c r="AP318" s="314">
        <f t="shared" si="425"/>
        <v>0</v>
      </c>
    </row>
    <row r="319" spans="1:47" s="169" customFormat="1" x14ac:dyDescent="0.3">
      <c r="A319" s="509">
        <v>1</v>
      </c>
      <c r="B319" s="510" t="s">
        <v>1286</v>
      </c>
      <c r="C319" s="409" t="s">
        <v>1287</v>
      </c>
      <c r="D319" s="536">
        <v>30</v>
      </c>
      <c r="E319" s="411">
        <v>2830</v>
      </c>
      <c r="F319" s="512">
        <v>1</v>
      </c>
      <c r="G319" s="486">
        <v>1</v>
      </c>
      <c r="H319" s="486">
        <v>0</v>
      </c>
      <c r="I319" s="416">
        <f t="shared" ref="I319:I322" si="489">D319*E319*F319*G319</f>
        <v>84900</v>
      </c>
      <c r="J319" s="487">
        <f>D319*E319*F319*H319</f>
        <v>0</v>
      </c>
      <c r="K319" s="529">
        <f>I319*70/100</f>
        <v>59430</v>
      </c>
      <c r="L319" s="529">
        <f>I319*20/100</f>
        <v>16980</v>
      </c>
      <c r="M319" s="529">
        <f>I319*10/100</f>
        <v>8490</v>
      </c>
      <c r="N319" s="416">
        <v>0</v>
      </c>
      <c r="O319" s="507" t="s">
        <v>1288</v>
      </c>
      <c r="P319" s="171"/>
      <c r="Q319" s="409" t="s">
        <v>1287</v>
      </c>
      <c r="R319" s="516">
        <v>30</v>
      </c>
      <c r="S319" s="411">
        <v>2920</v>
      </c>
      <c r="T319" s="514">
        <v>1</v>
      </c>
      <c r="U319" s="486">
        <v>1</v>
      </c>
      <c r="V319" s="486">
        <v>0</v>
      </c>
      <c r="W319" s="506">
        <f t="shared" ref="W319:W322" si="490">R319*S319*T319*U319</f>
        <v>87600</v>
      </c>
      <c r="X319" s="487">
        <f>R319*S319*T319*V319</f>
        <v>0</v>
      </c>
      <c r="Y319" s="487">
        <f>W319*3/9</f>
        <v>29200</v>
      </c>
      <c r="Z319" s="487">
        <f>W319*3/9</f>
        <v>29200</v>
      </c>
      <c r="AA319" s="487">
        <f>W319*3/9</f>
        <v>29200</v>
      </c>
      <c r="AB319" s="416">
        <v>0</v>
      </c>
      <c r="AC319" s="417" t="s">
        <v>1288</v>
      </c>
      <c r="AD319" s="227"/>
      <c r="AE319" s="241">
        <v>1</v>
      </c>
      <c r="AF319" s="204" t="str">
        <f t="shared" si="426"/>
        <v>Reproduction des Boites à images ANJE en francais et en langue locale</v>
      </c>
      <c r="AG319" s="486"/>
      <c r="AH319" s="486"/>
      <c r="AI319" s="506">
        <f t="shared" si="483"/>
        <v>172500</v>
      </c>
      <c r="AJ319" s="506">
        <f t="shared" si="418"/>
        <v>0</v>
      </c>
      <c r="AK319" s="487">
        <f t="shared" si="484"/>
        <v>0</v>
      </c>
      <c r="AL319" s="487">
        <f t="shared" si="488"/>
        <v>172500</v>
      </c>
      <c r="AM319" s="316">
        <f t="shared" si="422"/>
        <v>84900</v>
      </c>
      <c r="AN319" s="316">
        <f t="shared" si="423"/>
        <v>0</v>
      </c>
      <c r="AO319" s="316">
        <f t="shared" si="424"/>
        <v>87600</v>
      </c>
      <c r="AP319" s="316">
        <f t="shared" si="425"/>
        <v>0</v>
      </c>
      <c r="AQ319" s="169" t="s">
        <v>898</v>
      </c>
      <c r="AR319" s="169" t="s">
        <v>420</v>
      </c>
    </row>
    <row r="320" spans="1:47" s="169" customFormat="1" ht="26" x14ac:dyDescent="0.3">
      <c r="A320" s="509">
        <v>2</v>
      </c>
      <c r="B320" s="510" t="s">
        <v>1289</v>
      </c>
      <c r="C320" s="409" t="s">
        <v>1007</v>
      </c>
      <c r="D320" s="536">
        <v>5</v>
      </c>
      <c r="E320" s="411">
        <v>2830</v>
      </c>
      <c r="F320" s="512">
        <v>1</v>
      </c>
      <c r="G320" s="486">
        <v>1</v>
      </c>
      <c r="H320" s="486">
        <v>0</v>
      </c>
      <c r="I320" s="416">
        <f t="shared" si="489"/>
        <v>14150</v>
      </c>
      <c r="J320" s="487">
        <f>D320*E320*F320*H320</f>
        <v>0</v>
      </c>
      <c r="K320" s="529">
        <f>I320*70/100</f>
        <v>9905</v>
      </c>
      <c r="L320" s="529">
        <f>I320*20/100</f>
        <v>2830</v>
      </c>
      <c r="M320" s="529">
        <f>I320*10/100</f>
        <v>1415</v>
      </c>
      <c r="N320" s="416">
        <v>0</v>
      </c>
      <c r="O320" s="507" t="s">
        <v>1290</v>
      </c>
      <c r="P320" s="171"/>
      <c r="Q320" s="409" t="s">
        <v>1007</v>
      </c>
      <c r="R320" s="516">
        <v>5</v>
      </c>
      <c r="S320" s="411">
        <v>2920</v>
      </c>
      <c r="T320" s="514">
        <v>1</v>
      </c>
      <c r="U320" s="486">
        <v>1</v>
      </c>
      <c r="V320" s="486">
        <v>0</v>
      </c>
      <c r="W320" s="506">
        <f t="shared" si="490"/>
        <v>14600</v>
      </c>
      <c r="X320" s="487">
        <f>R320*S320*T320*V320</f>
        <v>0</v>
      </c>
      <c r="Y320" s="487">
        <f>W320*3/9</f>
        <v>4866.666666666667</v>
      </c>
      <c r="Z320" s="487">
        <f>W320*3/9</f>
        <v>4866.666666666667</v>
      </c>
      <c r="AA320" s="487">
        <f>W320*3/9</f>
        <v>4866.666666666667</v>
      </c>
      <c r="AB320" s="416">
        <v>0</v>
      </c>
      <c r="AC320" s="417" t="s">
        <v>1290</v>
      </c>
      <c r="AD320" s="227"/>
      <c r="AE320" s="241">
        <v>2</v>
      </c>
      <c r="AF320" s="204" t="str">
        <f t="shared" si="426"/>
        <v>Reproduction  des outils ANJE (Formulaire de collecte et Registre ANJE)</v>
      </c>
      <c r="AG320" s="486"/>
      <c r="AH320" s="486"/>
      <c r="AI320" s="506">
        <f t="shared" si="483"/>
        <v>28750</v>
      </c>
      <c r="AJ320" s="506">
        <f t="shared" si="418"/>
        <v>0</v>
      </c>
      <c r="AK320" s="487">
        <f t="shared" si="484"/>
        <v>0</v>
      </c>
      <c r="AL320" s="487">
        <f t="shared" si="488"/>
        <v>28750</v>
      </c>
      <c r="AM320" s="316">
        <f t="shared" si="422"/>
        <v>14150</v>
      </c>
      <c r="AN320" s="316">
        <f t="shared" si="423"/>
        <v>0</v>
      </c>
      <c r="AO320" s="316">
        <f t="shared" si="424"/>
        <v>14600</v>
      </c>
      <c r="AP320" s="316">
        <f t="shared" si="425"/>
        <v>0</v>
      </c>
      <c r="AQ320" s="169" t="s">
        <v>898</v>
      </c>
      <c r="AR320" s="169" t="s">
        <v>420</v>
      </c>
    </row>
    <row r="321" spans="1:44" s="169" customFormat="1" x14ac:dyDescent="0.3">
      <c r="A321" s="509">
        <v>3</v>
      </c>
      <c r="B321" s="510" t="s">
        <v>1291</v>
      </c>
      <c r="C321" s="409" t="s">
        <v>1292</v>
      </c>
      <c r="D321" s="536">
        <v>1</v>
      </c>
      <c r="E321" s="411">
        <v>2830</v>
      </c>
      <c r="F321" s="512">
        <v>1</v>
      </c>
      <c r="G321" s="486">
        <v>1</v>
      </c>
      <c r="H321" s="486">
        <v>0</v>
      </c>
      <c r="I321" s="416">
        <f t="shared" si="489"/>
        <v>2830</v>
      </c>
      <c r="J321" s="487">
        <f>D321*E321*F321*H321</f>
        <v>0</v>
      </c>
      <c r="K321" s="529">
        <f>I321*70/100</f>
        <v>1981</v>
      </c>
      <c r="L321" s="529">
        <f>I321*20/100</f>
        <v>566</v>
      </c>
      <c r="M321" s="529">
        <f>I321*10/100</f>
        <v>283</v>
      </c>
      <c r="N321" s="416">
        <v>0</v>
      </c>
      <c r="O321" s="507" t="s">
        <v>1293</v>
      </c>
      <c r="P321" s="171"/>
      <c r="Q321" s="409" t="s">
        <v>1292</v>
      </c>
      <c r="R321" s="516">
        <v>1</v>
      </c>
      <c r="S321" s="411">
        <v>2920</v>
      </c>
      <c r="T321" s="514">
        <v>1</v>
      </c>
      <c r="U321" s="486">
        <v>1</v>
      </c>
      <c r="V321" s="486">
        <v>0</v>
      </c>
      <c r="W321" s="506">
        <f t="shared" si="490"/>
        <v>2920</v>
      </c>
      <c r="X321" s="487">
        <f>R321*S321*T321*V321</f>
        <v>0</v>
      </c>
      <c r="Y321" s="487">
        <f>W321*3/9</f>
        <v>973.33333333333337</v>
      </c>
      <c r="Z321" s="487">
        <f>W321*3/9</f>
        <v>973.33333333333337</v>
      </c>
      <c r="AA321" s="487">
        <f>W321*3/9</f>
        <v>973.33333333333337</v>
      </c>
      <c r="AB321" s="416">
        <v>0</v>
      </c>
      <c r="AC321" s="417" t="s">
        <v>1293</v>
      </c>
      <c r="AD321" s="227"/>
      <c r="AE321" s="241">
        <v>3</v>
      </c>
      <c r="AF321" s="204" t="str">
        <f t="shared" si="426"/>
        <v>Posters avec messages ANJE en francais et en langue locale</v>
      </c>
      <c r="AG321" s="486"/>
      <c r="AH321" s="486"/>
      <c r="AI321" s="506">
        <f t="shared" si="483"/>
        <v>5750</v>
      </c>
      <c r="AJ321" s="506">
        <f t="shared" si="418"/>
        <v>0</v>
      </c>
      <c r="AK321" s="487">
        <f t="shared" si="484"/>
        <v>0</v>
      </c>
      <c r="AL321" s="487">
        <f t="shared" si="488"/>
        <v>5750</v>
      </c>
      <c r="AM321" s="316">
        <f t="shared" si="422"/>
        <v>2830</v>
      </c>
      <c r="AN321" s="316">
        <f t="shared" si="423"/>
        <v>0</v>
      </c>
      <c r="AO321" s="316">
        <f t="shared" si="424"/>
        <v>2920</v>
      </c>
      <c r="AP321" s="316">
        <f t="shared" si="425"/>
        <v>0</v>
      </c>
      <c r="AQ321" s="169" t="s">
        <v>898</v>
      </c>
      <c r="AR321" s="169" t="s">
        <v>420</v>
      </c>
    </row>
    <row r="322" spans="1:44" s="169" customFormat="1" x14ac:dyDescent="0.3">
      <c r="A322" s="509">
        <v>4</v>
      </c>
      <c r="B322" s="510" t="s">
        <v>1294</v>
      </c>
      <c r="C322" s="409" t="s">
        <v>1295</v>
      </c>
      <c r="D322" s="536">
        <v>0.5</v>
      </c>
      <c r="E322" s="411">
        <v>28300</v>
      </c>
      <c r="F322" s="512">
        <v>1</v>
      </c>
      <c r="G322" s="486">
        <v>1</v>
      </c>
      <c r="H322" s="486">
        <v>0</v>
      </c>
      <c r="I322" s="416">
        <f t="shared" si="489"/>
        <v>14150</v>
      </c>
      <c r="J322" s="487">
        <f>D322*E322*F322*H322</f>
        <v>0</v>
      </c>
      <c r="K322" s="529">
        <f>I322*70/100</f>
        <v>9905</v>
      </c>
      <c r="L322" s="529">
        <f>I322*20/100</f>
        <v>2830</v>
      </c>
      <c r="M322" s="529">
        <f>I322*10/100</f>
        <v>1415</v>
      </c>
      <c r="N322" s="416">
        <v>0</v>
      </c>
      <c r="O322" s="507" t="s">
        <v>1296</v>
      </c>
      <c r="P322" s="171"/>
      <c r="Q322" s="409" t="s">
        <v>1295</v>
      </c>
      <c r="R322" s="516">
        <v>0.5</v>
      </c>
      <c r="S322" s="411">
        <v>29200</v>
      </c>
      <c r="T322" s="514">
        <v>1</v>
      </c>
      <c r="U322" s="486">
        <v>1</v>
      </c>
      <c r="V322" s="486">
        <v>0</v>
      </c>
      <c r="W322" s="506">
        <f t="shared" si="490"/>
        <v>14600</v>
      </c>
      <c r="X322" s="487">
        <f>R322*S322*T322*V322</f>
        <v>0</v>
      </c>
      <c r="Y322" s="487">
        <f>W322*3/9</f>
        <v>4866.666666666667</v>
      </c>
      <c r="Z322" s="487">
        <f>W322*3/9</f>
        <v>4866.666666666667</v>
      </c>
      <c r="AA322" s="487">
        <f>W322*3/9</f>
        <v>4866.666666666667</v>
      </c>
      <c r="AB322" s="416">
        <v>0</v>
      </c>
      <c r="AC322" s="417" t="s">
        <v>1296</v>
      </c>
      <c r="AD322" s="227"/>
      <c r="AE322" s="241">
        <v>4</v>
      </c>
      <c r="AF322" s="204" t="str">
        <f t="shared" si="426"/>
        <v>Depliants avec message sur ANJE en langue locale</v>
      </c>
      <c r="AG322" s="486"/>
      <c r="AH322" s="486"/>
      <c r="AI322" s="506">
        <f t="shared" si="483"/>
        <v>28750</v>
      </c>
      <c r="AJ322" s="506">
        <f t="shared" si="418"/>
        <v>0</v>
      </c>
      <c r="AK322" s="487">
        <f t="shared" si="484"/>
        <v>0</v>
      </c>
      <c r="AL322" s="487">
        <f t="shared" si="488"/>
        <v>28750</v>
      </c>
      <c r="AM322" s="316">
        <f t="shared" si="422"/>
        <v>14150</v>
      </c>
      <c r="AN322" s="316">
        <f t="shared" si="423"/>
        <v>0</v>
      </c>
      <c r="AO322" s="316">
        <f t="shared" si="424"/>
        <v>14600</v>
      </c>
      <c r="AP322" s="316">
        <f t="shared" si="425"/>
        <v>0</v>
      </c>
      <c r="AQ322" s="169" t="s">
        <v>898</v>
      </c>
      <c r="AR322" s="169" t="s">
        <v>420</v>
      </c>
    </row>
    <row r="323" spans="1:44" s="169" customFormat="1" ht="26" x14ac:dyDescent="0.3">
      <c r="A323" s="509">
        <v>5</v>
      </c>
      <c r="B323" s="510" t="s">
        <v>1297</v>
      </c>
      <c r="C323" s="409" t="s">
        <v>1298</v>
      </c>
      <c r="D323" s="536">
        <v>10</v>
      </c>
      <c r="E323" s="411">
        <v>31</v>
      </c>
      <c r="F323" s="512">
        <v>9</v>
      </c>
      <c r="G323" s="503">
        <v>0.9</v>
      </c>
      <c r="H323" s="503">
        <v>0.1</v>
      </c>
      <c r="I323" s="416">
        <f>D323*E323*F323*G323</f>
        <v>2511</v>
      </c>
      <c r="J323" s="487">
        <f>D323*E323*F323*H323</f>
        <v>279</v>
      </c>
      <c r="K323" s="513">
        <f>I323*4/11</f>
        <v>913.09090909090912</v>
      </c>
      <c r="L323" s="513">
        <f>I323*4/11</f>
        <v>913.09090909090912</v>
      </c>
      <c r="M323" s="513">
        <f>I323*3/11</f>
        <v>684.81818181818187</v>
      </c>
      <c r="N323" s="416">
        <v>0</v>
      </c>
      <c r="O323" s="507" t="s">
        <v>1299</v>
      </c>
      <c r="P323" s="171"/>
      <c r="Q323" s="409" t="s">
        <v>1298</v>
      </c>
      <c r="R323" s="516">
        <v>10</v>
      </c>
      <c r="S323" s="411">
        <v>31</v>
      </c>
      <c r="T323" s="514">
        <v>9</v>
      </c>
      <c r="U323" s="503">
        <v>0.9</v>
      </c>
      <c r="V323" s="503">
        <v>0.1</v>
      </c>
      <c r="W323" s="506">
        <f>R323*S323*T323*U323</f>
        <v>2511</v>
      </c>
      <c r="X323" s="487">
        <f>R323*S323*T323*V323</f>
        <v>279</v>
      </c>
      <c r="Y323" s="487">
        <f>W323*3/9</f>
        <v>837</v>
      </c>
      <c r="Z323" s="487">
        <f>W323*3/9</f>
        <v>837</v>
      </c>
      <c r="AA323" s="487">
        <f>W323*3/9</f>
        <v>837</v>
      </c>
      <c r="AB323" s="416">
        <v>0</v>
      </c>
      <c r="AC323" s="417" t="s">
        <v>1300</v>
      </c>
      <c r="AD323" s="227"/>
      <c r="AE323" s="241">
        <v>5</v>
      </c>
      <c r="AF323" s="204" t="str">
        <f t="shared" si="426"/>
        <v>Sketch sur ANJE dans les points chauds (Marché, Eglises…..)</v>
      </c>
      <c r="AG323" s="486">
        <f t="shared" si="481"/>
        <v>0.9</v>
      </c>
      <c r="AH323" s="486">
        <f t="shared" si="482"/>
        <v>0.1</v>
      </c>
      <c r="AI323" s="506">
        <f t="shared" si="483"/>
        <v>5022</v>
      </c>
      <c r="AJ323" s="506">
        <f t="shared" ref="AJ323:AJ386" si="491">N323+AB323</f>
        <v>0</v>
      </c>
      <c r="AK323" s="487">
        <f t="shared" si="484"/>
        <v>558</v>
      </c>
      <c r="AL323" s="487">
        <f t="shared" si="488"/>
        <v>5580</v>
      </c>
      <c r="AM323" s="316">
        <f t="shared" si="422"/>
        <v>2511</v>
      </c>
      <c r="AN323" s="316">
        <f t="shared" si="423"/>
        <v>0</v>
      </c>
      <c r="AO323" s="316">
        <f t="shared" si="424"/>
        <v>2511</v>
      </c>
      <c r="AP323" s="316">
        <f t="shared" si="425"/>
        <v>0</v>
      </c>
      <c r="AQ323" s="169" t="s">
        <v>898</v>
      </c>
      <c r="AR323" s="169" t="s">
        <v>420</v>
      </c>
    </row>
    <row r="324" spans="1:44" x14ac:dyDescent="0.3">
      <c r="A324" s="480" t="s">
        <v>276</v>
      </c>
      <c r="B324" s="861" t="s">
        <v>1301</v>
      </c>
      <c r="C324" s="862"/>
      <c r="D324" s="862"/>
      <c r="E324" s="862"/>
      <c r="F324" s="862"/>
      <c r="G324" s="862"/>
      <c r="H324" s="863"/>
      <c r="I324" s="481">
        <f t="shared" ref="I324:N324" si="492">SUM(I325:I326)</f>
        <v>154530</v>
      </c>
      <c r="J324" s="482">
        <f t="shared" si="492"/>
        <v>17170</v>
      </c>
      <c r="K324" s="482">
        <f t="shared" si="492"/>
        <v>108171</v>
      </c>
      <c r="L324" s="482">
        <f t="shared" si="492"/>
        <v>30906</v>
      </c>
      <c r="M324" s="482">
        <f t="shared" si="492"/>
        <v>15453</v>
      </c>
      <c r="N324" s="481">
        <f t="shared" si="492"/>
        <v>0</v>
      </c>
      <c r="O324" s="508"/>
      <c r="Q324" s="538"/>
      <c r="R324" s="539"/>
      <c r="S324" s="538"/>
      <c r="T324" s="539"/>
      <c r="U324" s="539"/>
      <c r="V324" s="484"/>
      <c r="W324" s="482">
        <f t="shared" ref="W324:Y324" si="493">SUM(W325:W326)</f>
        <v>154530</v>
      </c>
      <c r="X324" s="482">
        <f t="shared" si="493"/>
        <v>17170</v>
      </c>
      <c r="Y324" s="482">
        <f t="shared" si="493"/>
        <v>51510</v>
      </c>
      <c r="Z324" s="482">
        <f t="shared" ref="Z324:AB324" si="494">SUM(Z325:Z326)</f>
        <v>51510</v>
      </c>
      <c r="AA324" s="482">
        <f t="shared" si="494"/>
        <v>51510</v>
      </c>
      <c r="AB324" s="481">
        <f t="shared" si="494"/>
        <v>0</v>
      </c>
      <c r="AC324" s="508"/>
      <c r="AD324" s="234"/>
      <c r="AE324" s="247" t="s">
        <v>276</v>
      </c>
      <c r="AF324" s="204" t="str">
        <f t="shared" si="426"/>
        <v>Mise en place et animation des groupes de soutien ANJE (au niveau communautaire)</v>
      </c>
      <c r="AG324" s="485">
        <f t="shared" si="481"/>
        <v>0.9</v>
      </c>
      <c r="AH324" s="485">
        <f t="shared" si="482"/>
        <v>0.1</v>
      </c>
      <c r="AI324" s="482">
        <f t="shared" si="483"/>
        <v>309060</v>
      </c>
      <c r="AJ324" s="482">
        <f t="shared" si="491"/>
        <v>0</v>
      </c>
      <c r="AK324" s="482">
        <f t="shared" si="484"/>
        <v>34340</v>
      </c>
      <c r="AL324" s="482">
        <f t="shared" si="488"/>
        <v>343400</v>
      </c>
      <c r="AM324" s="314">
        <f t="shared" si="422"/>
        <v>154530</v>
      </c>
      <c r="AN324" s="314">
        <f t="shared" si="423"/>
        <v>0</v>
      </c>
      <c r="AO324" s="314">
        <f t="shared" si="424"/>
        <v>154530</v>
      </c>
      <c r="AP324" s="314">
        <f t="shared" si="425"/>
        <v>0</v>
      </c>
    </row>
    <row r="325" spans="1:44" s="169" customFormat="1" ht="26" x14ac:dyDescent="0.3">
      <c r="A325" s="509">
        <v>1</v>
      </c>
      <c r="B325" s="510" t="s">
        <v>1302</v>
      </c>
      <c r="C325" s="409" t="s">
        <v>1303</v>
      </c>
      <c r="D325" s="536">
        <v>200</v>
      </c>
      <c r="E325" s="411">
        <v>404</v>
      </c>
      <c r="F325" s="512">
        <v>1</v>
      </c>
      <c r="G325" s="503">
        <v>0.9</v>
      </c>
      <c r="H325" s="503">
        <v>0.1</v>
      </c>
      <c r="I325" s="416">
        <f>D325*E325*F325*G325</f>
        <v>72720</v>
      </c>
      <c r="J325" s="487">
        <f>D325*E325*F325*H325</f>
        <v>8080</v>
      </c>
      <c r="K325" s="513">
        <f>I325*70/100</f>
        <v>50904</v>
      </c>
      <c r="L325" s="513">
        <f>I325*20/100</f>
        <v>14544</v>
      </c>
      <c r="M325" s="513">
        <f>I325*10/100</f>
        <v>7272</v>
      </c>
      <c r="N325" s="416">
        <v>0</v>
      </c>
      <c r="O325" s="507" t="s">
        <v>1304</v>
      </c>
      <c r="P325" s="171"/>
      <c r="Q325" s="409" t="s">
        <v>1303</v>
      </c>
      <c r="R325" s="516">
        <v>200</v>
      </c>
      <c r="S325" s="411">
        <v>404</v>
      </c>
      <c r="T325" s="514">
        <v>1</v>
      </c>
      <c r="U325" s="503">
        <v>0.9</v>
      </c>
      <c r="V325" s="503">
        <v>0.1</v>
      </c>
      <c r="W325" s="506">
        <f>R325*S325*T325*U325</f>
        <v>72720</v>
      </c>
      <c r="X325" s="487">
        <f>R325*S325*T325*V325</f>
        <v>8080</v>
      </c>
      <c r="Y325" s="487">
        <f>W325*3/9</f>
        <v>24240</v>
      </c>
      <c r="Z325" s="487">
        <f>W325*3/9</f>
        <v>24240</v>
      </c>
      <c r="AA325" s="487">
        <f>W325*3/9</f>
        <v>24240</v>
      </c>
      <c r="AB325" s="416">
        <v>0</v>
      </c>
      <c r="AC325" s="417" t="s">
        <v>1304</v>
      </c>
      <c r="AD325" s="227"/>
      <c r="AE325" s="241">
        <v>1</v>
      </c>
      <c r="AF325" s="204" t="str">
        <f t="shared" si="426"/>
        <v>Achat des ustensciles de cuisine et autres materiels (casserole, plats, cuilleres,bassine, gobelets…etc)</v>
      </c>
      <c r="AG325" s="486">
        <f t="shared" si="481"/>
        <v>0.9</v>
      </c>
      <c r="AH325" s="486">
        <f t="shared" si="482"/>
        <v>0.1</v>
      </c>
      <c r="AI325" s="506">
        <f t="shared" si="483"/>
        <v>145440</v>
      </c>
      <c r="AJ325" s="506">
        <f t="shared" si="491"/>
        <v>0</v>
      </c>
      <c r="AK325" s="487">
        <f t="shared" si="484"/>
        <v>16160</v>
      </c>
      <c r="AL325" s="487">
        <f t="shared" si="488"/>
        <v>161600</v>
      </c>
      <c r="AM325" s="316">
        <f t="shared" si="422"/>
        <v>72720</v>
      </c>
      <c r="AN325" s="316">
        <f t="shared" si="423"/>
        <v>0</v>
      </c>
      <c r="AO325" s="316">
        <f t="shared" si="424"/>
        <v>72720</v>
      </c>
      <c r="AP325" s="316">
        <f t="shared" si="425"/>
        <v>0</v>
      </c>
      <c r="AQ325" s="169" t="s">
        <v>898</v>
      </c>
      <c r="AR325" s="169" t="s">
        <v>420</v>
      </c>
    </row>
    <row r="326" spans="1:44" s="169" customFormat="1" ht="26" x14ac:dyDescent="0.3">
      <c r="A326" s="509">
        <v>2</v>
      </c>
      <c r="B326" s="510" t="s">
        <v>1305</v>
      </c>
      <c r="C326" s="409" t="s">
        <v>1303</v>
      </c>
      <c r="D326" s="536">
        <v>25</v>
      </c>
      <c r="E326" s="411">
        <v>404</v>
      </c>
      <c r="F326" s="512">
        <v>9</v>
      </c>
      <c r="G326" s="503">
        <v>0.9</v>
      </c>
      <c r="H326" s="503">
        <v>0.1</v>
      </c>
      <c r="I326" s="416">
        <f>D326*E326*F326*G326</f>
        <v>81810</v>
      </c>
      <c r="J326" s="487">
        <f>D326*E326*F326*H326</f>
        <v>9090</v>
      </c>
      <c r="K326" s="513">
        <f>I326*70/100</f>
        <v>57267</v>
      </c>
      <c r="L326" s="513">
        <f>I326*20/100</f>
        <v>16362</v>
      </c>
      <c r="M326" s="513">
        <f>I326*10/100</f>
        <v>8181</v>
      </c>
      <c r="N326" s="416">
        <v>0</v>
      </c>
      <c r="O326" s="507" t="s">
        <v>1306</v>
      </c>
      <c r="P326" s="171"/>
      <c r="Q326" s="409" t="s">
        <v>1303</v>
      </c>
      <c r="R326" s="516">
        <v>25</v>
      </c>
      <c r="S326" s="411">
        <v>404</v>
      </c>
      <c r="T326" s="514">
        <v>9</v>
      </c>
      <c r="U326" s="503">
        <v>0.9</v>
      </c>
      <c r="V326" s="503">
        <v>0.1</v>
      </c>
      <c r="W326" s="506">
        <f>R326*S326*T326*U326</f>
        <v>81810</v>
      </c>
      <c r="X326" s="487">
        <f>R326*S326*T326*V326</f>
        <v>9090</v>
      </c>
      <c r="Y326" s="487">
        <f>W326*3/9</f>
        <v>27270</v>
      </c>
      <c r="Z326" s="487">
        <f>W326*3/9</f>
        <v>27270</v>
      </c>
      <c r="AA326" s="487">
        <f>W326*3/9</f>
        <v>27270</v>
      </c>
      <c r="AB326" s="416">
        <v>0</v>
      </c>
      <c r="AC326" s="417" t="s">
        <v>1307</v>
      </c>
      <c r="AD326" s="227"/>
      <c r="AE326" s="241">
        <v>2</v>
      </c>
      <c r="AF326" s="204" t="str">
        <f t="shared" si="426"/>
        <v>Achat d'aliments locaux selon les résultats de l'inventaire et l'ammelioration des recettes</v>
      </c>
      <c r="AG326" s="486">
        <f t="shared" si="481"/>
        <v>0.9</v>
      </c>
      <c r="AH326" s="486">
        <f t="shared" si="482"/>
        <v>0.1</v>
      </c>
      <c r="AI326" s="506">
        <f t="shared" si="483"/>
        <v>163620</v>
      </c>
      <c r="AJ326" s="506">
        <f t="shared" si="491"/>
        <v>0</v>
      </c>
      <c r="AK326" s="487">
        <f t="shared" si="484"/>
        <v>18180</v>
      </c>
      <c r="AL326" s="487">
        <f t="shared" si="488"/>
        <v>181800</v>
      </c>
      <c r="AM326" s="316">
        <f t="shared" si="422"/>
        <v>81810</v>
      </c>
      <c r="AN326" s="316">
        <f t="shared" si="423"/>
        <v>0</v>
      </c>
      <c r="AO326" s="316">
        <f t="shared" si="424"/>
        <v>81810</v>
      </c>
      <c r="AP326" s="316">
        <f t="shared" si="425"/>
        <v>0</v>
      </c>
      <c r="AQ326" s="169" t="s">
        <v>898</v>
      </c>
      <c r="AR326" s="169" t="s">
        <v>420</v>
      </c>
    </row>
    <row r="327" spans="1:44" ht="12.75" customHeight="1" x14ac:dyDescent="0.3">
      <c r="A327" s="480" t="s">
        <v>277</v>
      </c>
      <c r="B327" s="861" t="s">
        <v>326</v>
      </c>
      <c r="C327" s="862"/>
      <c r="D327" s="862"/>
      <c r="E327" s="862"/>
      <c r="F327" s="862"/>
      <c r="G327" s="862"/>
      <c r="H327" s="863"/>
      <c r="I327" s="481">
        <f t="shared" ref="I327:N327" si="495">SUM(I328:I330)</f>
        <v>25434</v>
      </c>
      <c r="J327" s="482">
        <f t="shared" si="495"/>
        <v>2826</v>
      </c>
      <c r="K327" s="482">
        <f t="shared" si="495"/>
        <v>9248.7272727272739</v>
      </c>
      <c r="L327" s="482">
        <f t="shared" si="495"/>
        <v>9248.7272727272739</v>
      </c>
      <c r="M327" s="482">
        <f t="shared" si="495"/>
        <v>6936.545454545455</v>
      </c>
      <c r="N327" s="481">
        <f t="shared" si="495"/>
        <v>0</v>
      </c>
      <c r="O327" s="508"/>
      <c r="Q327" s="538"/>
      <c r="R327" s="539"/>
      <c r="S327" s="538"/>
      <c r="T327" s="539"/>
      <c r="U327" s="539"/>
      <c r="V327" s="484"/>
      <c r="W327" s="482">
        <f t="shared" ref="W327:Y327" si="496">SUM(W328:W330)</f>
        <v>49086</v>
      </c>
      <c r="X327" s="482">
        <f t="shared" si="496"/>
        <v>5454</v>
      </c>
      <c r="Y327" s="482">
        <f t="shared" si="496"/>
        <v>16362</v>
      </c>
      <c r="Z327" s="482">
        <f t="shared" ref="Z327:AB327" si="497">SUM(Z328:Z330)</f>
        <v>16362</v>
      </c>
      <c r="AA327" s="482">
        <f t="shared" si="497"/>
        <v>16362</v>
      </c>
      <c r="AB327" s="481">
        <f t="shared" si="497"/>
        <v>0</v>
      </c>
      <c r="AC327" s="508"/>
      <c r="AD327" s="234"/>
      <c r="AE327" s="247" t="s">
        <v>277</v>
      </c>
      <c r="AF327" s="204" t="str">
        <f t="shared" si="426"/>
        <v>Accompagner la réalisation des réunions mensuelles de monitorage pour suivre et évaluer chaque mois les indicateurs clés de la NAC à tous les niveaux des organes communautaires (CODESA, CAC)</v>
      </c>
      <c r="AG327" s="485">
        <f t="shared" si="481"/>
        <v>0.9</v>
      </c>
      <c r="AH327" s="485">
        <f t="shared" si="482"/>
        <v>0.1</v>
      </c>
      <c r="AI327" s="482">
        <f t="shared" si="483"/>
        <v>74520</v>
      </c>
      <c r="AJ327" s="482">
        <f t="shared" si="491"/>
        <v>0</v>
      </c>
      <c r="AK327" s="482">
        <f t="shared" si="484"/>
        <v>8280</v>
      </c>
      <c r="AL327" s="482">
        <f t="shared" si="488"/>
        <v>82800</v>
      </c>
      <c r="AM327" s="314">
        <f t="shared" si="422"/>
        <v>25434</v>
      </c>
      <c r="AN327" s="314">
        <f t="shared" si="423"/>
        <v>0</v>
      </c>
      <c r="AO327" s="314">
        <f t="shared" si="424"/>
        <v>49086</v>
      </c>
      <c r="AP327" s="314">
        <f t="shared" si="425"/>
        <v>0</v>
      </c>
    </row>
    <row r="328" spans="1:44" s="169" customFormat="1" ht="39" x14ac:dyDescent="0.3">
      <c r="A328" s="509">
        <v>1</v>
      </c>
      <c r="B328" s="510" t="s">
        <v>1308</v>
      </c>
      <c r="C328" s="409" t="s">
        <v>558</v>
      </c>
      <c r="D328" s="536">
        <v>5</v>
      </c>
      <c r="E328" s="411">
        <v>283</v>
      </c>
      <c r="F328" s="512">
        <v>9</v>
      </c>
      <c r="G328" s="503">
        <v>0.9</v>
      </c>
      <c r="H328" s="503">
        <v>0.1</v>
      </c>
      <c r="I328" s="416">
        <f>D328*E328*F328*G328</f>
        <v>11461.5</v>
      </c>
      <c r="J328" s="487">
        <f>D328*E328*F328*H328</f>
        <v>1273.5</v>
      </c>
      <c r="K328" s="513">
        <f>I328*4/11</f>
        <v>4167.818181818182</v>
      </c>
      <c r="L328" s="513">
        <f>I328*4/11</f>
        <v>4167.818181818182</v>
      </c>
      <c r="M328" s="513">
        <f>I328*3/11</f>
        <v>3125.8636363636365</v>
      </c>
      <c r="N328" s="416">
        <v>0</v>
      </c>
      <c r="O328" s="507" t="s">
        <v>1309</v>
      </c>
      <c r="P328" s="171"/>
      <c r="Q328" s="409" t="s">
        <v>558</v>
      </c>
      <c r="R328" s="516">
        <v>5</v>
      </c>
      <c r="S328" s="411">
        <v>575</v>
      </c>
      <c r="T328" s="514">
        <v>9</v>
      </c>
      <c r="U328" s="503">
        <v>0.9</v>
      </c>
      <c r="V328" s="503">
        <v>0.1</v>
      </c>
      <c r="W328" s="506">
        <f>R328*S328*T328*U328</f>
        <v>23287.5</v>
      </c>
      <c r="X328" s="487">
        <f>R328*S328*T328*V328</f>
        <v>2587.5</v>
      </c>
      <c r="Y328" s="487">
        <f>W328*3/9</f>
        <v>7762.5</v>
      </c>
      <c r="Z328" s="487">
        <f>W328*3/9</f>
        <v>7762.5</v>
      </c>
      <c r="AA328" s="487">
        <f>W328*3/9</f>
        <v>7762.5</v>
      </c>
      <c r="AB328" s="416">
        <v>0</v>
      </c>
      <c r="AC328" s="417" t="s">
        <v>1309</v>
      </c>
      <c r="AD328" s="227"/>
      <c r="AE328" s="241">
        <v>1</v>
      </c>
      <c r="AF328" s="204" t="str">
        <f t="shared" si="426"/>
        <v xml:space="preserve">Appui (Collation)  aux reunions de monitorage au niveau CODESA </v>
      </c>
      <c r="AG328" s="486">
        <f t="shared" si="481"/>
        <v>0.9</v>
      </c>
      <c r="AH328" s="486">
        <f t="shared" si="482"/>
        <v>0.1</v>
      </c>
      <c r="AI328" s="506">
        <f t="shared" si="483"/>
        <v>34749</v>
      </c>
      <c r="AJ328" s="506">
        <f t="shared" si="491"/>
        <v>0</v>
      </c>
      <c r="AK328" s="487">
        <f t="shared" si="484"/>
        <v>3861</v>
      </c>
      <c r="AL328" s="487">
        <f t="shared" si="488"/>
        <v>38610</v>
      </c>
      <c r="AM328" s="316">
        <f t="shared" si="422"/>
        <v>11461.5</v>
      </c>
      <c r="AN328" s="316">
        <f t="shared" si="423"/>
        <v>0</v>
      </c>
      <c r="AO328" s="316">
        <f t="shared" si="424"/>
        <v>23287.5</v>
      </c>
      <c r="AP328" s="316">
        <f t="shared" si="425"/>
        <v>0</v>
      </c>
      <c r="AQ328" s="169" t="s">
        <v>898</v>
      </c>
      <c r="AR328" s="169" t="s">
        <v>420</v>
      </c>
    </row>
    <row r="329" spans="1:44" s="169" customFormat="1" ht="39" x14ac:dyDescent="0.3">
      <c r="A329" s="509">
        <v>2</v>
      </c>
      <c r="B329" s="510" t="s">
        <v>1310</v>
      </c>
      <c r="C329" s="409" t="s">
        <v>558</v>
      </c>
      <c r="D329" s="536">
        <v>5</v>
      </c>
      <c r="E329" s="411">
        <v>283</v>
      </c>
      <c r="F329" s="512">
        <v>9</v>
      </c>
      <c r="G329" s="503">
        <v>0.9</v>
      </c>
      <c r="H329" s="503">
        <v>0.1</v>
      </c>
      <c r="I329" s="416">
        <f>D329*E329*F329*G329</f>
        <v>11461.5</v>
      </c>
      <c r="J329" s="487">
        <f>D329*E329*F329*H329</f>
        <v>1273.5</v>
      </c>
      <c r="K329" s="513">
        <f>I329*4/11</f>
        <v>4167.818181818182</v>
      </c>
      <c r="L329" s="513">
        <f>I329*4/11</f>
        <v>4167.818181818182</v>
      </c>
      <c r="M329" s="513">
        <f>I329*3/11</f>
        <v>3125.8636363636365</v>
      </c>
      <c r="N329" s="416">
        <v>0</v>
      </c>
      <c r="O329" s="507" t="s">
        <v>1311</v>
      </c>
      <c r="P329" s="171"/>
      <c r="Q329" s="409" t="s">
        <v>558</v>
      </c>
      <c r="R329" s="516">
        <v>5</v>
      </c>
      <c r="S329" s="411">
        <v>575</v>
      </c>
      <c r="T329" s="514">
        <v>9</v>
      </c>
      <c r="U329" s="503">
        <v>0.9</v>
      </c>
      <c r="V329" s="503">
        <v>0.1</v>
      </c>
      <c r="W329" s="506">
        <f>R329*S329*T329*U329</f>
        <v>23287.5</v>
      </c>
      <c r="X329" s="487">
        <f>R329*S329*T329*V329</f>
        <v>2587.5</v>
      </c>
      <c r="Y329" s="487">
        <f>W329*3/9</f>
        <v>7762.5</v>
      </c>
      <c r="Z329" s="487">
        <f>W329*3/9</f>
        <v>7762.5</v>
      </c>
      <c r="AA329" s="487">
        <f>W329*3/9</f>
        <v>7762.5</v>
      </c>
      <c r="AB329" s="416">
        <v>0</v>
      </c>
      <c r="AC329" s="417" t="s">
        <v>1311</v>
      </c>
      <c r="AD329" s="227"/>
      <c r="AE329" s="241">
        <v>2</v>
      </c>
      <c r="AF329" s="204" t="str">
        <f t="shared" si="426"/>
        <v>Remboursement  Transport aux participants aux reunions de monitorage au niveau CODESA</v>
      </c>
      <c r="AG329" s="486">
        <f t="shared" si="481"/>
        <v>0.9</v>
      </c>
      <c r="AH329" s="486">
        <f t="shared" si="482"/>
        <v>0.1</v>
      </c>
      <c r="AI329" s="506">
        <f t="shared" si="483"/>
        <v>34749</v>
      </c>
      <c r="AJ329" s="506">
        <f t="shared" si="491"/>
        <v>0</v>
      </c>
      <c r="AK329" s="487">
        <f t="shared" si="484"/>
        <v>3861</v>
      </c>
      <c r="AL329" s="487">
        <f t="shared" si="488"/>
        <v>38610</v>
      </c>
      <c r="AM329" s="316">
        <f t="shared" si="422"/>
        <v>11461.5</v>
      </c>
      <c r="AN329" s="316">
        <f t="shared" si="423"/>
        <v>0</v>
      </c>
      <c r="AO329" s="316">
        <f t="shared" si="424"/>
        <v>23287.5</v>
      </c>
      <c r="AP329" s="316">
        <f t="shared" si="425"/>
        <v>0</v>
      </c>
      <c r="AQ329" s="169" t="s">
        <v>898</v>
      </c>
      <c r="AR329" s="169" t="s">
        <v>420</v>
      </c>
    </row>
    <row r="330" spans="1:44" s="169" customFormat="1" x14ac:dyDescent="0.3">
      <c r="A330" s="509">
        <v>3</v>
      </c>
      <c r="B330" s="510" t="s">
        <v>1025</v>
      </c>
      <c r="C330" s="409" t="s">
        <v>559</v>
      </c>
      <c r="D330" s="536">
        <v>10</v>
      </c>
      <c r="E330" s="411">
        <v>31</v>
      </c>
      <c r="F330" s="512">
        <v>9</v>
      </c>
      <c r="G330" s="503">
        <v>0.9</v>
      </c>
      <c r="H330" s="503">
        <v>0.1</v>
      </c>
      <c r="I330" s="416">
        <f>D330*E330*F330*G330</f>
        <v>2511</v>
      </c>
      <c r="J330" s="487">
        <f>D330*E330*F330*H330</f>
        <v>279</v>
      </c>
      <c r="K330" s="513">
        <f>I330*4/11</f>
        <v>913.09090909090912</v>
      </c>
      <c r="L330" s="513">
        <f>I330*4/11</f>
        <v>913.09090909090912</v>
      </c>
      <c r="M330" s="513">
        <f>I330*3/11</f>
        <v>684.81818181818187</v>
      </c>
      <c r="N330" s="416">
        <v>0</v>
      </c>
      <c r="O330" s="507" t="s">
        <v>1312</v>
      </c>
      <c r="P330" s="171"/>
      <c r="Q330" s="409" t="s">
        <v>559</v>
      </c>
      <c r="R330" s="516">
        <v>10</v>
      </c>
      <c r="S330" s="411">
        <v>31</v>
      </c>
      <c r="T330" s="514">
        <v>9</v>
      </c>
      <c r="U330" s="503">
        <v>0.9</v>
      </c>
      <c r="V330" s="503">
        <v>0.1</v>
      </c>
      <c r="W330" s="506">
        <f>R330*S330*T330*U330</f>
        <v>2511</v>
      </c>
      <c r="X330" s="487">
        <f>R330*S330*T330*V330</f>
        <v>279</v>
      </c>
      <c r="Y330" s="487">
        <f>W330*3/9</f>
        <v>837</v>
      </c>
      <c r="Z330" s="487">
        <f>W330*3/9</f>
        <v>837</v>
      </c>
      <c r="AA330" s="487">
        <f>W330*3/9</f>
        <v>837</v>
      </c>
      <c r="AB330" s="416">
        <v>0</v>
      </c>
      <c r="AC330" s="417" t="s">
        <v>1312</v>
      </c>
      <c r="AD330" s="227"/>
      <c r="AE330" s="241">
        <v>3</v>
      </c>
      <c r="AF330" s="204" t="str">
        <f t="shared" si="426"/>
        <v>Fournitures (Stylo, carnets, flip chart, maqueurs, papier collant) réunions au niveau de CODESA</v>
      </c>
      <c r="AG330" s="486">
        <f t="shared" si="481"/>
        <v>0.9</v>
      </c>
      <c r="AH330" s="486">
        <f t="shared" si="482"/>
        <v>0.1</v>
      </c>
      <c r="AI330" s="506">
        <f t="shared" si="483"/>
        <v>5022</v>
      </c>
      <c r="AJ330" s="506">
        <f t="shared" si="491"/>
        <v>0</v>
      </c>
      <c r="AK330" s="487">
        <f t="shared" si="484"/>
        <v>558</v>
      </c>
      <c r="AL330" s="487">
        <f t="shared" si="488"/>
        <v>5580</v>
      </c>
      <c r="AM330" s="316">
        <f t="shared" ref="AM330:AM393" si="498">I330</f>
        <v>2511</v>
      </c>
      <c r="AN330" s="316">
        <f t="shared" ref="AN330:AN393" si="499">N330</f>
        <v>0</v>
      </c>
      <c r="AO330" s="316">
        <f t="shared" ref="AO330:AO393" si="500">W330</f>
        <v>2511</v>
      </c>
      <c r="AP330" s="316">
        <f t="shared" ref="AP330:AP393" si="501">AB330</f>
        <v>0</v>
      </c>
      <c r="AQ330" s="169" t="s">
        <v>898</v>
      </c>
      <c r="AR330" s="169" t="s">
        <v>420</v>
      </c>
    </row>
    <row r="331" spans="1:44" ht="12.75" customHeight="1" x14ac:dyDescent="0.3">
      <c r="A331" s="480" t="s">
        <v>1313</v>
      </c>
      <c r="B331" s="861" t="s">
        <v>326</v>
      </c>
      <c r="C331" s="862"/>
      <c r="D331" s="862"/>
      <c r="E331" s="862"/>
      <c r="F331" s="862"/>
      <c r="G331" s="862"/>
      <c r="H331" s="863"/>
      <c r="I331" s="481">
        <f t="shared" ref="I331:N331" si="502">SUM(I332:I334)</f>
        <v>78282</v>
      </c>
      <c r="J331" s="482">
        <f t="shared" si="502"/>
        <v>8698</v>
      </c>
      <c r="K331" s="482">
        <f t="shared" si="502"/>
        <v>54797.4</v>
      </c>
      <c r="L331" s="482">
        <f t="shared" si="502"/>
        <v>15656.4</v>
      </c>
      <c r="M331" s="482">
        <f t="shared" si="502"/>
        <v>7828.2</v>
      </c>
      <c r="N331" s="481">
        <f t="shared" si="502"/>
        <v>0</v>
      </c>
      <c r="O331" s="508"/>
      <c r="Q331" s="538"/>
      <c r="R331" s="539"/>
      <c r="S331" s="538"/>
      <c r="T331" s="539"/>
      <c r="U331" s="539"/>
      <c r="V331" s="484"/>
      <c r="W331" s="482">
        <f t="shared" ref="W331:Y331" si="503">SUM(W332:W334)</f>
        <v>80289</v>
      </c>
      <c r="X331" s="482">
        <f t="shared" si="503"/>
        <v>8921</v>
      </c>
      <c r="Y331" s="482">
        <f t="shared" si="503"/>
        <v>45249</v>
      </c>
      <c r="Z331" s="482">
        <f t="shared" ref="Z331:AB331" si="504">SUM(Z332:Z334)</f>
        <v>17520</v>
      </c>
      <c r="AA331" s="482">
        <f t="shared" si="504"/>
        <v>17520</v>
      </c>
      <c r="AB331" s="481">
        <f t="shared" si="504"/>
        <v>0</v>
      </c>
      <c r="AC331" s="508"/>
      <c r="AD331" s="234"/>
      <c r="AE331" s="247" t="s">
        <v>1313</v>
      </c>
      <c r="AF331" s="204" t="str">
        <f t="shared" si="426"/>
        <v>Accompagner la réalisation des réunions mensuelles de monitorage pour suivre et évaluer chaque mois les indicateurs clés de la NAC à tous les niveaux des organes communautaires (CODESA, CAC)</v>
      </c>
      <c r="AG331" s="485">
        <f t="shared" si="481"/>
        <v>0.9</v>
      </c>
      <c r="AH331" s="485">
        <f t="shared" si="482"/>
        <v>0.1</v>
      </c>
      <c r="AI331" s="482">
        <f t="shared" si="483"/>
        <v>158571</v>
      </c>
      <c r="AJ331" s="482">
        <f t="shared" si="491"/>
        <v>0</v>
      </c>
      <c r="AK331" s="482">
        <f t="shared" si="484"/>
        <v>17619</v>
      </c>
      <c r="AL331" s="482">
        <f t="shared" si="488"/>
        <v>176190</v>
      </c>
      <c r="AM331" s="314">
        <f t="shared" si="498"/>
        <v>78282</v>
      </c>
      <c r="AN331" s="314">
        <f t="shared" si="499"/>
        <v>0</v>
      </c>
      <c r="AO331" s="314">
        <f t="shared" si="500"/>
        <v>80289</v>
      </c>
      <c r="AP331" s="314">
        <f t="shared" si="501"/>
        <v>0</v>
      </c>
    </row>
    <row r="332" spans="1:44" s="169" customFormat="1" ht="39" x14ac:dyDescent="0.3">
      <c r="A332" s="509">
        <v>1</v>
      </c>
      <c r="B332" s="510" t="s">
        <v>1314</v>
      </c>
      <c r="C332" s="409" t="s">
        <v>1315</v>
      </c>
      <c r="D332" s="536">
        <v>100</v>
      </c>
      <c r="E332" s="411">
        <v>283</v>
      </c>
      <c r="F332" s="512">
        <v>1</v>
      </c>
      <c r="G332" s="503">
        <v>0.9</v>
      </c>
      <c r="H332" s="503">
        <v>0.1</v>
      </c>
      <c r="I332" s="416">
        <f>D332*E332*F332*G332</f>
        <v>25470</v>
      </c>
      <c r="J332" s="487">
        <f>D332*E332*F332*H332</f>
        <v>2830</v>
      </c>
      <c r="K332" s="529">
        <f>I332*70/100</f>
        <v>17829</v>
      </c>
      <c r="L332" s="529">
        <f>I332*20/100</f>
        <v>5094</v>
      </c>
      <c r="M332" s="529">
        <f>I332*10/100</f>
        <v>2547</v>
      </c>
      <c r="N332" s="416">
        <v>0</v>
      </c>
      <c r="O332" s="507" t="s">
        <v>1316</v>
      </c>
      <c r="P332" s="171"/>
      <c r="Q332" s="409" t="s">
        <v>1315</v>
      </c>
      <c r="R332" s="516">
        <v>100</v>
      </c>
      <c r="S332" s="411">
        <v>292</v>
      </c>
      <c r="T332" s="514">
        <v>1</v>
      </c>
      <c r="U332" s="503">
        <v>0.9</v>
      </c>
      <c r="V332" s="503">
        <v>0.1</v>
      </c>
      <c r="W332" s="506">
        <f>R332*S332*T332*U332</f>
        <v>26280</v>
      </c>
      <c r="X332" s="487">
        <f>R332*S332*T332*V332</f>
        <v>2920</v>
      </c>
      <c r="Y332" s="487">
        <f>W332</f>
        <v>26280</v>
      </c>
      <c r="Z332" s="487"/>
      <c r="AA332" s="487"/>
      <c r="AB332" s="416">
        <v>0</v>
      </c>
      <c r="AC332" s="417" t="s">
        <v>1316</v>
      </c>
      <c r="AD332" s="227"/>
      <c r="AE332" s="241">
        <v>1</v>
      </c>
      <c r="AF332" s="204" t="str">
        <f t="shared" ref="AF332:AF395" si="505">B332</f>
        <v>Appui aux groupe de soutien ANJE pour le depistage actif et autres activites communautaires dans les villages à travers les AGR</v>
      </c>
      <c r="AG332" s="486">
        <f t="shared" si="481"/>
        <v>0.9</v>
      </c>
      <c r="AH332" s="486">
        <f t="shared" si="482"/>
        <v>0.1</v>
      </c>
      <c r="AI332" s="506">
        <f t="shared" si="483"/>
        <v>51750</v>
      </c>
      <c r="AJ332" s="506">
        <f t="shared" si="491"/>
        <v>0</v>
      </c>
      <c r="AK332" s="487">
        <f t="shared" si="484"/>
        <v>5750</v>
      </c>
      <c r="AL332" s="487">
        <f t="shared" si="488"/>
        <v>57500</v>
      </c>
      <c r="AM332" s="316">
        <f t="shared" si="498"/>
        <v>25470</v>
      </c>
      <c r="AN332" s="316">
        <f t="shared" si="499"/>
        <v>0</v>
      </c>
      <c r="AO332" s="316">
        <f t="shared" si="500"/>
        <v>26280</v>
      </c>
      <c r="AP332" s="316">
        <f t="shared" si="501"/>
        <v>0</v>
      </c>
      <c r="AQ332" s="169" t="s">
        <v>898</v>
      </c>
      <c r="AR332" s="169" t="s">
        <v>420</v>
      </c>
    </row>
    <row r="333" spans="1:44" s="169" customFormat="1" ht="26" x14ac:dyDescent="0.3">
      <c r="A333" s="509">
        <v>2</v>
      </c>
      <c r="B333" s="510" t="s">
        <v>1317</v>
      </c>
      <c r="C333" s="409" t="s">
        <v>1318</v>
      </c>
      <c r="D333" s="536">
        <v>20</v>
      </c>
      <c r="E333" s="411">
        <v>2830</v>
      </c>
      <c r="F333" s="512">
        <v>1</v>
      </c>
      <c r="G333" s="486">
        <v>0.9</v>
      </c>
      <c r="H333" s="486">
        <v>0.1</v>
      </c>
      <c r="I333" s="416">
        <f>D333*E333*F333*G333</f>
        <v>50940</v>
      </c>
      <c r="J333" s="487">
        <f>D333*E333*F333*H333</f>
        <v>5660</v>
      </c>
      <c r="K333" s="529">
        <f>I333*70/100</f>
        <v>35658</v>
      </c>
      <c r="L333" s="529">
        <f>I333*20/100</f>
        <v>10188</v>
      </c>
      <c r="M333" s="529">
        <f>I333*10/100</f>
        <v>5094</v>
      </c>
      <c r="N333" s="416">
        <v>0</v>
      </c>
      <c r="O333" s="507" t="s">
        <v>1319</v>
      </c>
      <c r="P333" s="171"/>
      <c r="Q333" s="409" t="s">
        <v>1318</v>
      </c>
      <c r="R333" s="516">
        <v>20</v>
      </c>
      <c r="S333" s="411">
        <v>2920</v>
      </c>
      <c r="T333" s="514">
        <v>1</v>
      </c>
      <c r="U333" s="486">
        <v>0.9</v>
      </c>
      <c r="V333" s="486">
        <v>0.1</v>
      </c>
      <c r="W333" s="506">
        <f>R333*S333*T333*U333</f>
        <v>52560</v>
      </c>
      <c r="X333" s="487">
        <f>R333*S333*T333*V333</f>
        <v>5840</v>
      </c>
      <c r="Y333" s="487">
        <f>W333*3/9</f>
        <v>17520</v>
      </c>
      <c r="Z333" s="487">
        <f>W333*3/9</f>
        <v>17520</v>
      </c>
      <c r="AA333" s="487">
        <f>W333*3/9</f>
        <v>17520</v>
      </c>
      <c r="AB333" s="416">
        <v>0</v>
      </c>
      <c r="AC333" s="417" t="s">
        <v>1319</v>
      </c>
      <c r="AD333" s="227"/>
      <c r="AE333" s="241">
        <v>2</v>
      </c>
      <c r="AF333" s="204" t="str">
        <f t="shared" si="505"/>
        <v>Achat des fournitures pour les membres de GS ANJE (cahier de depistage, sac,  stylo…)</v>
      </c>
      <c r="AG333" s="486">
        <f t="shared" si="481"/>
        <v>0.9</v>
      </c>
      <c r="AH333" s="486">
        <f t="shared" si="482"/>
        <v>0.1</v>
      </c>
      <c r="AI333" s="506">
        <f t="shared" si="483"/>
        <v>103500</v>
      </c>
      <c r="AJ333" s="506">
        <f t="shared" si="491"/>
        <v>0</v>
      </c>
      <c r="AK333" s="487">
        <f t="shared" si="484"/>
        <v>11500</v>
      </c>
      <c r="AL333" s="487">
        <f t="shared" si="488"/>
        <v>115000</v>
      </c>
      <c r="AM333" s="316">
        <f t="shared" si="498"/>
        <v>50940</v>
      </c>
      <c r="AN333" s="316">
        <f t="shared" si="499"/>
        <v>0</v>
      </c>
      <c r="AO333" s="316">
        <f t="shared" si="500"/>
        <v>52560</v>
      </c>
      <c r="AP333" s="316">
        <f t="shared" si="501"/>
        <v>0</v>
      </c>
      <c r="AQ333" s="169" t="s">
        <v>898</v>
      </c>
      <c r="AR333" s="169" t="s">
        <v>420</v>
      </c>
    </row>
    <row r="334" spans="1:44" s="169" customFormat="1" x14ac:dyDescent="0.3">
      <c r="A334" s="509">
        <v>3</v>
      </c>
      <c r="B334" s="510" t="s">
        <v>1320</v>
      </c>
      <c r="C334" s="409" t="s">
        <v>471</v>
      </c>
      <c r="D334" s="536">
        <v>5</v>
      </c>
      <c r="E334" s="411">
        <v>208</v>
      </c>
      <c r="F334" s="512">
        <v>2</v>
      </c>
      <c r="G334" s="503">
        <v>0.9</v>
      </c>
      <c r="H334" s="503">
        <v>0.1</v>
      </c>
      <c r="I334" s="416">
        <f>D334*E334*F334*G334</f>
        <v>1872</v>
      </c>
      <c r="J334" s="487">
        <f>D334*E334*F334*H334</f>
        <v>208</v>
      </c>
      <c r="K334" s="529">
        <f>I334*70/100</f>
        <v>1310.4000000000001</v>
      </c>
      <c r="L334" s="529">
        <f>I334*20/100</f>
        <v>374.4</v>
      </c>
      <c r="M334" s="529">
        <f>I334*10/100</f>
        <v>187.2</v>
      </c>
      <c r="N334" s="416">
        <v>0</v>
      </c>
      <c r="O334" s="507" t="s">
        <v>1321</v>
      </c>
      <c r="P334" s="171"/>
      <c r="Q334" s="409" t="s">
        <v>471</v>
      </c>
      <c r="R334" s="516">
        <v>5</v>
      </c>
      <c r="S334" s="411">
        <v>161</v>
      </c>
      <c r="T334" s="514">
        <v>2</v>
      </c>
      <c r="U334" s="503">
        <v>0.9</v>
      </c>
      <c r="V334" s="503">
        <v>0.1</v>
      </c>
      <c r="W334" s="506">
        <f>R334*S334*T334*U334</f>
        <v>1449</v>
      </c>
      <c r="X334" s="487">
        <f>R334*S334*T334*V334</f>
        <v>161</v>
      </c>
      <c r="Y334" s="487">
        <f>W334</f>
        <v>1449</v>
      </c>
      <c r="Z334" s="487"/>
      <c r="AA334" s="487"/>
      <c r="AB334" s="416">
        <v>0</v>
      </c>
      <c r="AC334" s="417" t="s">
        <v>1321</v>
      </c>
      <c r="AD334" s="227"/>
      <c r="AE334" s="241">
        <v>3</v>
      </c>
      <c r="AF334" s="204" t="str">
        <f t="shared" si="505"/>
        <v>Appui au transport des cas referencés qui sont au dela de 5 km du CS</v>
      </c>
      <c r="AG334" s="486">
        <f t="shared" si="481"/>
        <v>0.9</v>
      </c>
      <c r="AH334" s="486">
        <f t="shared" si="482"/>
        <v>0.1</v>
      </c>
      <c r="AI334" s="506">
        <f t="shared" si="483"/>
        <v>3321</v>
      </c>
      <c r="AJ334" s="506">
        <f t="shared" si="491"/>
        <v>0</v>
      </c>
      <c r="AK334" s="487">
        <f t="shared" si="484"/>
        <v>369</v>
      </c>
      <c r="AL334" s="487">
        <f t="shared" si="488"/>
        <v>3690</v>
      </c>
      <c r="AM334" s="316">
        <f t="shared" si="498"/>
        <v>1872</v>
      </c>
      <c r="AN334" s="316">
        <f t="shared" si="499"/>
        <v>0</v>
      </c>
      <c r="AO334" s="316">
        <f t="shared" si="500"/>
        <v>1449</v>
      </c>
      <c r="AP334" s="316">
        <f t="shared" si="501"/>
        <v>0</v>
      </c>
      <c r="AQ334" s="169" t="s">
        <v>898</v>
      </c>
      <c r="AR334" s="169" t="s">
        <v>420</v>
      </c>
    </row>
    <row r="335" spans="1:44" ht="30.75" customHeight="1" x14ac:dyDescent="0.3">
      <c r="A335" s="480" t="s">
        <v>278</v>
      </c>
      <c r="B335" s="861" t="s">
        <v>406</v>
      </c>
      <c r="C335" s="862"/>
      <c r="D335" s="862"/>
      <c r="E335" s="862"/>
      <c r="F335" s="862"/>
      <c r="G335" s="862"/>
      <c r="H335" s="863"/>
      <c r="I335" s="481">
        <f>SUM(I336:I347)</f>
        <v>5670</v>
      </c>
      <c r="J335" s="482">
        <f t="shared" ref="J335:M335" si="506">SUM(J336:J347)</f>
        <v>630</v>
      </c>
      <c r="K335" s="482">
        <f t="shared" si="506"/>
        <v>3870</v>
      </c>
      <c r="L335" s="482">
        <f t="shared" si="506"/>
        <v>900</v>
      </c>
      <c r="M335" s="482">
        <f t="shared" si="506"/>
        <v>900</v>
      </c>
      <c r="N335" s="481">
        <f>SUM(N336:N347)</f>
        <v>0</v>
      </c>
      <c r="O335" s="508"/>
      <c r="Q335" s="538"/>
      <c r="R335" s="539"/>
      <c r="S335" s="538"/>
      <c r="T335" s="539"/>
      <c r="U335" s="539"/>
      <c r="V335" s="484"/>
      <c r="W335" s="482">
        <f t="shared" ref="W335:X335" si="507">SUM(W336:W347)</f>
        <v>5670</v>
      </c>
      <c r="X335" s="482">
        <f t="shared" si="507"/>
        <v>630</v>
      </c>
      <c r="Y335" s="482">
        <f>SUM(Y336:Y347)</f>
        <v>5670</v>
      </c>
      <c r="Z335" s="482">
        <f t="shared" ref="Z335:AA335" si="508">SUM(Z336:Z347)</f>
        <v>0</v>
      </c>
      <c r="AA335" s="482">
        <f t="shared" si="508"/>
        <v>0</v>
      </c>
      <c r="AB335" s="481">
        <f>SUM(AB336:AB347)</f>
        <v>0</v>
      </c>
      <c r="AC335" s="508"/>
      <c r="AD335" s="234"/>
      <c r="AE335" s="247" t="s">
        <v>278</v>
      </c>
      <c r="AF335" s="204" t="str">
        <f t="shared" si="505"/>
        <v>Renforcer les capacités de 160 leaders communautaires et relais communautaires sur l'éducation à la paix et la mise en place de comités de paix/médiation pour le règlement pacifique des conflits locaux, le Genre et la prévention des VBG et AES</v>
      </c>
      <c r="AG335" s="485">
        <f>AI335/($AI335+$AK335)</f>
        <v>0.9</v>
      </c>
      <c r="AH335" s="485">
        <f>AK335/($AI335+$AK335)</f>
        <v>0.1</v>
      </c>
      <c r="AI335" s="482">
        <f t="shared" si="483"/>
        <v>11340</v>
      </c>
      <c r="AJ335" s="482">
        <f t="shared" si="491"/>
        <v>0</v>
      </c>
      <c r="AK335" s="482">
        <f t="shared" si="484"/>
        <v>1260</v>
      </c>
      <c r="AL335" s="482">
        <f t="shared" si="488"/>
        <v>12600</v>
      </c>
      <c r="AM335" s="314">
        <f t="shared" si="498"/>
        <v>5670</v>
      </c>
      <c r="AN335" s="314">
        <f t="shared" si="499"/>
        <v>0</v>
      </c>
      <c r="AO335" s="314">
        <f t="shared" si="500"/>
        <v>5670</v>
      </c>
      <c r="AP335" s="314">
        <f t="shared" si="501"/>
        <v>0</v>
      </c>
    </row>
    <row r="336" spans="1:44" s="169" customFormat="1" x14ac:dyDescent="0.3">
      <c r="A336" s="488"/>
      <c r="B336" s="489" t="s">
        <v>1322</v>
      </c>
      <c r="C336" s="489"/>
      <c r="D336" s="490"/>
      <c r="E336" s="491"/>
      <c r="F336" s="492"/>
      <c r="G336" s="493"/>
      <c r="H336" s="493"/>
      <c r="I336" s="494"/>
      <c r="J336" s="495"/>
      <c r="K336" s="495"/>
      <c r="L336" s="495"/>
      <c r="M336" s="495"/>
      <c r="N336" s="494"/>
      <c r="O336" s="496"/>
      <c r="Q336" s="489"/>
      <c r="R336" s="490"/>
      <c r="S336" s="491"/>
      <c r="T336" s="492"/>
      <c r="U336" s="493"/>
      <c r="V336" s="493"/>
      <c r="W336" s="495"/>
      <c r="X336" s="495"/>
      <c r="Y336" s="495"/>
      <c r="Z336" s="495"/>
      <c r="AA336" s="495"/>
      <c r="AB336" s="494"/>
      <c r="AC336" s="498"/>
      <c r="AD336" s="182"/>
      <c r="AE336" s="204"/>
      <c r="AF336" s="204" t="str">
        <f t="shared" si="505"/>
        <v>Identifier les leaders et relais communautaires comme participants à la session de formation</v>
      </c>
      <c r="AG336" s="493"/>
      <c r="AH336" s="493"/>
      <c r="AI336" s="495"/>
      <c r="AJ336" s="495">
        <f t="shared" si="491"/>
        <v>0</v>
      </c>
      <c r="AK336" s="495"/>
      <c r="AL336" s="495">
        <f t="shared" si="488"/>
        <v>0</v>
      </c>
      <c r="AM336" s="317">
        <f t="shared" si="498"/>
        <v>0</v>
      </c>
      <c r="AN336" s="317">
        <f t="shared" si="499"/>
        <v>0</v>
      </c>
      <c r="AO336" s="317">
        <f t="shared" si="500"/>
        <v>0</v>
      </c>
      <c r="AP336" s="317">
        <f t="shared" si="501"/>
        <v>0</v>
      </c>
      <c r="AQ336" s="169" t="s">
        <v>898</v>
      </c>
      <c r="AR336" s="169" t="s">
        <v>349</v>
      </c>
    </row>
    <row r="337" spans="1:47" s="169" customFormat="1" x14ac:dyDescent="0.3">
      <c r="A337" s="509">
        <v>1</v>
      </c>
      <c r="B337" s="510" t="s">
        <v>1323</v>
      </c>
      <c r="C337" s="409" t="s">
        <v>1324</v>
      </c>
      <c r="D337" s="556">
        <v>0</v>
      </c>
      <c r="E337" s="557">
        <v>20</v>
      </c>
      <c r="F337" s="558">
        <v>1</v>
      </c>
      <c r="G337" s="503">
        <v>0.9</v>
      </c>
      <c r="H337" s="503">
        <v>0.1</v>
      </c>
      <c r="I337" s="416">
        <f t="shared" ref="I337" si="509">D337*E337*F337*G337</f>
        <v>0</v>
      </c>
      <c r="J337" s="487">
        <f t="shared" ref="J337:J347" si="510">D337*E337*F337*H337</f>
        <v>0</v>
      </c>
      <c r="K337" s="487">
        <f>I337</f>
        <v>0</v>
      </c>
      <c r="L337" s="487"/>
      <c r="M337" s="487"/>
      <c r="N337" s="416">
        <v>0</v>
      </c>
      <c r="O337" s="507" t="s">
        <v>1325</v>
      </c>
      <c r="Q337" s="409" t="s">
        <v>1324</v>
      </c>
      <c r="R337" s="556">
        <v>0</v>
      </c>
      <c r="S337" s="557">
        <v>20</v>
      </c>
      <c r="T337" s="558">
        <v>1</v>
      </c>
      <c r="U337" s="503">
        <v>0.9</v>
      </c>
      <c r="V337" s="503">
        <v>0.1</v>
      </c>
      <c r="W337" s="416">
        <f t="shared" ref="W337" si="511">R337*S337*T337*U337</f>
        <v>0</v>
      </c>
      <c r="X337" s="487">
        <f t="shared" ref="X337:X347" si="512">R337*S337*T337*V337</f>
        <v>0</v>
      </c>
      <c r="Y337" s="487">
        <f t="shared" ref="Y337" si="513">W337</f>
        <v>0</v>
      </c>
      <c r="Z337" s="487"/>
      <c r="AA337" s="487"/>
      <c r="AB337" s="416">
        <v>0</v>
      </c>
      <c r="AC337" s="507" t="s">
        <v>1325</v>
      </c>
      <c r="AD337" s="228"/>
      <c r="AE337" s="241">
        <v>1</v>
      </c>
      <c r="AF337" s="204" t="str">
        <f t="shared" si="505"/>
        <v>Identifier les leaders et relais communautaires dans 20 communitées ciblees</v>
      </c>
      <c r="AG337" s="486"/>
      <c r="AH337" s="486"/>
      <c r="AI337" s="506">
        <f>I337+W337</f>
        <v>0</v>
      </c>
      <c r="AJ337" s="506">
        <f t="shared" si="491"/>
        <v>0</v>
      </c>
      <c r="AK337" s="487">
        <f>J337+X337</f>
        <v>0</v>
      </c>
      <c r="AL337" s="487">
        <f t="shared" si="488"/>
        <v>0</v>
      </c>
      <c r="AM337" s="316">
        <f t="shared" si="498"/>
        <v>0</v>
      </c>
      <c r="AN337" s="316">
        <f t="shared" si="499"/>
        <v>0</v>
      </c>
      <c r="AO337" s="316">
        <f t="shared" si="500"/>
        <v>0</v>
      </c>
      <c r="AP337" s="316">
        <f t="shared" si="501"/>
        <v>0</v>
      </c>
      <c r="AQ337" s="169" t="s">
        <v>898</v>
      </c>
      <c r="AR337" s="169" t="s">
        <v>349</v>
      </c>
    </row>
    <row r="338" spans="1:47" s="169" customFormat="1" ht="26" x14ac:dyDescent="0.3">
      <c r="A338" s="488"/>
      <c r="B338" s="489" t="s">
        <v>1326</v>
      </c>
      <c r="C338" s="489"/>
      <c r="D338" s="490"/>
      <c r="E338" s="491"/>
      <c r="F338" s="492"/>
      <c r="G338" s="493">
        <v>0</v>
      </c>
      <c r="H338" s="493">
        <v>0</v>
      </c>
      <c r="I338" s="494">
        <v>0</v>
      </c>
      <c r="J338" s="495">
        <f t="shared" si="510"/>
        <v>0</v>
      </c>
      <c r="K338" s="495">
        <v>0</v>
      </c>
      <c r="L338" s="495"/>
      <c r="M338" s="495"/>
      <c r="N338" s="494"/>
      <c r="O338" s="496"/>
      <c r="Q338" s="489"/>
      <c r="R338" s="490"/>
      <c r="S338" s="491"/>
      <c r="T338" s="492"/>
      <c r="U338" s="493">
        <v>0</v>
      </c>
      <c r="V338" s="493">
        <v>0</v>
      </c>
      <c r="W338" s="495">
        <v>0</v>
      </c>
      <c r="X338" s="495">
        <f t="shared" si="512"/>
        <v>0</v>
      </c>
      <c r="Y338" s="495">
        <v>0</v>
      </c>
      <c r="Z338" s="495"/>
      <c r="AA338" s="495"/>
      <c r="AB338" s="494"/>
      <c r="AC338" s="498"/>
      <c r="AD338" s="182"/>
      <c r="AE338" s="204"/>
      <c r="AF338" s="204" t="str">
        <f t="shared" si="505"/>
        <v>Former les leaders et relais communautaires aux modules de consolidation de la paix et de médiation communautaire.</v>
      </c>
      <c r="AG338" s="493"/>
      <c r="AH338" s="493"/>
      <c r="AI338" s="495"/>
      <c r="AJ338" s="495">
        <f t="shared" si="491"/>
        <v>0</v>
      </c>
      <c r="AK338" s="495"/>
      <c r="AL338" s="495">
        <f t="shared" si="488"/>
        <v>0</v>
      </c>
      <c r="AM338" s="317">
        <f t="shared" si="498"/>
        <v>0</v>
      </c>
      <c r="AN338" s="317">
        <f t="shared" si="499"/>
        <v>0</v>
      </c>
      <c r="AO338" s="317">
        <f t="shared" si="500"/>
        <v>0</v>
      </c>
      <c r="AP338" s="317">
        <f t="shared" si="501"/>
        <v>0</v>
      </c>
      <c r="AQ338" s="169" t="s">
        <v>898</v>
      </c>
      <c r="AR338" s="169" t="s">
        <v>349</v>
      </c>
    </row>
    <row r="339" spans="1:47" s="169" customFormat="1" ht="26" x14ac:dyDescent="0.3">
      <c r="A339" s="509">
        <v>2</v>
      </c>
      <c r="B339" s="510" t="s">
        <v>407</v>
      </c>
      <c r="C339" s="409" t="s">
        <v>387</v>
      </c>
      <c r="D339" s="536">
        <v>50</v>
      </c>
      <c r="E339" s="411">
        <v>2</v>
      </c>
      <c r="F339" s="512">
        <v>3</v>
      </c>
      <c r="G339" s="503">
        <v>0.9</v>
      </c>
      <c r="H339" s="503">
        <v>0.1</v>
      </c>
      <c r="I339" s="416">
        <f t="shared" ref="I339:I347" si="514">D339*E339*F339*G339</f>
        <v>270</v>
      </c>
      <c r="J339" s="487">
        <f t="shared" si="510"/>
        <v>30</v>
      </c>
      <c r="K339" s="487">
        <f t="shared" ref="K339:K344" si="515">I339</f>
        <v>270</v>
      </c>
      <c r="L339" s="487"/>
      <c r="M339" s="487"/>
      <c r="N339" s="416">
        <v>0</v>
      </c>
      <c r="O339" s="507" t="s">
        <v>1327</v>
      </c>
      <c r="P339" s="171"/>
      <c r="Q339" s="409" t="s">
        <v>387</v>
      </c>
      <c r="R339" s="516">
        <v>50</v>
      </c>
      <c r="S339" s="411">
        <v>2</v>
      </c>
      <c r="T339" s="514">
        <v>3</v>
      </c>
      <c r="U339" s="503">
        <v>0.9</v>
      </c>
      <c r="V339" s="503">
        <v>0.1</v>
      </c>
      <c r="W339" s="506">
        <f t="shared" ref="W339:W347" si="516">R339*S339*T339*U339</f>
        <v>270</v>
      </c>
      <c r="X339" s="487">
        <f t="shared" si="512"/>
        <v>30</v>
      </c>
      <c r="Y339" s="487">
        <f t="shared" ref="Y339:Y347" si="517">W339</f>
        <v>270</v>
      </c>
      <c r="Z339" s="487"/>
      <c r="AA339" s="487"/>
      <c r="AB339" s="416">
        <v>0</v>
      </c>
      <c r="AC339" s="417" t="s">
        <v>1327</v>
      </c>
      <c r="AD339" s="227"/>
      <c r="AE339" s="241">
        <v>2</v>
      </c>
      <c r="AF339" s="204" t="str">
        <f t="shared" si="505"/>
        <v>Lieu de formation</v>
      </c>
      <c r="AG339" s="486">
        <f>AI339/($AI339+$AK339)</f>
        <v>0.9</v>
      </c>
      <c r="AH339" s="486">
        <f>AK339/($AI339+$AK339)</f>
        <v>0.1</v>
      </c>
      <c r="AI339" s="506">
        <f>I339+W339</f>
        <v>540</v>
      </c>
      <c r="AJ339" s="506">
        <f t="shared" si="491"/>
        <v>0</v>
      </c>
      <c r="AK339" s="487">
        <f>J339+X339</f>
        <v>60</v>
      </c>
      <c r="AL339" s="487">
        <f t="shared" si="488"/>
        <v>600</v>
      </c>
      <c r="AM339" s="316">
        <f t="shared" si="498"/>
        <v>270</v>
      </c>
      <c r="AN339" s="316">
        <f t="shared" si="499"/>
        <v>0</v>
      </c>
      <c r="AO339" s="316">
        <f t="shared" si="500"/>
        <v>270</v>
      </c>
      <c r="AP339" s="316">
        <f t="shared" si="501"/>
        <v>0</v>
      </c>
      <c r="AQ339" s="169" t="s">
        <v>898</v>
      </c>
      <c r="AR339" s="169" t="s">
        <v>349</v>
      </c>
    </row>
    <row r="340" spans="1:47" s="169" customFormat="1" x14ac:dyDescent="0.3">
      <c r="A340" s="509">
        <v>3</v>
      </c>
      <c r="B340" s="510" t="s">
        <v>408</v>
      </c>
      <c r="C340" s="409" t="s">
        <v>352</v>
      </c>
      <c r="D340" s="536">
        <v>5</v>
      </c>
      <c r="E340" s="411">
        <v>80</v>
      </c>
      <c r="F340" s="512">
        <v>3</v>
      </c>
      <c r="G340" s="503">
        <v>0.9</v>
      </c>
      <c r="H340" s="503">
        <v>0.1</v>
      </c>
      <c r="I340" s="416">
        <f t="shared" si="514"/>
        <v>1080</v>
      </c>
      <c r="J340" s="487">
        <f t="shared" si="510"/>
        <v>120</v>
      </c>
      <c r="K340" s="487">
        <f t="shared" si="515"/>
        <v>1080</v>
      </c>
      <c r="L340" s="487"/>
      <c r="M340" s="487"/>
      <c r="N340" s="416">
        <v>0</v>
      </c>
      <c r="O340" s="507" t="s">
        <v>1328</v>
      </c>
      <c r="P340" s="171"/>
      <c r="Q340" s="409" t="s">
        <v>352</v>
      </c>
      <c r="R340" s="516">
        <v>5</v>
      </c>
      <c r="S340" s="411">
        <v>80</v>
      </c>
      <c r="T340" s="514">
        <v>3</v>
      </c>
      <c r="U340" s="503">
        <v>0.9</v>
      </c>
      <c r="V340" s="503">
        <v>0.1</v>
      </c>
      <c r="W340" s="506">
        <f t="shared" si="516"/>
        <v>1080</v>
      </c>
      <c r="X340" s="487">
        <f t="shared" si="512"/>
        <v>120</v>
      </c>
      <c r="Y340" s="487">
        <f t="shared" si="517"/>
        <v>1080</v>
      </c>
      <c r="Z340" s="487"/>
      <c r="AA340" s="487"/>
      <c r="AB340" s="416">
        <v>0</v>
      </c>
      <c r="AC340" s="417" t="s">
        <v>1328</v>
      </c>
      <c r="AD340" s="227"/>
      <c r="AE340" s="241">
        <v>3</v>
      </c>
      <c r="AF340" s="204" t="str">
        <f t="shared" si="505"/>
        <v>Repas</v>
      </c>
      <c r="AG340" s="486">
        <f>AI340/($AI340+$AK340)</f>
        <v>0.9</v>
      </c>
      <c r="AH340" s="486">
        <f>AK340/($AI340+$AK340)</f>
        <v>0.1</v>
      </c>
      <c r="AI340" s="506">
        <f>I340+W340</f>
        <v>2160</v>
      </c>
      <c r="AJ340" s="506">
        <f t="shared" si="491"/>
        <v>0</v>
      </c>
      <c r="AK340" s="487">
        <f>J340+X340</f>
        <v>240</v>
      </c>
      <c r="AL340" s="487">
        <f t="shared" si="488"/>
        <v>2400</v>
      </c>
      <c r="AM340" s="316">
        <f t="shared" si="498"/>
        <v>1080</v>
      </c>
      <c r="AN340" s="316">
        <f t="shared" si="499"/>
        <v>0</v>
      </c>
      <c r="AO340" s="316">
        <f t="shared" si="500"/>
        <v>1080</v>
      </c>
      <c r="AP340" s="316">
        <f t="shared" si="501"/>
        <v>0</v>
      </c>
      <c r="AQ340" s="169" t="s">
        <v>898</v>
      </c>
      <c r="AR340" s="169" t="s">
        <v>349</v>
      </c>
    </row>
    <row r="341" spans="1:47" s="169" customFormat="1" ht="26" x14ac:dyDescent="0.3">
      <c r="A341" s="509">
        <v>4</v>
      </c>
      <c r="B341" s="510" t="s">
        <v>447</v>
      </c>
      <c r="C341" s="409" t="s">
        <v>352</v>
      </c>
      <c r="D341" s="559">
        <v>2.5</v>
      </c>
      <c r="E341" s="411">
        <v>80</v>
      </c>
      <c r="F341" s="512">
        <v>1</v>
      </c>
      <c r="G341" s="503">
        <v>0.9</v>
      </c>
      <c r="H341" s="503">
        <v>0.1</v>
      </c>
      <c r="I341" s="416">
        <f t="shared" si="514"/>
        <v>180</v>
      </c>
      <c r="J341" s="487">
        <f t="shared" si="510"/>
        <v>20</v>
      </c>
      <c r="K341" s="487">
        <f t="shared" si="515"/>
        <v>180</v>
      </c>
      <c r="L341" s="487"/>
      <c r="M341" s="487"/>
      <c r="N341" s="416">
        <v>0</v>
      </c>
      <c r="O341" s="507" t="s">
        <v>1329</v>
      </c>
      <c r="P341" s="171"/>
      <c r="Q341" s="409" t="s">
        <v>352</v>
      </c>
      <c r="R341" s="516">
        <v>2.5</v>
      </c>
      <c r="S341" s="411">
        <v>80</v>
      </c>
      <c r="T341" s="514">
        <v>1</v>
      </c>
      <c r="U341" s="503">
        <v>0.9</v>
      </c>
      <c r="V341" s="503">
        <v>0.1</v>
      </c>
      <c r="W341" s="506">
        <f t="shared" si="516"/>
        <v>180</v>
      </c>
      <c r="X341" s="487">
        <f t="shared" si="512"/>
        <v>20</v>
      </c>
      <c r="Y341" s="487">
        <f t="shared" si="517"/>
        <v>180</v>
      </c>
      <c r="Z341" s="487"/>
      <c r="AA341" s="487"/>
      <c r="AB341" s="416">
        <v>0</v>
      </c>
      <c r="AC341" s="417" t="s">
        <v>1329</v>
      </c>
      <c r="AD341" s="227"/>
      <c r="AE341" s="241">
        <v>4</v>
      </c>
      <c r="AF341" s="204" t="str">
        <f t="shared" si="505"/>
        <v>Fournitures de formation</v>
      </c>
      <c r="AG341" s="486">
        <f>AI341/($AI341+$AK341)</f>
        <v>0.9</v>
      </c>
      <c r="AH341" s="486">
        <f>AK341/($AI341+$AK341)</f>
        <v>0.1</v>
      </c>
      <c r="AI341" s="506">
        <f>I341+W341</f>
        <v>360</v>
      </c>
      <c r="AJ341" s="506">
        <f t="shared" si="491"/>
        <v>0</v>
      </c>
      <c r="AK341" s="487">
        <f>J341+X341</f>
        <v>40</v>
      </c>
      <c r="AL341" s="487">
        <f t="shared" si="488"/>
        <v>400</v>
      </c>
      <c r="AM341" s="316">
        <f t="shared" si="498"/>
        <v>180</v>
      </c>
      <c r="AN341" s="316">
        <f t="shared" si="499"/>
        <v>0</v>
      </c>
      <c r="AO341" s="316">
        <f t="shared" si="500"/>
        <v>180</v>
      </c>
      <c r="AP341" s="316">
        <f t="shared" si="501"/>
        <v>0</v>
      </c>
      <c r="AQ341" s="169" t="s">
        <v>898</v>
      </c>
      <c r="AR341" s="169" t="s">
        <v>349</v>
      </c>
    </row>
    <row r="342" spans="1:47" s="169" customFormat="1" ht="26" x14ac:dyDescent="0.3">
      <c r="A342" s="509">
        <v>5</v>
      </c>
      <c r="B342" s="510" t="s">
        <v>456</v>
      </c>
      <c r="C342" s="409" t="s">
        <v>352</v>
      </c>
      <c r="D342" s="536">
        <v>5</v>
      </c>
      <c r="E342" s="411">
        <v>80</v>
      </c>
      <c r="F342" s="512">
        <v>3</v>
      </c>
      <c r="G342" s="503">
        <v>0.9</v>
      </c>
      <c r="H342" s="503">
        <v>0.1</v>
      </c>
      <c r="I342" s="416">
        <f t="shared" si="514"/>
        <v>1080</v>
      </c>
      <c r="J342" s="487">
        <f t="shared" si="510"/>
        <v>120</v>
      </c>
      <c r="K342" s="487">
        <f t="shared" si="515"/>
        <v>1080</v>
      </c>
      <c r="L342" s="487"/>
      <c r="M342" s="487"/>
      <c r="N342" s="416">
        <v>0</v>
      </c>
      <c r="O342" s="507" t="s">
        <v>1330</v>
      </c>
      <c r="P342" s="171"/>
      <c r="Q342" s="409" t="s">
        <v>352</v>
      </c>
      <c r="R342" s="516">
        <v>5</v>
      </c>
      <c r="S342" s="411">
        <v>80</v>
      </c>
      <c r="T342" s="514">
        <v>3</v>
      </c>
      <c r="U342" s="503">
        <v>0.9</v>
      </c>
      <c r="V342" s="503">
        <v>0.1</v>
      </c>
      <c r="W342" s="506">
        <f t="shared" si="516"/>
        <v>1080</v>
      </c>
      <c r="X342" s="487">
        <f t="shared" si="512"/>
        <v>120</v>
      </c>
      <c r="Y342" s="487">
        <f t="shared" si="517"/>
        <v>1080</v>
      </c>
      <c r="Z342" s="487"/>
      <c r="AA342" s="487"/>
      <c r="AB342" s="416">
        <v>0</v>
      </c>
      <c r="AC342" s="417" t="s">
        <v>1330</v>
      </c>
      <c r="AD342" s="227"/>
      <c r="AE342" s="241">
        <v>5</v>
      </c>
      <c r="AF342" s="204" t="str">
        <f t="shared" si="505"/>
        <v>Transport</v>
      </c>
      <c r="AG342" s="486">
        <f>AI342/($AI342+$AK342)</f>
        <v>0.9</v>
      </c>
      <c r="AH342" s="486">
        <f>AK342/($AI342+$AK342)</f>
        <v>0.1</v>
      </c>
      <c r="AI342" s="506">
        <f>I342+W342</f>
        <v>2160</v>
      </c>
      <c r="AJ342" s="506">
        <f t="shared" si="491"/>
        <v>0</v>
      </c>
      <c r="AK342" s="487">
        <f>J342+X342</f>
        <v>240</v>
      </c>
      <c r="AL342" s="487">
        <f t="shared" si="488"/>
        <v>2400</v>
      </c>
      <c r="AM342" s="316">
        <f t="shared" si="498"/>
        <v>1080</v>
      </c>
      <c r="AN342" s="316">
        <f t="shared" si="499"/>
        <v>0</v>
      </c>
      <c r="AO342" s="316">
        <f t="shared" si="500"/>
        <v>1080</v>
      </c>
      <c r="AP342" s="316">
        <f t="shared" si="501"/>
        <v>0</v>
      </c>
      <c r="AQ342" s="169" t="s">
        <v>898</v>
      </c>
      <c r="AR342" s="169" t="s">
        <v>349</v>
      </c>
    </row>
    <row r="343" spans="1:47" s="169" customFormat="1" x14ac:dyDescent="0.3">
      <c r="A343" s="509">
        <v>6</v>
      </c>
      <c r="B343" s="510" t="s">
        <v>410</v>
      </c>
      <c r="C343" s="409" t="s">
        <v>352</v>
      </c>
      <c r="D343" s="536">
        <v>5</v>
      </c>
      <c r="E343" s="411">
        <v>80</v>
      </c>
      <c r="F343" s="512">
        <v>1</v>
      </c>
      <c r="G343" s="503">
        <v>0.9</v>
      </c>
      <c r="H343" s="503">
        <v>0.1</v>
      </c>
      <c r="I343" s="416">
        <f t="shared" si="514"/>
        <v>360</v>
      </c>
      <c r="J343" s="487">
        <f t="shared" si="510"/>
        <v>40</v>
      </c>
      <c r="K343" s="487">
        <f t="shared" si="515"/>
        <v>360</v>
      </c>
      <c r="L343" s="487"/>
      <c r="M343" s="487"/>
      <c r="N343" s="416">
        <v>0</v>
      </c>
      <c r="O343" s="507" t="s">
        <v>409</v>
      </c>
      <c r="P343" s="171"/>
      <c r="Q343" s="409" t="s">
        <v>352</v>
      </c>
      <c r="R343" s="516">
        <v>5</v>
      </c>
      <c r="S343" s="411">
        <v>80</v>
      </c>
      <c r="T343" s="514">
        <v>1</v>
      </c>
      <c r="U343" s="503">
        <v>0.9</v>
      </c>
      <c r="V343" s="503">
        <v>0.1</v>
      </c>
      <c r="W343" s="506">
        <f t="shared" si="516"/>
        <v>360</v>
      </c>
      <c r="X343" s="487">
        <f t="shared" si="512"/>
        <v>40</v>
      </c>
      <c r="Y343" s="487">
        <f t="shared" si="517"/>
        <v>360</v>
      </c>
      <c r="Z343" s="487"/>
      <c r="AA343" s="487"/>
      <c r="AB343" s="416">
        <v>0</v>
      </c>
      <c r="AC343" s="417" t="s">
        <v>409</v>
      </c>
      <c r="AD343" s="227"/>
      <c r="AE343" s="241">
        <v>6</v>
      </c>
      <c r="AF343" s="204" t="str">
        <f t="shared" si="505"/>
        <v>Impression des modules de formation</v>
      </c>
      <c r="AG343" s="486">
        <f>AI343/($AI343+$AK343)</f>
        <v>0.9</v>
      </c>
      <c r="AH343" s="486">
        <f>AK343/($AI343+$AK343)</f>
        <v>0.1</v>
      </c>
      <c r="AI343" s="506">
        <f>I343+W343</f>
        <v>720</v>
      </c>
      <c r="AJ343" s="506">
        <f t="shared" si="491"/>
        <v>0</v>
      </c>
      <c r="AK343" s="487">
        <f>J343+X343</f>
        <v>80</v>
      </c>
      <c r="AL343" s="487">
        <f t="shared" si="488"/>
        <v>800</v>
      </c>
      <c r="AM343" s="316">
        <f t="shared" si="498"/>
        <v>360</v>
      </c>
      <c r="AN343" s="316">
        <f t="shared" si="499"/>
        <v>0</v>
      </c>
      <c r="AO343" s="316">
        <f t="shared" si="500"/>
        <v>360</v>
      </c>
      <c r="AP343" s="316">
        <f t="shared" si="501"/>
        <v>0</v>
      </c>
      <c r="AQ343" s="169" t="s">
        <v>898</v>
      </c>
      <c r="AR343" s="169" t="s">
        <v>349</v>
      </c>
    </row>
    <row r="344" spans="1:47" s="169" customFormat="1" x14ac:dyDescent="0.3">
      <c r="A344" s="488"/>
      <c r="B344" s="489" t="s">
        <v>411</v>
      </c>
      <c r="C344" s="489"/>
      <c r="D344" s="490"/>
      <c r="E344" s="491"/>
      <c r="F344" s="492"/>
      <c r="G344" s="493">
        <v>0.85</v>
      </c>
      <c r="H344" s="493">
        <v>0.15</v>
      </c>
      <c r="I344" s="494">
        <f t="shared" si="514"/>
        <v>0</v>
      </c>
      <c r="J344" s="495">
        <f t="shared" si="510"/>
        <v>0</v>
      </c>
      <c r="K344" s="495">
        <f t="shared" si="515"/>
        <v>0</v>
      </c>
      <c r="L344" s="495"/>
      <c r="M344" s="495"/>
      <c r="N344" s="494"/>
      <c r="O344" s="496"/>
      <c r="Q344" s="489"/>
      <c r="R344" s="490"/>
      <c r="S344" s="491"/>
      <c r="T344" s="492"/>
      <c r="U344" s="493">
        <v>0.85</v>
      </c>
      <c r="V344" s="493">
        <v>0.15</v>
      </c>
      <c r="W344" s="495">
        <f t="shared" si="516"/>
        <v>0</v>
      </c>
      <c r="X344" s="495">
        <f t="shared" si="512"/>
        <v>0</v>
      </c>
      <c r="Y344" s="495">
        <f t="shared" si="517"/>
        <v>0</v>
      </c>
      <c r="Z344" s="495"/>
      <c r="AA344" s="495"/>
      <c r="AB344" s="494"/>
      <c r="AC344" s="498"/>
      <c r="AD344" s="182"/>
      <c r="AE344" s="204"/>
      <c r="AF344" s="204" t="str">
        <f t="shared" si="505"/>
        <v>Mettre en place des comités communautaires de gestion des conflits</v>
      </c>
      <c r="AG344" s="493"/>
      <c r="AH344" s="493"/>
      <c r="AI344" s="495"/>
      <c r="AJ344" s="495">
        <f t="shared" si="491"/>
        <v>0</v>
      </c>
      <c r="AK344" s="495"/>
      <c r="AL344" s="495">
        <f t="shared" si="488"/>
        <v>0</v>
      </c>
      <c r="AM344" s="317">
        <f t="shared" si="498"/>
        <v>0</v>
      </c>
      <c r="AN344" s="317">
        <f t="shared" si="499"/>
        <v>0</v>
      </c>
      <c r="AO344" s="317">
        <f t="shared" si="500"/>
        <v>0</v>
      </c>
      <c r="AP344" s="317">
        <f t="shared" si="501"/>
        <v>0</v>
      </c>
      <c r="AQ344" s="169" t="s">
        <v>898</v>
      </c>
      <c r="AR344" s="169" t="s">
        <v>349</v>
      </c>
    </row>
    <row r="345" spans="1:47" s="169" customFormat="1" ht="26" x14ac:dyDescent="0.3">
      <c r="A345" s="509">
        <v>7</v>
      </c>
      <c r="B345" s="510" t="s">
        <v>413</v>
      </c>
      <c r="C345" s="409" t="s">
        <v>412</v>
      </c>
      <c r="D345" s="536">
        <v>100</v>
      </c>
      <c r="E345" s="411">
        <v>10</v>
      </c>
      <c r="F345" s="512">
        <v>1</v>
      </c>
      <c r="G345" s="503">
        <v>0.9</v>
      </c>
      <c r="H345" s="503">
        <v>0.1</v>
      </c>
      <c r="I345" s="416">
        <f t="shared" si="514"/>
        <v>900</v>
      </c>
      <c r="J345" s="487">
        <f t="shared" si="510"/>
        <v>100</v>
      </c>
      <c r="K345" s="513">
        <f>I345/3</f>
        <v>300</v>
      </c>
      <c r="L345" s="513">
        <f>I345/3</f>
        <v>300</v>
      </c>
      <c r="M345" s="513">
        <f>I345/3</f>
        <v>300</v>
      </c>
      <c r="N345" s="416">
        <v>0</v>
      </c>
      <c r="O345" s="507" t="s">
        <v>414</v>
      </c>
      <c r="P345" s="171"/>
      <c r="Q345" s="409" t="s">
        <v>412</v>
      </c>
      <c r="R345" s="516">
        <v>100</v>
      </c>
      <c r="S345" s="411">
        <v>10</v>
      </c>
      <c r="T345" s="514">
        <v>1</v>
      </c>
      <c r="U345" s="503">
        <v>0.9</v>
      </c>
      <c r="V345" s="503">
        <v>0.1</v>
      </c>
      <c r="W345" s="506">
        <f t="shared" si="516"/>
        <v>900</v>
      </c>
      <c r="X345" s="487">
        <f t="shared" si="512"/>
        <v>100</v>
      </c>
      <c r="Y345" s="487">
        <f t="shared" si="517"/>
        <v>900</v>
      </c>
      <c r="Z345" s="487"/>
      <c r="AA345" s="487"/>
      <c r="AB345" s="416">
        <v>0</v>
      </c>
      <c r="AC345" s="417" t="s">
        <v>414</v>
      </c>
      <c r="AD345" s="227"/>
      <c r="AE345" s="241">
        <v>7</v>
      </c>
      <c r="AF345" s="204" t="str">
        <f t="shared" si="505"/>
        <v>Soutenir les comités dans l'analyse des conflits et les plans de consolidation de la paix pour leurs communautés.</v>
      </c>
      <c r="AG345" s="486">
        <f t="shared" ref="AG345:AG372" si="518">AI345/($AI345+$AK345)</f>
        <v>0.9</v>
      </c>
      <c r="AH345" s="486">
        <f t="shared" ref="AH345:AH372" si="519">AK345/($AI345+$AK345)</f>
        <v>0.1</v>
      </c>
      <c r="AI345" s="506">
        <f t="shared" ref="AI345:AI372" si="520">I345+W345</f>
        <v>1800</v>
      </c>
      <c r="AJ345" s="506">
        <f t="shared" si="491"/>
        <v>0</v>
      </c>
      <c r="AK345" s="487">
        <f t="shared" ref="AK345:AK372" si="521">J345+X345</f>
        <v>200</v>
      </c>
      <c r="AL345" s="487">
        <f t="shared" si="488"/>
        <v>2000</v>
      </c>
      <c r="AM345" s="316">
        <f t="shared" si="498"/>
        <v>900</v>
      </c>
      <c r="AN345" s="316">
        <f t="shared" si="499"/>
        <v>0</v>
      </c>
      <c r="AO345" s="316">
        <f t="shared" si="500"/>
        <v>900</v>
      </c>
      <c r="AP345" s="316">
        <f t="shared" si="501"/>
        <v>0</v>
      </c>
      <c r="AQ345" s="169" t="s">
        <v>898</v>
      </c>
      <c r="AR345" s="169" t="s">
        <v>349</v>
      </c>
    </row>
    <row r="346" spans="1:47" s="169" customFormat="1" ht="26" x14ac:dyDescent="0.3">
      <c r="A346" s="509">
        <v>8</v>
      </c>
      <c r="B346" s="510" t="s">
        <v>415</v>
      </c>
      <c r="C346" s="409" t="s">
        <v>412</v>
      </c>
      <c r="D346" s="536">
        <v>100</v>
      </c>
      <c r="E346" s="411">
        <v>10</v>
      </c>
      <c r="F346" s="512">
        <v>1</v>
      </c>
      <c r="G346" s="503">
        <v>0.9</v>
      </c>
      <c r="H346" s="503">
        <v>0.1</v>
      </c>
      <c r="I346" s="416">
        <f t="shared" si="514"/>
        <v>900</v>
      </c>
      <c r="J346" s="487">
        <f t="shared" si="510"/>
        <v>100</v>
      </c>
      <c r="K346" s="513">
        <f>I346/3</f>
        <v>300</v>
      </c>
      <c r="L346" s="513">
        <f>I346/3</f>
        <v>300</v>
      </c>
      <c r="M346" s="513">
        <f>I346/3</f>
        <v>300</v>
      </c>
      <c r="N346" s="416">
        <v>0</v>
      </c>
      <c r="O346" s="507" t="s">
        <v>416</v>
      </c>
      <c r="P346" s="171"/>
      <c r="Q346" s="409" t="s">
        <v>412</v>
      </c>
      <c r="R346" s="516">
        <v>100</v>
      </c>
      <c r="S346" s="411">
        <v>10</v>
      </c>
      <c r="T346" s="514">
        <v>1</v>
      </c>
      <c r="U346" s="503">
        <v>0.9</v>
      </c>
      <c r="V346" s="503">
        <v>0.1</v>
      </c>
      <c r="W346" s="506">
        <f t="shared" si="516"/>
        <v>900</v>
      </c>
      <c r="X346" s="487">
        <f t="shared" si="512"/>
        <v>100</v>
      </c>
      <c r="Y346" s="487">
        <f t="shared" si="517"/>
        <v>900</v>
      </c>
      <c r="Z346" s="487"/>
      <c r="AA346" s="487"/>
      <c r="AB346" s="416">
        <v>0</v>
      </c>
      <c r="AC346" s="417" t="s">
        <v>416</v>
      </c>
      <c r="AD346" s="227"/>
      <c r="AE346" s="241">
        <v>8</v>
      </c>
      <c r="AF346" s="204" t="str">
        <f t="shared" si="505"/>
        <v>Soutenir les comités dans leurs efforts de médiation au sein des communautés.</v>
      </c>
      <c r="AG346" s="486">
        <f t="shared" si="518"/>
        <v>0.9</v>
      </c>
      <c r="AH346" s="486">
        <f t="shared" si="519"/>
        <v>0.1</v>
      </c>
      <c r="AI346" s="506">
        <f t="shared" si="520"/>
        <v>1800</v>
      </c>
      <c r="AJ346" s="506">
        <f t="shared" si="491"/>
        <v>0</v>
      </c>
      <c r="AK346" s="487">
        <f t="shared" si="521"/>
        <v>200</v>
      </c>
      <c r="AL346" s="487">
        <f t="shared" si="488"/>
        <v>2000</v>
      </c>
      <c r="AM346" s="316">
        <f t="shared" si="498"/>
        <v>900</v>
      </c>
      <c r="AN346" s="316">
        <f t="shared" si="499"/>
        <v>0</v>
      </c>
      <c r="AO346" s="316">
        <f t="shared" si="500"/>
        <v>900</v>
      </c>
      <c r="AP346" s="316">
        <f t="shared" si="501"/>
        <v>0</v>
      </c>
      <c r="AQ346" s="169" t="s">
        <v>898</v>
      </c>
      <c r="AR346" s="169" t="s">
        <v>349</v>
      </c>
    </row>
    <row r="347" spans="1:47" s="169" customFormat="1" ht="26" x14ac:dyDescent="0.3">
      <c r="A347" s="509">
        <v>9</v>
      </c>
      <c r="B347" s="510" t="s">
        <v>417</v>
      </c>
      <c r="C347" s="409" t="s">
        <v>412</v>
      </c>
      <c r="D347" s="536">
        <v>100</v>
      </c>
      <c r="E347" s="411">
        <v>10</v>
      </c>
      <c r="F347" s="512">
        <v>1</v>
      </c>
      <c r="G347" s="503">
        <v>0.9</v>
      </c>
      <c r="H347" s="503">
        <v>0.1</v>
      </c>
      <c r="I347" s="416">
        <f t="shared" si="514"/>
        <v>900</v>
      </c>
      <c r="J347" s="487">
        <f t="shared" si="510"/>
        <v>100</v>
      </c>
      <c r="K347" s="513">
        <f>I347/3</f>
        <v>300</v>
      </c>
      <c r="L347" s="513">
        <f>I347/3</f>
        <v>300</v>
      </c>
      <c r="M347" s="513">
        <f>I347/3</f>
        <v>300</v>
      </c>
      <c r="N347" s="416">
        <v>0</v>
      </c>
      <c r="O347" s="507" t="s">
        <v>418</v>
      </c>
      <c r="P347" s="171"/>
      <c r="Q347" s="409" t="s">
        <v>412</v>
      </c>
      <c r="R347" s="516">
        <v>100</v>
      </c>
      <c r="S347" s="411">
        <v>10</v>
      </c>
      <c r="T347" s="514">
        <v>1</v>
      </c>
      <c r="U347" s="503">
        <v>0.9</v>
      </c>
      <c r="V347" s="503">
        <v>0.1</v>
      </c>
      <c r="W347" s="506">
        <f t="shared" si="516"/>
        <v>900</v>
      </c>
      <c r="X347" s="487">
        <f t="shared" si="512"/>
        <v>100</v>
      </c>
      <c r="Y347" s="487">
        <f t="shared" si="517"/>
        <v>900</v>
      </c>
      <c r="Z347" s="487"/>
      <c r="AA347" s="487"/>
      <c r="AB347" s="416">
        <v>0</v>
      </c>
      <c r="AC347" s="417" t="s">
        <v>418</v>
      </c>
      <c r="AD347" s="227"/>
      <c r="AE347" s="241">
        <v>9</v>
      </c>
      <c r="AF347" s="204" t="str">
        <f t="shared" si="505"/>
        <v>Soutenir les comités dans l'organisation de dialogues communautaires mensuels</v>
      </c>
      <c r="AG347" s="486">
        <f t="shared" si="518"/>
        <v>0.9</v>
      </c>
      <c r="AH347" s="486">
        <f t="shared" si="519"/>
        <v>0.1</v>
      </c>
      <c r="AI347" s="506">
        <f t="shared" si="520"/>
        <v>1800</v>
      </c>
      <c r="AJ347" s="506">
        <f t="shared" si="491"/>
        <v>0</v>
      </c>
      <c r="AK347" s="487">
        <f t="shared" si="521"/>
        <v>200</v>
      </c>
      <c r="AL347" s="487">
        <f t="shared" si="488"/>
        <v>2000</v>
      </c>
      <c r="AM347" s="316">
        <f t="shared" si="498"/>
        <v>900</v>
      </c>
      <c r="AN347" s="316">
        <f t="shared" si="499"/>
        <v>0</v>
      </c>
      <c r="AO347" s="316">
        <f t="shared" si="500"/>
        <v>900</v>
      </c>
      <c r="AP347" s="316">
        <f t="shared" si="501"/>
        <v>0</v>
      </c>
      <c r="AQ347" s="169" t="s">
        <v>898</v>
      </c>
      <c r="AR347" s="169" t="s">
        <v>349</v>
      </c>
    </row>
    <row r="348" spans="1:47" s="173" customFormat="1" ht="38.25" customHeight="1" x14ac:dyDescent="0.3">
      <c r="A348" s="480" t="s">
        <v>279</v>
      </c>
      <c r="B348" s="861" t="s">
        <v>327</v>
      </c>
      <c r="C348" s="862"/>
      <c r="D348" s="862"/>
      <c r="E348" s="862"/>
      <c r="F348" s="862"/>
      <c r="G348" s="862"/>
      <c r="H348" s="863"/>
      <c r="I348" s="481">
        <f>SUM(I349:I357)</f>
        <v>314927.18</v>
      </c>
      <c r="J348" s="482">
        <f t="shared" ref="J348" si="522">SUM(J349:J357)</f>
        <v>0</v>
      </c>
      <c r="K348" s="482">
        <f>SUM(K349:K357)</f>
        <v>220449.02600000001</v>
      </c>
      <c r="L348" s="482">
        <f t="shared" ref="L348:M348" si="523">SUM(L349:L357)</f>
        <v>62985.435999999994</v>
      </c>
      <c r="M348" s="482">
        <f t="shared" si="523"/>
        <v>31492.717999999997</v>
      </c>
      <c r="N348" s="481">
        <f>SUM(N349:N357)</f>
        <v>0</v>
      </c>
      <c r="O348" s="508"/>
      <c r="P348" s="168"/>
      <c r="Q348" s="538"/>
      <c r="R348" s="539"/>
      <c r="S348" s="538"/>
      <c r="T348" s="539"/>
      <c r="U348" s="539"/>
      <c r="V348" s="484"/>
      <c r="W348" s="482">
        <f t="shared" ref="W348:X348" si="524">SUM(W349:W357)</f>
        <v>184198.72</v>
      </c>
      <c r="X348" s="482">
        <f t="shared" si="524"/>
        <v>0</v>
      </c>
      <c r="Y348" s="482">
        <f>SUM(Y349:Y357)</f>
        <v>128939.10400000001</v>
      </c>
      <c r="Z348" s="482">
        <f t="shared" ref="Z348:AA348" si="525">SUM(Z349:Z357)</f>
        <v>36839.743999999999</v>
      </c>
      <c r="AA348" s="482">
        <f t="shared" si="525"/>
        <v>18419.871999999999</v>
      </c>
      <c r="AB348" s="481">
        <f>SUM(AB349:AB357)</f>
        <v>0</v>
      </c>
      <c r="AC348" s="508"/>
      <c r="AD348" s="234"/>
      <c r="AE348" s="247" t="s">
        <v>279</v>
      </c>
      <c r="AF348" s="204" t="str">
        <f t="shared" si="505"/>
        <v>Améliorer l'accès à l'eau potable dans les communautés (protection des sources d'eau potable, construction/réhabilitation des mini réseaux communautaires d'eau, réalisation des mini réseaux gravitaires d'eau potable), en prenant en compte les besoins spécifiques des femmes et des filles</v>
      </c>
      <c r="AG348" s="485">
        <f t="shared" si="518"/>
        <v>1</v>
      </c>
      <c r="AH348" s="485">
        <f t="shared" si="519"/>
        <v>0</v>
      </c>
      <c r="AI348" s="482">
        <f t="shared" si="520"/>
        <v>499125.9</v>
      </c>
      <c r="AJ348" s="482">
        <f t="shared" si="491"/>
        <v>0</v>
      </c>
      <c r="AK348" s="482">
        <f t="shared" si="521"/>
        <v>0</v>
      </c>
      <c r="AL348" s="482">
        <f t="shared" si="488"/>
        <v>499125.9</v>
      </c>
      <c r="AM348" s="314">
        <f t="shared" si="498"/>
        <v>314927.18</v>
      </c>
      <c r="AN348" s="314">
        <f t="shared" si="499"/>
        <v>0</v>
      </c>
      <c r="AO348" s="314">
        <f t="shared" si="500"/>
        <v>184198.72</v>
      </c>
      <c r="AP348" s="314">
        <f t="shared" si="501"/>
        <v>0</v>
      </c>
      <c r="AT348" s="168"/>
      <c r="AU348" s="168"/>
    </row>
    <row r="349" spans="1:47" s="169" customFormat="1" ht="39" x14ac:dyDescent="0.3">
      <c r="A349" s="509">
        <v>1</v>
      </c>
      <c r="B349" s="521" t="s">
        <v>1331</v>
      </c>
      <c r="C349" s="409" t="s">
        <v>1332</v>
      </c>
      <c r="D349" s="536">
        <v>1226.5</v>
      </c>
      <c r="E349" s="411">
        <v>15</v>
      </c>
      <c r="F349" s="512">
        <v>1</v>
      </c>
      <c r="G349" s="486">
        <v>1</v>
      </c>
      <c r="H349" s="486">
        <v>0</v>
      </c>
      <c r="I349" s="416">
        <f t="shared" ref="I349:I357" si="526">D349*E349*F349*G349</f>
        <v>18397.5</v>
      </c>
      <c r="J349" s="487">
        <f t="shared" ref="J349:J357" si="527">D349*E349*F349*H349</f>
        <v>0</v>
      </c>
      <c r="K349" s="513">
        <f t="shared" ref="K349:K357" si="528">I349*70/100</f>
        <v>12878.25</v>
      </c>
      <c r="L349" s="513">
        <f t="shared" ref="L349:L357" si="529">I349*20/100</f>
        <v>3679.5</v>
      </c>
      <c r="M349" s="513">
        <f t="shared" ref="M349:M357" si="530">I349*10/100</f>
        <v>1839.75</v>
      </c>
      <c r="N349" s="416">
        <v>0</v>
      </c>
      <c r="O349" s="507" t="s">
        <v>1333</v>
      </c>
      <c r="P349" s="171"/>
      <c r="Q349" s="409" t="s">
        <v>1332</v>
      </c>
      <c r="R349" s="516">
        <v>1226.5</v>
      </c>
      <c r="S349" s="411">
        <v>12</v>
      </c>
      <c r="T349" s="514">
        <v>1</v>
      </c>
      <c r="U349" s="486">
        <v>1</v>
      </c>
      <c r="V349" s="486">
        <v>0</v>
      </c>
      <c r="W349" s="506">
        <f t="shared" ref="W349:W357" si="531">R349*S349*T349*U349</f>
        <v>14718</v>
      </c>
      <c r="X349" s="487">
        <f>R349*S349*T349*V349</f>
        <v>0</v>
      </c>
      <c r="Y349" s="487">
        <f>W349*70/100</f>
        <v>10302.6</v>
      </c>
      <c r="Z349" s="487">
        <f>W349*20/100</f>
        <v>2943.6</v>
      </c>
      <c r="AA349" s="487">
        <f>W349*10/100</f>
        <v>1471.8</v>
      </c>
      <c r="AB349" s="416">
        <v>0</v>
      </c>
      <c r="AC349" s="417" t="s">
        <v>1334</v>
      </c>
      <c r="AD349" s="227"/>
      <c r="AE349" s="241">
        <v>1</v>
      </c>
      <c r="AF349" s="204" t="str">
        <f t="shared" si="505"/>
        <v xml:space="preserve">Aménager les sources simples </v>
      </c>
      <c r="AG349" s="486">
        <f t="shared" si="518"/>
        <v>1</v>
      </c>
      <c r="AH349" s="486">
        <f t="shared" si="519"/>
        <v>0</v>
      </c>
      <c r="AI349" s="506">
        <f t="shared" si="520"/>
        <v>33115.5</v>
      </c>
      <c r="AJ349" s="506">
        <f t="shared" si="491"/>
        <v>0</v>
      </c>
      <c r="AK349" s="487">
        <f t="shared" si="521"/>
        <v>0</v>
      </c>
      <c r="AL349" s="487">
        <f t="shared" si="488"/>
        <v>33115.5</v>
      </c>
      <c r="AM349" s="316">
        <f t="shared" si="498"/>
        <v>18397.5</v>
      </c>
      <c r="AN349" s="316">
        <f t="shared" si="499"/>
        <v>0</v>
      </c>
      <c r="AO349" s="316">
        <f t="shared" si="500"/>
        <v>14718</v>
      </c>
      <c r="AP349" s="316">
        <f t="shared" si="501"/>
        <v>0</v>
      </c>
      <c r="AQ349" s="169" t="s">
        <v>806</v>
      </c>
    </row>
    <row r="350" spans="1:47" s="169" customFormat="1" ht="39" x14ac:dyDescent="0.3">
      <c r="A350" s="509">
        <v>2</v>
      </c>
      <c r="B350" s="521" t="s">
        <v>1335</v>
      </c>
      <c r="C350" s="409" t="s">
        <v>1336</v>
      </c>
      <c r="D350" s="536">
        <v>600</v>
      </c>
      <c r="E350" s="411">
        <v>10</v>
      </c>
      <c r="F350" s="512">
        <v>1</v>
      </c>
      <c r="G350" s="486">
        <v>1</v>
      </c>
      <c r="H350" s="486">
        <v>0</v>
      </c>
      <c r="I350" s="416">
        <f t="shared" si="526"/>
        <v>6000</v>
      </c>
      <c r="J350" s="487">
        <f t="shared" si="527"/>
        <v>0</v>
      </c>
      <c r="K350" s="513">
        <f t="shared" si="528"/>
        <v>4200</v>
      </c>
      <c r="L350" s="513">
        <f t="shared" si="529"/>
        <v>1200</v>
      </c>
      <c r="M350" s="513">
        <f t="shared" si="530"/>
        <v>600</v>
      </c>
      <c r="N350" s="416">
        <v>0</v>
      </c>
      <c r="O350" s="507" t="s">
        <v>1337</v>
      </c>
      <c r="P350" s="171"/>
      <c r="Q350" s="409" t="s">
        <v>1336</v>
      </c>
      <c r="R350" s="516">
        <v>600</v>
      </c>
      <c r="S350" s="411">
        <v>8</v>
      </c>
      <c r="T350" s="514">
        <v>1</v>
      </c>
      <c r="U350" s="486">
        <v>1</v>
      </c>
      <c r="V350" s="486">
        <v>0</v>
      </c>
      <c r="W350" s="506">
        <f t="shared" si="531"/>
        <v>4800</v>
      </c>
      <c r="X350" s="487">
        <f t="shared" ref="X350:X357" si="532">R350*S350*T350*V350</f>
        <v>0</v>
      </c>
      <c r="Y350" s="487">
        <f t="shared" ref="Y350:Y357" si="533">W350*70/100</f>
        <v>3360</v>
      </c>
      <c r="Z350" s="487">
        <f t="shared" ref="Z350:Z357" si="534">W350*20/100</f>
        <v>960</v>
      </c>
      <c r="AA350" s="487">
        <f t="shared" ref="AA350:AA357" si="535">W350*10/100</f>
        <v>480</v>
      </c>
      <c r="AB350" s="416">
        <v>0</v>
      </c>
      <c r="AC350" s="417" t="s">
        <v>1338</v>
      </c>
      <c r="AD350" s="227"/>
      <c r="AE350" s="241">
        <v>2</v>
      </c>
      <c r="AF350" s="204" t="str">
        <f t="shared" si="505"/>
        <v xml:space="preserve">Réhabiliter les sources simples </v>
      </c>
      <c r="AG350" s="486">
        <f t="shared" si="518"/>
        <v>1</v>
      </c>
      <c r="AH350" s="486">
        <f t="shared" si="519"/>
        <v>0</v>
      </c>
      <c r="AI350" s="506">
        <f t="shared" si="520"/>
        <v>10800</v>
      </c>
      <c r="AJ350" s="506">
        <f t="shared" si="491"/>
        <v>0</v>
      </c>
      <c r="AK350" s="487">
        <f t="shared" si="521"/>
        <v>0</v>
      </c>
      <c r="AL350" s="487">
        <f t="shared" si="488"/>
        <v>10800</v>
      </c>
      <c r="AM350" s="316">
        <f t="shared" si="498"/>
        <v>6000</v>
      </c>
      <c r="AN350" s="316">
        <f t="shared" si="499"/>
        <v>0</v>
      </c>
      <c r="AO350" s="316">
        <f t="shared" si="500"/>
        <v>4800</v>
      </c>
      <c r="AP350" s="316">
        <f t="shared" si="501"/>
        <v>0</v>
      </c>
      <c r="AQ350" s="169" t="s">
        <v>806</v>
      </c>
    </row>
    <row r="351" spans="1:47" s="169" customFormat="1" ht="55.5" customHeight="1" x14ac:dyDescent="0.3">
      <c r="A351" s="509">
        <v>3</v>
      </c>
      <c r="B351" s="521" t="s">
        <v>1339</v>
      </c>
      <c r="C351" s="409" t="s">
        <v>1340</v>
      </c>
      <c r="D351" s="536">
        <v>32001</v>
      </c>
      <c r="E351" s="411">
        <v>3</v>
      </c>
      <c r="F351" s="512">
        <v>1</v>
      </c>
      <c r="G351" s="486">
        <v>1</v>
      </c>
      <c r="H351" s="486">
        <v>0</v>
      </c>
      <c r="I351" s="416">
        <f t="shared" si="526"/>
        <v>96003</v>
      </c>
      <c r="J351" s="487">
        <f t="shared" si="527"/>
        <v>0</v>
      </c>
      <c r="K351" s="513">
        <f t="shared" si="528"/>
        <v>67202.100000000006</v>
      </c>
      <c r="L351" s="513">
        <f t="shared" si="529"/>
        <v>19200.599999999999</v>
      </c>
      <c r="M351" s="513">
        <f t="shared" si="530"/>
        <v>9600.2999999999993</v>
      </c>
      <c r="N351" s="416">
        <v>0</v>
      </c>
      <c r="O351" s="507" t="s">
        <v>1341</v>
      </c>
      <c r="P351" s="171"/>
      <c r="Q351" s="409" t="s">
        <v>1340</v>
      </c>
      <c r="R351" s="516">
        <v>32001</v>
      </c>
      <c r="S351" s="411">
        <v>2</v>
      </c>
      <c r="T351" s="514">
        <v>1</v>
      </c>
      <c r="U351" s="486">
        <v>1</v>
      </c>
      <c r="V351" s="486">
        <v>0</v>
      </c>
      <c r="W351" s="506">
        <f t="shared" si="531"/>
        <v>64002</v>
      </c>
      <c r="X351" s="487">
        <f t="shared" si="532"/>
        <v>0</v>
      </c>
      <c r="Y351" s="487">
        <f t="shared" si="533"/>
        <v>44801.4</v>
      </c>
      <c r="Z351" s="487">
        <f t="shared" si="534"/>
        <v>12800.4</v>
      </c>
      <c r="AA351" s="487">
        <f t="shared" si="535"/>
        <v>6400.2</v>
      </c>
      <c r="AB351" s="416">
        <v>0</v>
      </c>
      <c r="AC351" s="417" t="s">
        <v>1342</v>
      </c>
      <c r="AD351" s="227"/>
      <c r="AE351" s="241">
        <v>3</v>
      </c>
      <c r="AF351" s="204" t="str">
        <f t="shared" si="505"/>
        <v xml:space="preserve">Raccordement sur les adductions de MDF et  REGIDESO </v>
      </c>
      <c r="AG351" s="486">
        <f t="shared" si="518"/>
        <v>1</v>
      </c>
      <c r="AH351" s="486">
        <f t="shared" si="519"/>
        <v>0</v>
      </c>
      <c r="AI351" s="506">
        <f t="shared" si="520"/>
        <v>160005</v>
      </c>
      <c r="AJ351" s="506">
        <f t="shared" si="491"/>
        <v>0</v>
      </c>
      <c r="AK351" s="487">
        <f t="shared" si="521"/>
        <v>0</v>
      </c>
      <c r="AL351" s="487">
        <f t="shared" si="488"/>
        <v>160005</v>
      </c>
      <c r="AM351" s="316">
        <f t="shared" si="498"/>
        <v>96003</v>
      </c>
      <c r="AN351" s="316">
        <f t="shared" si="499"/>
        <v>0</v>
      </c>
      <c r="AO351" s="316">
        <f t="shared" si="500"/>
        <v>64002</v>
      </c>
      <c r="AP351" s="316">
        <f t="shared" si="501"/>
        <v>0</v>
      </c>
      <c r="AQ351" s="169" t="s">
        <v>806</v>
      </c>
    </row>
    <row r="352" spans="1:47" s="169" customFormat="1" ht="26" x14ac:dyDescent="0.3">
      <c r="A352" s="509">
        <v>4</v>
      </c>
      <c r="B352" s="521" t="s">
        <v>1343</v>
      </c>
      <c r="C352" s="409" t="s">
        <v>814</v>
      </c>
      <c r="D352" s="536">
        <v>1479</v>
      </c>
      <c r="E352" s="411">
        <v>16</v>
      </c>
      <c r="F352" s="512">
        <v>1</v>
      </c>
      <c r="G352" s="486">
        <v>1</v>
      </c>
      <c r="H352" s="486">
        <v>0</v>
      </c>
      <c r="I352" s="416">
        <f t="shared" si="526"/>
        <v>23664</v>
      </c>
      <c r="J352" s="487">
        <f t="shared" si="527"/>
        <v>0</v>
      </c>
      <c r="K352" s="513">
        <f t="shared" si="528"/>
        <v>16564.8</v>
      </c>
      <c r="L352" s="513">
        <f t="shared" si="529"/>
        <v>4732.8</v>
      </c>
      <c r="M352" s="513">
        <f t="shared" si="530"/>
        <v>2366.4</v>
      </c>
      <c r="N352" s="416">
        <v>0</v>
      </c>
      <c r="O352" s="507" t="s">
        <v>1344</v>
      </c>
      <c r="P352" s="171"/>
      <c r="Q352" s="409" t="s">
        <v>814</v>
      </c>
      <c r="R352" s="516">
        <v>1479</v>
      </c>
      <c r="S352" s="411">
        <v>14</v>
      </c>
      <c r="T352" s="514">
        <v>1</v>
      </c>
      <c r="U352" s="486">
        <v>1</v>
      </c>
      <c r="V352" s="486">
        <v>0</v>
      </c>
      <c r="W352" s="506">
        <f t="shared" si="531"/>
        <v>20706</v>
      </c>
      <c r="X352" s="487">
        <f t="shared" si="532"/>
        <v>0</v>
      </c>
      <c r="Y352" s="487">
        <f t="shared" si="533"/>
        <v>14494.2</v>
      </c>
      <c r="Z352" s="487">
        <f t="shared" si="534"/>
        <v>4141.2</v>
      </c>
      <c r="AA352" s="487">
        <f t="shared" si="535"/>
        <v>2070.6</v>
      </c>
      <c r="AB352" s="416">
        <v>0</v>
      </c>
      <c r="AC352" s="417" t="s">
        <v>1345</v>
      </c>
      <c r="AD352" s="227"/>
      <c r="AE352" s="241">
        <v>4</v>
      </c>
      <c r="AF352" s="204" t="str">
        <f t="shared" si="505"/>
        <v>Contruire les portes des latrines au niveau des complexes agricoles</v>
      </c>
      <c r="AG352" s="486">
        <f t="shared" si="518"/>
        <v>1</v>
      </c>
      <c r="AH352" s="486">
        <f t="shared" si="519"/>
        <v>0</v>
      </c>
      <c r="AI352" s="506">
        <f t="shared" si="520"/>
        <v>44370</v>
      </c>
      <c r="AJ352" s="506">
        <f t="shared" si="491"/>
        <v>0</v>
      </c>
      <c r="AK352" s="487">
        <f t="shared" si="521"/>
        <v>0</v>
      </c>
      <c r="AL352" s="487">
        <f t="shared" si="488"/>
        <v>44370</v>
      </c>
      <c r="AM352" s="316">
        <f t="shared" si="498"/>
        <v>23664</v>
      </c>
      <c r="AN352" s="316">
        <f t="shared" si="499"/>
        <v>0</v>
      </c>
      <c r="AO352" s="316">
        <f t="shared" si="500"/>
        <v>20706</v>
      </c>
      <c r="AP352" s="316">
        <f t="shared" si="501"/>
        <v>0</v>
      </c>
      <c r="AQ352" s="169" t="s">
        <v>806</v>
      </c>
    </row>
    <row r="353" spans="1:47" s="169" customFormat="1" ht="39" x14ac:dyDescent="0.3">
      <c r="A353" s="509">
        <v>5</v>
      </c>
      <c r="B353" s="521" t="s">
        <v>1346</v>
      </c>
      <c r="C353" s="409" t="s">
        <v>814</v>
      </c>
      <c r="D353" s="536">
        <v>1074.98</v>
      </c>
      <c r="E353" s="411">
        <v>16</v>
      </c>
      <c r="F353" s="512">
        <v>1</v>
      </c>
      <c r="G353" s="486">
        <v>1</v>
      </c>
      <c r="H353" s="486">
        <v>0</v>
      </c>
      <c r="I353" s="416">
        <f t="shared" si="526"/>
        <v>17199.68</v>
      </c>
      <c r="J353" s="487">
        <f t="shared" si="527"/>
        <v>0</v>
      </c>
      <c r="K353" s="513">
        <f t="shared" si="528"/>
        <v>12039.776000000002</v>
      </c>
      <c r="L353" s="513">
        <f t="shared" si="529"/>
        <v>3439.9359999999997</v>
      </c>
      <c r="M353" s="513">
        <f t="shared" si="530"/>
        <v>1719.9679999999998</v>
      </c>
      <c r="N353" s="416">
        <v>0</v>
      </c>
      <c r="O353" s="507" t="s">
        <v>1347</v>
      </c>
      <c r="P353" s="171"/>
      <c r="Q353" s="409" t="s">
        <v>814</v>
      </c>
      <c r="R353" s="516">
        <v>1074.98</v>
      </c>
      <c r="S353" s="411">
        <v>14</v>
      </c>
      <c r="T353" s="514">
        <v>1</v>
      </c>
      <c r="U353" s="486">
        <v>1</v>
      </c>
      <c r="V353" s="486">
        <v>0</v>
      </c>
      <c r="W353" s="506">
        <f t="shared" si="531"/>
        <v>15049.720000000001</v>
      </c>
      <c r="X353" s="487">
        <f t="shared" si="532"/>
        <v>0</v>
      </c>
      <c r="Y353" s="487">
        <f t="shared" si="533"/>
        <v>10534.804000000002</v>
      </c>
      <c r="Z353" s="487">
        <f t="shared" si="534"/>
        <v>3009.9440000000004</v>
      </c>
      <c r="AA353" s="487">
        <f t="shared" si="535"/>
        <v>1504.9720000000002</v>
      </c>
      <c r="AB353" s="416">
        <v>0</v>
      </c>
      <c r="AC353" s="417" t="s">
        <v>1348</v>
      </c>
      <c r="AD353" s="227"/>
      <c r="AE353" s="241">
        <v>5</v>
      </c>
      <c r="AF353" s="204" t="str">
        <f t="shared" si="505"/>
        <v>Contruire les portes des douches au niveau des complexes agricoles</v>
      </c>
      <c r="AG353" s="486">
        <f t="shared" si="518"/>
        <v>1</v>
      </c>
      <c r="AH353" s="486">
        <f t="shared" si="519"/>
        <v>0</v>
      </c>
      <c r="AI353" s="506">
        <f t="shared" si="520"/>
        <v>32249.4</v>
      </c>
      <c r="AJ353" s="506">
        <f t="shared" si="491"/>
        <v>0</v>
      </c>
      <c r="AK353" s="487">
        <f t="shared" si="521"/>
        <v>0</v>
      </c>
      <c r="AL353" s="487">
        <f t="shared" si="488"/>
        <v>32249.4</v>
      </c>
      <c r="AM353" s="316">
        <f t="shared" si="498"/>
        <v>17199.68</v>
      </c>
      <c r="AN353" s="316">
        <f t="shared" si="499"/>
        <v>0</v>
      </c>
      <c r="AO353" s="316">
        <f t="shared" si="500"/>
        <v>15049.720000000001</v>
      </c>
      <c r="AP353" s="316">
        <f t="shared" si="501"/>
        <v>0</v>
      </c>
      <c r="AQ353" s="169" t="s">
        <v>806</v>
      </c>
    </row>
    <row r="354" spans="1:47" s="169" customFormat="1" ht="26" x14ac:dyDescent="0.3">
      <c r="A354" s="509">
        <v>6</v>
      </c>
      <c r="B354" s="521" t="s">
        <v>1349</v>
      </c>
      <c r="C354" s="409" t="s">
        <v>814</v>
      </c>
      <c r="D354" s="536">
        <v>1479</v>
      </c>
      <c r="E354" s="411">
        <v>75</v>
      </c>
      <c r="F354" s="512">
        <v>1</v>
      </c>
      <c r="G354" s="486">
        <v>1</v>
      </c>
      <c r="H354" s="486">
        <v>0</v>
      </c>
      <c r="I354" s="416">
        <f t="shared" si="526"/>
        <v>110925</v>
      </c>
      <c r="J354" s="487">
        <f t="shared" si="527"/>
        <v>0</v>
      </c>
      <c r="K354" s="513">
        <f t="shared" si="528"/>
        <v>77647.5</v>
      </c>
      <c r="L354" s="513">
        <f t="shared" si="529"/>
        <v>22185</v>
      </c>
      <c r="M354" s="513">
        <f t="shared" si="530"/>
        <v>11092.5</v>
      </c>
      <c r="N354" s="416">
        <v>0</v>
      </c>
      <c r="O354" s="507" t="s">
        <v>1350</v>
      </c>
      <c r="P354" s="171"/>
      <c r="Q354" s="409" t="s">
        <v>814</v>
      </c>
      <c r="R354" s="516">
        <v>1479</v>
      </c>
      <c r="S354" s="411">
        <v>25</v>
      </c>
      <c r="T354" s="514">
        <v>1</v>
      </c>
      <c r="U354" s="486">
        <v>1</v>
      </c>
      <c r="V354" s="486">
        <v>0</v>
      </c>
      <c r="W354" s="506">
        <f t="shared" si="531"/>
        <v>36975</v>
      </c>
      <c r="X354" s="487">
        <f t="shared" si="532"/>
        <v>0</v>
      </c>
      <c r="Y354" s="487">
        <f t="shared" si="533"/>
        <v>25882.5</v>
      </c>
      <c r="Z354" s="487">
        <f t="shared" si="534"/>
        <v>7395</v>
      </c>
      <c r="AA354" s="487">
        <f t="shared" si="535"/>
        <v>3697.5</v>
      </c>
      <c r="AB354" s="416">
        <v>0</v>
      </c>
      <c r="AC354" s="417" t="s">
        <v>1351</v>
      </c>
      <c r="AD354" s="227"/>
      <c r="AE354" s="241">
        <v>6</v>
      </c>
      <c r="AF354" s="204" t="str">
        <f t="shared" si="505"/>
        <v>Contruire les portes des latrines au niveau des marchès</v>
      </c>
      <c r="AG354" s="486">
        <f t="shared" si="518"/>
        <v>1</v>
      </c>
      <c r="AH354" s="486">
        <f t="shared" si="519"/>
        <v>0</v>
      </c>
      <c r="AI354" s="506">
        <f t="shared" si="520"/>
        <v>147900</v>
      </c>
      <c r="AJ354" s="506">
        <f t="shared" si="491"/>
        <v>0</v>
      </c>
      <c r="AK354" s="487">
        <f t="shared" si="521"/>
        <v>0</v>
      </c>
      <c r="AL354" s="487">
        <f t="shared" si="488"/>
        <v>147900</v>
      </c>
      <c r="AM354" s="316">
        <f t="shared" si="498"/>
        <v>110925</v>
      </c>
      <c r="AN354" s="316">
        <f t="shared" si="499"/>
        <v>0</v>
      </c>
      <c r="AO354" s="316">
        <f t="shared" si="500"/>
        <v>36975</v>
      </c>
      <c r="AP354" s="316">
        <f t="shared" si="501"/>
        <v>0</v>
      </c>
      <c r="AQ354" s="169" t="s">
        <v>806</v>
      </c>
    </row>
    <row r="355" spans="1:47" s="169" customFormat="1" ht="39" x14ac:dyDescent="0.3">
      <c r="A355" s="509">
        <v>7</v>
      </c>
      <c r="B355" s="521" t="s">
        <v>1352</v>
      </c>
      <c r="C355" s="409" t="s">
        <v>814</v>
      </c>
      <c r="D355" s="536">
        <v>1479</v>
      </c>
      <c r="E355" s="411">
        <v>22</v>
      </c>
      <c r="F355" s="512">
        <v>1</v>
      </c>
      <c r="G355" s="486">
        <v>1</v>
      </c>
      <c r="H355" s="486">
        <v>0</v>
      </c>
      <c r="I355" s="416">
        <f t="shared" si="526"/>
        <v>32538</v>
      </c>
      <c r="J355" s="487">
        <f t="shared" si="527"/>
        <v>0</v>
      </c>
      <c r="K355" s="513">
        <f t="shared" si="528"/>
        <v>22776.6</v>
      </c>
      <c r="L355" s="513">
        <f t="shared" si="529"/>
        <v>6507.6</v>
      </c>
      <c r="M355" s="513">
        <f t="shared" si="530"/>
        <v>3253.8</v>
      </c>
      <c r="N355" s="416">
        <v>0</v>
      </c>
      <c r="O355" s="507" t="s">
        <v>1353</v>
      </c>
      <c r="P355" s="171"/>
      <c r="Q355" s="409" t="s">
        <v>814</v>
      </c>
      <c r="R355" s="516">
        <v>1479</v>
      </c>
      <c r="S355" s="411">
        <v>12</v>
      </c>
      <c r="T355" s="514">
        <v>1</v>
      </c>
      <c r="U355" s="486">
        <v>1</v>
      </c>
      <c r="V355" s="486">
        <v>0</v>
      </c>
      <c r="W355" s="506">
        <f t="shared" si="531"/>
        <v>17748</v>
      </c>
      <c r="X355" s="487">
        <f t="shared" si="532"/>
        <v>0</v>
      </c>
      <c r="Y355" s="487">
        <f t="shared" si="533"/>
        <v>12423.6</v>
      </c>
      <c r="Z355" s="487">
        <f t="shared" si="534"/>
        <v>3549.6</v>
      </c>
      <c r="AA355" s="487">
        <f t="shared" si="535"/>
        <v>1774.8</v>
      </c>
      <c r="AB355" s="416">
        <v>0</v>
      </c>
      <c r="AC355" s="417" t="s">
        <v>1354</v>
      </c>
      <c r="AD355" s="227"/>
      <c r="AE355" s="241">
        <v>7</v>
      </c>
      <c r="AF355" s="204" t="str">
        <f t="shared" si="505"/>
        <v>Contruire les portes des latrines au niveau des centres d'alphabétisation</v>
      </c>
      <c r="AG355" s="486">
        <f t="shared" si="518"/>
        <v>1</v>
      </c>
      <c r="AH355" s="486">
        <f t="shared" si="519"/>
        <v>0</v>
      </c>
      <c r="AI355" s="506">
        <f t="shared" si="520"/>
        <v>50286</v>
      </c>
      <c r="AJ355" s="506">
        <f t="shared" si="491"/>
        <v>0</v>
      </c>
      <c r="AK355" s="487">
        <f t="shared" si="521"/>
        <v>0</v>
      </c>
      <c r="AL355" s="487">
        <f t="shared" si="488"/>
        <v>50286</v>
      </c>
      <c r="AM355" s="316">
        <f t="shared" si="498"/>
        <v>32538</v>
      </c>
      <c r="AN355" s="316">
        <f t="shared" si="499"/>
        <v>0</v>
      </c>
      <c r="AO355" s="316">
        <f t="shared" si="500"/>
        <v>17748</v>
      </c>
      <c r="AP355" s="316">
        <f t="shared" si="501"/>
        <v>0</v>
      </c>
      <c r="AQ355" s="169" t="s">
        <v>806</v>
      </c>
    </row>
    <row r="356" spans="1:47" s="169" customFormat="1" ht="39" x14ac:dyDescent="0.3">
      <c r="A356" s="509">
        <v>8</v>
      </c>
      <c r="B356" s="510" t="s">
        <v>1355</v>
      </c>
      <c r="C356" s="409" t="s">
        <v>1356</v>
      </c>
      <c r="D356" s="536">
        <v>1500</v>
      </c>
      <c r="E356" s="411">
        <v>5</v>
      </c>
      <c r="F356" s="512">
        <v>1</v>
      </c>
      <c r="G356" s="486">
        <v>1</v>
      </c>
      <c r="H356" s="486">
        <v>0</v>
      </c>
      <c r="I356" s="416">
        <f t="shared" si="526"/>
        <v>7500</v>
      </c>
      <c r="J356" s="487">
        <f t="shared" si="527"/>
        <v>0</v>
      </c>
      <c r="K356" s="513">
        <f t="shared" si="528"/>
        <v>5250</v>
      </c>
      <c r="L356" s="513">
        <f t="shared" si="529"/>
        <v>1500</v>
      </c>
      <c r="M356" s="513">
        <f t="shared" si="530"/>
        <v>750</v>
      </c>
      <c r="N356" s="416">
        <v>0</v>
      </c>
      <c r="O356" s="507" t="s">
        <v>1357</v>
      </c>
      <c r="P356" s="171"/>
      <c r="Q356" s="409" t="s">
        <v>1356</v>
      </c>
      <c r="R356" s="516">
        <v>1500</v>
      </c>
      <c r="S356" s="411">
        <v>5</v>
      </c>
      <c r="T356" s="514">
        <v>1</v>
      </c>
      <c r="U356" s="486">
        <v>1</v>
      </c>
      <c r="V356" s="486">
        <v>0</v>
      </c>
      <c r="W356" s="506">
        <f t="shared" si="531"/>
        <v>7500</v>
      </c>
      <c r="X356" s="487">
        <f t="shared" si="532"/>
        <v>0</v>
      </c>
      <c r="Y356" s="487">
        <f t="shared" si="533"/>
        <v>5250</v>
      </c>
      <c r="Z356" s="487">
        <f t="shared" si="534"/>
        <v>1500</v>
      </c>
      <c r="AA356" s="487">
        <f t="shared" si="535"/>
        <v>750</v>
      </c>
      <c r="AB356" s="416">
        <v>0</v>
      </c>
      <c r="AC356" s="417" t="s">
        <v>1358</v>
      </c>
      <c r="AD356" s="227"/>
      <c r="AE356" s="241">
        <v>8</v>
      </c>
      <c r="AF356" s="204" t="str">
        <f t="shared" si="505"/>
        <v xml:space="preserve">Location camion de transport et matériaux </v>
      </c>
      <c r="AG356" s="486">
        <f t="shared" si="518"/>
        <v>1</v>
      </c>
      <c r="AH356" s="486">
        <f t="shared" si="519"/>
        <v>0</v>
      </c>
      <c r="AI356" s="506">
        <f t="shared" si="520"/>
        <v>15000</v>
      </c>
      <c r="AJ356" s="506">
        <f t="shared" si="491"/>
        <v>0</v>
      </c>
      <c r="AK356" s="487">
        <f t="shared" si="521"/>
        <v>0</v>
      </c>
      <c r="AL356" s="487">
        <f t="shared" si="488"/>
        <v>15000</v>
      </c>
      <c r="AM356" s="316">
        <f t="shared" si="498"/>
        <v>7500</v>
      </c>
      <c r="AN356" s="316">
        <f t="shared" si="499"/>
        <v>0</v>
      </c>
      <c r="AO356" s="316">
        <f t="shared" si="500"/>
        <v>7500</v>
      </c>
      <c r="AP356" s="316">
        <f t="shared" si="501"/>
        <v>0</v>
      </c>
      <c r="AQ356" s="169" t="s">
        <v>806</v>
      </c>
    </row>
    <row r="357" spans="1:47" s="169" customFormat="1" ht="26" x14ac:dyDescent="0.3">
      <c r="A357" s="509">
        <v>9</v>
      </c>
      <c r="B357" s="510" t="s">
        <v>833</v>
      </c>
      <c r="C357" s="409" t="s">
        <v>1359</v>
      </c>
      <c r="D357" s="536">
        <v>90</v>
      </c>
      <c r="E357" s="411">
        <v>30</v>
      </c>
      <c r="F357" s="512">
        <v>1</v>
      </c>
      <c r="G357" s="486">
        <v>1</v>
      </c>
      <c r="H357" s="486">
        <v>0</v>
      </c>
      <c r="I357" s="416">
        <f t="shared" si="526"/>
        <v>2700</v>
      </c>
      <c r="J357" s="487">
        <f t="shared" si="527"/>
        <v>0</v>
      </c>
      <c r="K357" s="513">
        <f t="shared" si="528"/>
        <v>1890</v>
      </c>
      <c r="L357" s="513">
        <f t="shared" si="529"/>
        <v>540</v>
      </c>
      <c r="M357" s="513">
        <f t="shared" si="530"/>
        <v>270</v>
      </c>
      <c r="N357" s="416">
        <v>0</v>
      </c>
      <c r="O357" s="507" t="s">
        <v>1360</v>
      </c>
      <c r="P357" s="171"/>
      <c r="Q357" s="409" t="s">
        <v>1359</v>
      </c>
      <c r="R357" s="516">
        <v>90</v>
      </c>
      <c r="S357" s="411">
        <v>30</v>
      </c>
      <c r="T357" s="514">
        <v>1</v>
      </c>
      <c r="U357" s="486">
        <v>1</v>
      </c>
      <c r="V357" s="486">
        <v>0</v>
      </c>
      <c r="W357" s="506">
        <f t="shared" si="531"/>
        <v>2700</v>
      </c>
      <c r="X357" s="487">
        <f t="shared" si="532"/>
        <v>0</v>
      </c>
      <c r="Y357" s="487">
        <f t="shared" si="533"/>
        <v>1890</v>
      </c>
      <c r="Z357" s="487">
        <f t="shared" si="534"/>
        <v>540</v>
      </c>
      <c r="AA357" s="487">
        <f t="shared" si="535"/>
        <v>270</v>
      </c>
      <c r="AB357" s="416">
        <v>0</v>
      </c>
      <c r="AC357" s="417" t="s">
        <v>1361</v>
      </c>
      <c r="AD357" s="227"/>
      <c r="AE357" s="241">
        <v>9</v>
      </c>
      <c r="AF357" s="204" t="str">
        <f t="shared" si="505"/>
        <v>Manutention  chargement et déchargement</v>
      </c>
      <c r="AG357" s="486">
        <f t="shared" si="518"/>
        <v>1</v>
      </c>
      <c r="AH357" s="486">
        <f t="shared" si="519"/>
        <v>0</v>
      </c>
      <c r="AI357" s="506">
        <f t="shared" si="520"/>
        <v>5400</v>
      </c>
      <c r="AJ357" s="506">
        <f t="shared" si="491"/>
        <v>0</v>
      </c>
      <c r="AK357" s="487">
        <f t="shared" si="521"/>
        <v>0</v>
      </c>
      <c r="AL357" s="487">
        <f t="shared" si="488"/>
        <v>5400</v>
      </c>
      <c r="AM357" s="316">
        <f t="shared" si="498"/>
        <v>2700</v>
      </c>
      <c r="AN357" s="316">
        <f t="shared" si="499"/>
        <v>0</v>
      </c>
      <c r="AO357" s="316">
        <f t="shared" si="500"/>
        <v>2700</v>
      </c>
      <c r="AP357" s="316">
        <f t="shared" si="501"/>
        <v>0</v>
      </c>
      <c r="AQ357" s="169" t="s">
        <v>806</v>
      </c>
    </row>
    <row r="358" spans="1:47" s="173" customFormat="1" ht="28.5" customHeight="1" x14ac:dyDescent="0.3">
      <c r="A358" s="480" t="s">
        <v>280</v>
      </c>
      <c r="B358" s="861" t="s">
        <v>560</v>
      </c>
      <c r="C358" s="862"/>
      <c r="D358" s="862"/>
      <c r="E358" s="862"/>
      <c r="F358" s="862"/>
      <c r="G358" s="862"/>
      <c r="H358" s="863"/>
      <c r="I358" s="481">
        <f t="shared" ref="I358:J358" si="536">I359</f>
        <v>4860</v>
      </c>
      <c r="J358" s="482">
        <f t="shared" si="536"/>
        <v>0</v>
      </c>
      <c r="K358" s="482">
        <f>K359</f>
        <v>4860</v>
      </c>
      <c r="L358" s="482">
        <f t="shared" ref="L358:N358" si="537">L359</f>
        <v>0</v>
      </c>
      <c r="M358" s="482">
        <f t="shared" si="537"/>
        <v>0</v>
      </c>
      <c r="N358" s="481">
        <f t="shared" si="537"/>
        <v>0</v>
      </c>
      <c r="O358" s="508"/>
      <c r="P358" s="168"/>
      <c r="Q358" s="538"/>
      <c r="R358" s="539"/>
      <c r="S358" s="538"/>
      <c r="T358" s="539"/>
      <c r="U358" s="539"/>
      <c r="V358" s="484"/>
      <c r="W358" s="482">
        <f t="shared" ref="W358:X358" si="538">W359</f>
        <v>4860</v>
      </c>
      <c r="X358" s="482">
        <f t="shared" si="538"/>
        <v>0</v>
      </c>
      <c r="Y358" s="482">
        <f>Y359</f>
        <v>4860</v>
      </c>
      <c r="Z358" s="482"/>
      <c r="AA358" s="482"/>
      <c r="AB358" s="481">
        <f t="shared" ref="AB358" si="539">AB359</f>
        <v>0</v>
      </c>
      <c r="AC358" s="508"/>
      <c r="AD358" s="234"/>
      <c r="AE358" s="247" t="s">
        <v>280</v>
      </c>
      <c r="AF358" s="204" t="str">
        <f t="shared" si="505"/>
        <v>Accompagner les ménages dans les activités d'assainissement familial en particulier la construction des latrines familiales, la gestion des déchets ménagers, en prenant en compte les besoins spécifiques des femmes et des filles</v>
      </c>
      <c r="AG358" s="485">
        <f t="shared" si="518"/>
        <v>1</v>
      </c>
      <c r="AH358" s="485">
        <f t="shared" si="519"/>
        <v>0</v>
      </c>
      <c r="AI358" s="482">
        <f t="shared" si="520"/>
        <v>9720</v>
      </c>
      <c r="AJ358" s="482">
        <f t="shared" si="491"/>
        <v>0</v>
      </c>
      <c r="AK358" s="482">
        <f t="shared" si="521"/>
        <v>0</v>
      </c>
      <c r="AL358" s="482">
        <f t="shared" si="488"/>
        <v>9720</v>
      </c>
      <c r="AM358" s="314">
        <f t="shared" si="498"/>
        <v>4860</v>
      </c>
      <c r="AN358" s="314">
        <f t="shared" si="499"/>
        <v>0</v>
      </c>
      <c r="AO358" s="314">
        <f t="shared" si="500"/>
        <v>4860</v>
      </c>
      <c r="AP358" s="314">
        <f t="shared" si="501"/>
        <v>0</v>
      </c>
      <c r="AQ358" s="168"/>
      <c r="AT358" s="168"/>
      <c r="AU358" s="168"/>
    </row>
    <row r="359" spans="1:47" s="186" customFormat="1" ht="26" x14ac:dyDescent="0.35">
      <c r="A359" s="408">
        <v>1</v>
      </c>
      <c r="B359" s="521" t="s">
        <v>1362</v>
      </c>
      <c r="C359" s="409" t="s">
        <v>466</v>
      </c>
      <c r="D359" s="410">
        <v>162</v>
      </c>
      <c r="E359" s="411">
        <v>30</v>
      </c>
      <c r="F359" s="412">
        <v>1</v>
      </c>
      <c r="G359" s="486">
        <v>1</v>
      </c>
      <c r="H359" s="486">
        <v>0</v>
      </c>
      <c r="I359" s="416">
        <f>D359*E359*F359*G359</f>
        <v>4860</v>
      </c>
      <c r="J359" s="487">
        <f>D359*E359*F359*H359</f>
        <v>0</v>
      </c>
      <c r="K359" s="513">
        <f>I359</f>
        <v>4860</v>
      </c>
      <c r="L359" s="513"/>
      <c r="M359" s="513"/>
      <c r="N359" s="416">
        <v>0</v>
      </c>
      <c r="O359" s="417" t="s">
        <v>1363</v>
      </c>
      <c r="P359" s="201"/>
      <c r="Q359" s="409" t="s">
        <v>466</v>
      </c>
      <c r="R359" s="418">
        <v>162</v>
      </c>
      <c r="S359" s="411">
        <v>30</v>
      </c>
      <c r="T359" s="411">
        <v>1</v>
      </c>
      <c r="U359" s="486">
        <v>1</v>
      </c>
      <c r="V359" s="486">
        <v>0</v>
      </c>
      <c r="W359" s="506">
        <f>R359*S359*T359*U359</f>
        <v>4860</v>
      </c>
      <c r="X359" s="487">
        <f t="shared" ref="X359" si="540">R359*S359*T359*V359</f>
        <v>0</v>
      </c>
      <c r="Y359" s="487">
        <f t="shared" ref="Y359" si="541">W359</f>
        <v>4860</v>
      </c>
      <c r="Z359" s="487"/>
      <c r="AA359" s="487"/>
      <c r="AB359" s="416">
        <v>0</v>
      </c>
      <c r="AC359" s="417" t="s">
        <v>1363</v>
      </c>
      <c r="AD359" s="227"/>
      <c r="AE359" s="241">
        <v>1</v>
      </c>
      <c r="AF359" s="204" t="str">
        <f t="shared" si="505"/>
        <v>Appui aux communautés pour l'octroi des kits de cresement des latrines familliales</v>
      </c>
      <c r="AG359" s="486">
        <f t="shared" si="518"/>
        <v>1</v>
      </c>
      <c r="AH359" s="486">
        <f t="shared" si="519"/>
        <v>0</v>
      </c>
      <c r="AI359" s="506">
        <f t="shared" si="520"/>
        <v>9720</v>
      </c>
      <c r="AJ359" s="506">
        <f t="shared" si="491"/>
        <v>0</v>
      </c>
      <c r="AK359" s="487">
        <f t="shared" si="521"/>
        <v>0</v>
      </c>
      <c r="AL359" s="487">
        <f t="shared" si="488"/>
        <v>9720</v>
      </c>
      <c r="AM359" s="316">
        <f t="shared" si="498"/>
        <v>4860</v>
      </c>
      <c r="AN359" s="316">
        <f t="shared" si="499"/>
        <v>0</v>
      </c>
      <c r="AO359" s="316">
        <f t="shared" si="500"/>
        <v>4860</v>
      </c>
      <c r="AP359" s="316">
        <f t="shared" si="501"/>
        <v>0</v>
      </c>
      <c r="AQ359" s="186" t="s">
        <v>806</v>
      </c>
    </row>
    <row r="360" spans="1:47" s="173" customFormat="1" ht="27.75" customHeight="1" x14ac:dyDescent="0.3">
      <c r="A360" s="480" t="s">
        <v>281</v>
      </c>
      <c r="B360" s="861" t="s">
        <v>1364</v>
      </c>
      <c r="C360" s="862"/>
      <c r="D360" s="862"/>
      <c r="E360" s="862"/>
      <c r="F360" s="862"/>
      <c r="G360" s="862"/>
      <c r="H360" s="863"/>
      <c r="I360" s="481">
        <f>I361+I362</f>
        <v>8550</v>
      </c>
      <c r="J360" s="482">
        <f>J361+J362</f>
        <v>0</v>
      </c>
      <c r="K360" s="482">
        <f>K361+K362</f>
        <v>8550</v>
      </c>
      <c r="L360" s="482">
        <f t="shared" ref="L360:M360" si="542">L361+L362</f>
        <v>0</v>
      </c>
      <c r="M360" s="482">
        <f t="shared" si="542"/>
        <v>0</v>
      </c>
      <c r="N360" s="481">
        <f>N361+N362</f>
        <v>0</v>
      </c>
      <c r="O360" s="508"/>
      <c r="P360" s="168"/>
      <c r="Q360" s="538"/>
      <c r="R360" s="539"/>
      <c r="S360" s="538"/>
      <c r="T360" s="539"/>
      <c r="U360" s="539"/>
      <c r="V360" s="484"/>
      <c r="W360" s="482">
        <f t="shared" ref="W360:X360" si="543">W361+W362</f>
        <v>8550</v>
      </c>
      <c r="X360" s="482">
        <f t="shared" si="543"/>
        <v>0</v>
      </c>
      <c r="Y360" s="482">
        <f>Y361+Y362</f>
        <v>8550</v>
      </c>
      <c r="Z360" s="482"/>
      <c r="AA360" s="482"/>
      <c r="AB360" s="481">
        <f>AB361+AB362</f>
        <v>0</v>
      </c>
      <c r="AC360" s="508"/>
      <c r="AD360" s="234"/>
      <c r="AE360" s="247" t="s">
        <v>281</v>
      </c>
      <c r="AF360" s="204" t="str">
        <f t="shared" si="505"/>
        <v>Accompagner les ménages dans les activités de maintenance et durabilité du statut assaini de l'hygiene (lavage des mains, hygiène familiale, puisage, transport et utilisations d'eau potable…)</v>
      </c>
      <c r="AG360" s="485">
        <f t="shared" si="518"/>
        <v>1</v>
      </c>
      <c r="AH360" s="485">
        <f t="shared" si="519"/>
        <v>0</v>
      </c>
      <c r="AI360" s="482">
        <f t="shared" si="520"/>
        <v>17100</v>
      </c>
      <c r="AJ360" s="482">
        <f t="shared" si="491"/>
        <v>0</v>
      </c>
      <c r="AK360" s="482">
        <f t="shared" si="521"/>
        <v>0</v>
      </c>
      <c r="AL360" s="482">
        <f t="shared" si="488"/>
        <v>17100</v>
      </c>
      <c r="AM360" s="314">
        <f t="shared" si="498"/>
        <v>8550</v>
      </c>
      <c r="AN360" s="314">
        <f t="shared" si="499"/>
        <v>0</v>
      </c>
      <c r="AO360" s="314">
        <f t="shared" si="500"/>
        <v>8550</v>
      </c>
      <c r="AP360" s="314">
        <f t="shared" si="501"/>
        <v>0</v>
      </c>
      <c r="AQ360" s="168"/>
      <c r="AT360" s="168"/>
      <c r="AU360" s="168"/>
    </row>
    <row r="361" spans="1:47" s="169" customFormat="1" ht="39" x14ac:dyDescent="0.3">
      <c r="A361" s="509">
        <v>1</v>
      </c>
      <c r="B361" s="510" t="s">
        <v>1365</v>
      </c>
      <c r="C361" s="409" t="s">
        <v>103</v>
      </c>
      <c r="D361" s="536">
        <v>35</v>
      </c>
      <c r="E361" s="411">
        <v>30</v>
      </c>
      <c r="F361" s="512">
        <v>1</v>
      </c>
      <c r="G361" s="486">
        <v>1</v>
      </c>
      <c r="H361" s="486">
        <v>0</v>
      </c>
      <c r="I361" s="416">
        <f t="shared" ref="I361:I362" si="544">D361*E361*F361*G361</f>
        <v>1050</v>
      </c>
      <c r="J361" s="487">
        <f>D361*E361*F361*H361</f>
        <v>0</v>
      </c>
      <c r="K361" s="513">
        <f>I361</f>
        <v>1050</v>
      </c>
      <c r="L361" s="513"/>
      <c r="M361" s="513"/>
      <c r="N361" s="416">
        <v>0</v>
      </c>
      <c r="O361" s="507" t="s">
        <v>1366</v>
      </c>
      <c r="P361" s="171"/>
      <c r="Q361" s="409" t="s">
        <v>103</v>
      </c>
      <c r="R361" s="516">
        <v>35</v>
      </c>
      <c r="S361" s="411">
        <v>30</v>
      </c>
      <c r="T361" s="514">
        <v>1</v>
      </c>
      <c r="U361" s="486">
        <v>1</v>
      </c>
      <c r="V361" s="486">
        <v>0</v>
      </c>
      <c r="W361" s="506">
        <f t="shared" ref="W361:W362" si="545">R361*S361*T361*U361</f>
        <v>1050</v>
      </c>
      <c r="X361" s="487">
        <f t="shared" ref="X361:X362" si="546">R361*S361*T361*V361</f>
        <v>0</v>
      </c>
      <c r="Y361" s="487">
        <f t="shared" ref="Y361:Y362" si="547">W361</f>
        <v>1050</v>
      </c>
      <c r="Z361" s="487"/>
      <c r="AA361" s="487"/>
      <c r="AB361" s="416">
        <v>0</v>
      </c>
      <c r="AC361" s="417" t="s">
        <v>1367</v>
      </c>
      <c r="AD361" s="227"/>
      <c r="AE361" s="241">
        <v>1</v>
      </c>
      <c r="AF361" s="204" t="str">
        <f t="shared" si="505"/>
        <v>Megaphones+ piles</v>
      </c>
      <c r="AG361" s="486">
        <f t="shared" si="518"/>
        <v>1</v>
      </c>
      <c r="AH361" s="486">
        <f t="shared" si="519"/>
        <v>0</v>
      </c>
      <c r="AI361" s="506">
        <f t="shared" si="520"/>
        <v>2100</v>
      </c>
      <c r="AJ361" s="506">
        <f t="shared" si="491"/>
        <v>0</v>
      </c>
      <c r="AK361" s="487">
        <f t="shared" si="521"/>
        <v>0</v>
      </c>
      <c r="AL361" s="487">
        <f t="shared" si="488"/>
        <v>2100</v>
      </c>
      <c r="AM361" s="316">
        <f t="shared" si="498"/>
        <v>1050</v>
      </c>
      <c r="AN361" s="316">
        <f t="shared" si="499"/>
        <v>0</v>
      </c>
      <c r="AO361" s="316">
        <f t="shared" si="500"/>
        <v>1050</v>
      </c>
      <c r="AP361" s="316">
        <f t="shared" si="501"/>
        <v>0</v>
      </c>
      <c r="AQ361" s="169" t="s">
        <v>806</v>
      </c>
    </row>
    <row r="362" spans="1:47" s="169" customFormat="1" ht="26" x14ac:dyDescent="0.3">
      <c r="A362" s="509">
        <v>2</v>
      </c>
      <c r="B362" s="510" t="s">
        <v>1368</v>
      </c>
      <c r="C362" s="409" t="s">
        <v>103</v>
      </c>
      <c r="D362" s="536">
        <v>250</v>
      </c>
      <c r="E362" s="411">
        <v>30</v>
      </c>
      <c r="F362" s="512">
        <v>1</v>
      </c>
      <c r="G362" s="486">
        <v>1</v>
      </c>
      <c r="H362" s="486">
        <v>0</v>
      </c>
      <c r="I362" s="416">
        <f t="shared" si="544"/>
        <v>7500</v>
      </c>
      <c r="J362" s="487">
        <f>D362*E362*F362*H362</f>
        <v>0</v>
      </c>
      <c r="K362" s="513">
        <f>I362</f>
        <v>7500</v>
      </c>
      <c r="L362" s="513"/>
      <c r="M362" s="513"/>
      <c r="N362" s="416">
        <v>0</v>
      </c>
      <c r="O362" s="507" t="s">
        <v>1369</v>
      </c>
      <c r="P362" s="171"/>
      <c r="Q362" s="409" t="s">
        <v>103</v>
      </c>
      <c r="R362" s="516">
        <v>250</v>
      </c>
      <c r="S362" s="411">
        <v>30</v>
      </c>
      <c r="T362" s="514">
        <v>1</v>
      </c>
      <c r="U362" s="486">
        <v>1</v>
      </c>
      <c r="V362" s="486">
        <v>0</v>
      </c>
      <c r="W362" s="506">
        <f t="shared" si="545"/>
        <v>7500</v>
      </c>
      <c r="X362" s="487">
        <f t="shared" si="546"/>
        <v>0</v>
      </c>
      <c r="Y362" s="487">
        <f t="shared" si="547"/>
        <v>7500</v>
      </c>
      <c r="Z362" s="487"/>
      <c r="AA362" s="487"/>
      <c r="AB362" s="416">
        <v>0</v>
      </c>
      <c r="AC362" s="417" t="s">
        <v>1370</v>
      </c>
      <c r="AD362" s="227"/>
      <c r="AE362" s="241">
        <v>2</v>
      </c>
      <c r="AF362" s="204" t="str">
        <f t="shared" si="505"/>
        <v>Banderole avec message clé sur l'EHA et COVID 19</v>
      </c>
      <c r="AG362" s="486">
        <f t="shared" si="518"/>
        <v>1</v>
      </c>
      <c r="AH362" s="486">
        <f t="shared" si="519"/>
        <v>0</v>
      </c>
      <c r="AI362" s="506">
        <f t="shared" si="520"/>
        <v>15000</v>
      </c>
      <c r="AJ362" s="506">
        <f t="shared" si="491"/>
        <v>0</v>
      </c>
      <c r="AK362" s="487">
        <f t="shared" si="521"/>
        <v>0</v>
      </c>
      <c r="AL362" s="487">
        <f t="shared" si="488"/>
        <v>15000</v>
      </c>
      <c r="AM362" s="316">
        <f t="shared" si="498"/>
        <v>7500</v>
      </c>
      <c r="AN362" s="316">
        <f t="shared" si="499"/>
        <v>0</v>
      </c>
      <c r="AO362" s="316">
        <f t="shared" si="500"/>
        <v>7500</v>
      </c>
      <c r="AP362" s="316">
        <f t="shared" si="501"/>
        <v>0</v>
      </c>
      <c r="AQ362" s="169" t="s">
        <v>806</v>
      </c>
    </row>
    <row r="363" spans="1:47" s="173" customFormat="1" ht="28.5" customHeight="1" x14ac:dyDescent="0.3">
      <c r="A363" s="480" t="s">
        <v>282</v>
      </c>
      <c r="B363" s="861" t="s">
        <v>1371</v>
      </c>
      <c r="C363" s="862"/>
      <c r="D363" s="862"/>
      <c r="E363" s="862"/>
      <c r="F363" s="862"/>
      <c r="G363" s="862"/>
      <c r="H363" s="863"/>
      <c r="I363" s="481">
        <f t="shared" ref="I363:N363" si="548">SUM(I364:I365)</f>
        <v>5056</v>
      </c>
      <c r="J363" s="482">
        <f t="shared" si="548"/>
        <v>0</v>
      </c>
      <c r="K363" s="482">
        <f t="shared" si="548"/>
        <v>2022.4</v>
      </c>
      <c r="L363" s="482">
        <f t="shared" si="548"/>
        <v>1516.8</v>
      </c>
      <c r="M363" s="482">
        <f t="shared" si="548"/>
        <v>1516.8</v>
      </c>
      <c r="N363" s="481">
        <f t="shared" si="548"/>
        <v>0</v>
      </c>
      <c r="O363" s="508"/>
      <c r="P363" s="168"/>
      <c r="Q363" s="538"/>
      <c r="R363" s="539"/>
      <c r="S363" s="538"/>
      <c r="T363" s="539"/>
      <c r="U363" s="539"/>
      <c r="V363" s="484"/>
      <c r="W363" s="482">
        <f t="shared" ref="W363:Y363" si="549">SUM(W364:W365)</f>
        <v>6522</v>
      </c>
      <c r="X363" s="482">
        <f t="shared" si="549"/>
        <v>0</v>
      </c>
      <c r="Y363" s="482">
        <f t="shared" si="549"/>
        <v>2608.8000000000002</v>
      </c>
      <c r="Z363" s="482">
        <f t="shared" ref="Z363:AB363" si="550">SUM(Z364:Z365)</f>
        <v>1956.6</v>
      </c>
      <c r="AA363" s="482">
        <f t="shared" si="550"/>
        <v>1956.6</v>
      </c>
      <c r="AB363" s="481">
        <f t="shared" si="550"/>
        <v>0</v>
      </c>
      <c r="AC363" s="508"/>
      <c r="AD363" s="234"/>
      <c r="AE363" s="247" t="s">
        <v>282</v>
      </c>
      <c r="AF363" s="204" t="str">
        <f t="shared" si="505"/>
        <v xml:space="preserve">Organiser des focus groupes avec des représentantes des femmes et filles des communautés bénéficiaires pour bien prendre en compte leurs perspectives et leurs éventuels besoins spécifiques dans la mise en œuvre des services WASH  </v>
      </c>
      <c r="AG363" s="485">
        <f t="shared" si="518"/>
        <v>1</v>
      </c>
      <c r="AH363" s="485">
        <f t="shared" si="519"/>
        <v>0</v>
      </c>
      <c r="AI363" s="482">
        <f t="shared" si="520"/>
        <v>11578</v>
      </c>
      <c r="AJ363" s="482">
        <f t="shared" si="491"/>
        <v>0</v>
      </c>
      <c r="AK363" s="482">
        <f t="shared" si="521"/>
        <v>0</v>
      </c>
      <c r="AL363" s="482">
        <f t="shared" si="488"/>
        <v>11578</v>
      </c>
      <c r="AM363" s="314">
        <f t="shared" si="498"/>
        <v>5056</v>
      </c>
      <c r="AN363" s="314">
        <f t="shared" si="499"/>
        <v>0</v>
      </c>
      <c r="AO363" s="314">
        <f t="shared" si="500"/>
        <v>6522</v>
      </c>
      <c r="AP363" s="314">
        <f t="shared" si="501"/>
        <v>0</v>
      </c>
      <c r="AQ363" s="168"/>
      <c r="AT363" s="168"/>
      <c r="AU363" s="168"/>
    </row>
    <row r="364" spans="1:47" s="186" customFormat="1" ht="26" x14ac:dyDescent="0.35">
      <c r="A364" s="408">
        <v>1</v>
      </c>
      <c r="B364" s="409" t="s">
        <v>454</v>
      </c>
      <c r="C364" s="409" t="s">
        <v>90</v>
      </c>
      <c r="D364" s="410">
        <v>2</v>
      </c>
      <c r="E364" s="411">
        <v>182</v>
      </c>
      <c r="F364" s="412">
        <v>4</v>
      </c>
      <c r="G364" s="486">
        <v>1</v>
      </c>
      <c r="H364" s="486">
        <v>0</v>
      </c>
      <c r="I364" s="416">
        <f t="shared" ref="I364:I365" si="551">D364*E364*F364*G364</f>
        <v>1456</v>
      </c>
      <c r="J364" s="487">
        <f>D364*E364*F364*H364</f>
        <v>0</v>
      </c>
      <c r="K364" s="513">
        <f>I364*40/100</f>
        <v>582.4</v>
      </c>
      <c r="L364" s="513">
        <f>I364*30/100</f>
        <v>436.8</v>
      </c>
      <c r="M364" s="513">
        <f>I364*30/100</f>
        <v>436.8</v>
      </c>
      <c r="N364" s="416">
        <v>0</v>
      </c>
      <c r="O364" s="417" t="s">
        <v>1372</v>
      </c>
      <c r="P364" s="201"/>
      <c r="Q364" s="409" t="s">
        <v>90</v>
      </c>
      <c r="R364" s="418">
        <v>7</v>
      </c>
      <c r="S364" s="411">
        <v>182</v>
      </c>
      <c r="T364" s="411">
        <v>3</v>
      </c>
      <c r="U364" s="486">
        <v>1</v>
      </c>
      <c r="V364" s="486">
        <v>0</v>
      </c>
      <c r="W364" s="506">
        <f t="shared" ref="W364:W365" si="552">R364*S364*T364*U364</f>
        <v>3822</v>
      </c>
      <c r="X364" s="487">
        <f t="shared" ref="X364" si="553">R364*S364*T364*V364</f>
        <v>0</v>
      </c>
      <c r="Y364" s="487">
        <f t="shared" ref="Y364:Y365" si="554">W364*40/100</f>
        <v>1528.8</v>
      </c>
      <c r="Z364" s="487">
        <f t="shared" ref="Z364:Z365" si="555">W364*30/100</f>
        <v>1146.5999999999999</v>
      </c>
      <c r="AA364" s="487">
        <f t="shared" ref="AA364:AA365" si="556">W364*30/100</f>
        <v>1146.5999999999999</v>
      </c>
      <c r="AB364" s="416">
        <v>0</v>
      </c>
      <c r="AC364" s="417" t="s">
        <v>1373</v>
      </c>
      <c r="AD364" s="227"/>
      <c r="AE364" s="241">
        <v>2</v>
      </c>
      <c r="AF364" s="204" t="str">
        <f t="shared" si="505"/>
        <v>Pause café</v>
      </c>
      <c r="AG364" s="486">
        <f t="shared" si="518"/>
        <v>1</v>
      </c>
      <c r="AH364" s="486">
        <f t="shared" si="519"/>
        <v>0</v>
      </c>
      <c r="AI364" s="506">
        <f t="shared" si="520"/>
        <v>5278</v>
      </c>
      <c r="AJ364" s="506">
        <f t="shared" si="491"/>
        <v>0</v>
      </c>
      <c r="AK364" s="487">
        <f t="shared" si="521"/>
        <v>0</v>
      </c>
      <c r="AL364" s="487">
        <f t="shared" si="488"/>
        <v>5278</v>
      </c>
      <c r="AM364" s="316">
        <f t="shared" si="498"/>
        <v>1456</v>
      </c>
      <c r="AN364" s="316">
        <f t="shared" si="499"/>
        <v>0</v>
      </c>
      <c r="AO364" s="316">
        <f t="shared" si="500"/>
        <v>3822</v>
      </c>
      <c r="AP364" s="316">
        <f t="shared" si="501"/>
        <v>0</v>
      </c>
      <c r="AQ364" s="186" t="s">
        <v>806</v>
      </c>
    </row>
    <row r="365" spans="1:47" s="186" customFormat="1" ht="39" x14ac:dyDescent="0.35">
      <c r="A365" s="408">
        <v>2</v>
      </c>
      <c r="B365" s="409" t="s">
        <v>426</v>
      </c>
      <c r="C365" s="409" t="s">
        <v>1125</v>
      </c>
      <c r="D365" s="410">
        <v>5</v>
      </c>
      <c r="E365" s="411">
        <v>180</v>
      </c>
      <c r="F365" s="412">
        <v>4</v>
      </c>
      <c r="G365" s="486">
        <v>1</v>
      </c>
      <c r="H365" s="486">
        <v>0</v>
      </c>
      <c r="I365" s="416">
        <f t="shared" si="551"/>
        <v>3600</v>
      </c>
      <c r="J365" s="487">
        <f>D365*E365*F365*H365</f>
        <v>0</v>
      </c>
      <c r="K365" s="513">
        <f>I365*40/100</f>
        <v>1440</v>
      </c>
      <c r="L365" s="513">
        <f>I365*30/100</f>
        <v>1080</v>
      </c>
      <c r="M365" s="513">
        <f>I365*30/100</f>
        <v>1080</v>
      </c>
      <c r="N365" s="416">
        <v>0</v>
      </c>
      <c r="O365" s="417" t="s">
        <v>1374</v>
      </c>
      <c r="P365" s="201"/>
      <c r="Q365" s="409" t="s">
        <v>1125</v>
      </c>
      <c r="R365" s="418">
        <v>5</v>
      </c>
      <c r="S365" s="411">
        <v>180</v>
      </c>
      <c r="T365" s="411">
        <v>3</v>
      </c>
      <c r="U365" s="486">
        <v>1</v>
      </c>
      <c r="V365" s="486">
        <v>0</v>
      </c>
      <c r="W365" s="506">
        <f t="shared" si="552"/>
        <v>2700</v>
      </c>
      <c r="X365" s="487">
        <f>R365*S365*T365*V365</f>
        <v>0</v>
      </c>
      <c r="Y365" s="487">
        <f t="shared" si="554"/>
        <v>1080</v>
      </c>
      <c r="Z365" s="487">
        <f t="shared" si="555"/>
        <v>810</v>
      </c>
      <c r="AA365" s="487">
        <f t="shared" si="556"/>
        <v>810</v>
      </c>
      <c r="AB365" s="416">
        <v>0</v>
      </c>
      <c r="AC365" s="417" t="s">
        <v>1375</v>
      </c>
      <c r="AD365" s="227"/>
      <c r="AE365" s="241">
        <v>3</v>
      </c>
      <c r="AF365" s="204" t="str">
        <f t="shared" si="505"/>
        <v>Transport des participants</v>
      </c>
      <c r="AG365" s="486">
        <f t="shared" si="518"/>
        <v>1</v>
      </c>
      <c r="AH365" s="486">
        <f t="shared" si="519"/>
        <v>0</v>
      </c>
      <c r="AI365" s="506">
        <f t="shared" si="520"/>
        <v>6300</v>
      </c>
      <c r="AJ365" s="506">
        <f t="shared" si="491"/>
        <v>0</v>
      </c>
      <c r="AK365" s="487">
        <f t="shared" si="521"/>
        <v>0</v>
      </c>
      <c r="AL365" s="487">
        <f t="shared" si="488"/>
        <v>6300</v>
      </c>
      <c r="AM365" s="316">
        <f t="shared" si="498"/>
        <v>3600</v>
      </c>
      <c r="AN365" s="316">
        <f t="shared" si="499"/>
        <v>0</v>
      </c>
      <c r="AO365" s="316">
        <f t="shared" si="500"/>
        <v>2700</v>
      </c>
      <c r="AP365" s="316">
        <f t="shared" si="501"/>
        <v>0</v>
      </c>
      <c r="AQ365" s="186" t="s">
        <v>806</v>
      </c>
    </row>
    <row r="366" spans="1:47" s="173" customFormat="1" ht="27.75" customHeight="1" x14ac:dyDescent="0.3">
      <c r="A366" s="480" t="s">
        <v>283</v>
      </c>
      <c r="B366" s="861" t="s">
        <v>1376</v>
      </c>
      <c r="C366" s="862"/>
      <c r="D366" s="862"/>
      <c r="E366" s="862"/>
      <c r="F366" s="862"/>
      <c r="G366" s="862"/>
      <c r="H366" s="863"/>
      <c r="I366" s="481">
        <f>SUM(I367:I371)</f>
        <v>37853</v>
      </c>
      <c r="J366" s="482">
        <f t="shared" ref="J366:N366" si="557">SUM(J367:J371)</f>
        <v>0</v>
      </c>
      <c r="K366" s="482">
        <f t="shared" si="557"/>
        <v>25853</v>
      </c>
      <c r="L366" s="482">
        <f t="shared" si="557"/>
        <v>6000</v>
      </c>
      <c r="M366" s="482">
        <f t="shared" si="557"/>
        <v>6000</v>
      </c>
      <c r="N366" s="481">
        <f t="shared" si="557"/>
        <v>0</v>
      </c>
      <c r="O366" s="508"/>
      <c r="P366" s="168"/>
      <c r="Q366" s="538"/>
      <c r="R366" s="539"/>
      <c r="S366" s="538"/>
      <c r="T366" s="539"/>
      <c r="U366" s="539"/>
      <c r="V366" s="484"/>
      <c r="W366" s="482">
        <f>SUM(W367:W371)</f>
        <v>35853</v>
      </c>
      <c r="X366" s="482">
        <f t="shared" ref="X366:Y366" si="558">SUM(X367:X371)</f>
        <v>0</v>
      </c>
      <c r="Y366" s="482">
        <f t="shared" si="558"/>
        <v>25053</v>
      </c>
      <c r="Z366" s="482">
        <f t="shared" ref="Z366:AB366" si="559">SUM(Z367:Z371)</f>
        <v>5400</v>
      </c>
      <c r="AA366" s="482">
        <f t="shared" si="559"/>
        <v>5400</v>
      </c>
      <c r="AB366" s="481">
        <f t="shared" si="559"/>
        <v>0</v>
      </c>
      <c r="AC366" s="508"/>
      <c r="AD366" s="234"/>
      <c r="AE366" s="247" t="s">
        <v>283</v>
      </c>
      <c r="AF366" s="204" t="str">
        <f t="shared" si="505"/>
        <v>Constituer de façon paritaire et former les membres des comités du village sur la gestion de l'environnement assaini de facon globale dans le vilage (Gestion et maintenance des ponts d'eau, suvi de l'assainissement familiale, et  le programme de l'hygiene communautaires et personelle)</v>
      </c>
      <c r="AG366" s="485">
        <f t="shared" si="518"/>
        <v>1</v>
      </c>
      <c r="AH366" s="485">
        <f t="shared" si="519"/>
        <v>0</v>
      </c>
      <c r="AI366" s="482">
        <f t="shared" si="520"/>
        <v>73706</v>
      </c>
      <c r="AJ366" s="482">
        <f t="shared" si="491"/>
        <v>0</v>
      </c>
      <c r="AK366" s="482">
        <f t="shared" si="521"/>
        <v>0</v>
      </c>
      <c r="AL366" s="482">
        <f t="shared" ref="AL366:AL513" si="560">AI366+AJ366+AK366</f>
        <v>73706</v>
      </c>
      <c r="AM366" s="314">
        <f t="shared" si="498"/>
        <v>37853</v>
      </c>
      <c r="AN366" s="314">
        <f t="shared" si="499"/>
        <v>0</v>
      </c>
      <c r="AO366" s="314">
        <f t="shared" si="500"/>
        <v>35853</v>
      </c>
      <c r="AP366" s="314">
        <f t="shared" si="501"/>
        <v>0</v>
      </c>
      <c r="AQ366" s="168"/>
      <c r="AT366" s="168"/>
      <c r="AU366" s="168"/>
    </row>
    <row r="367" spans="1:47" s="169" customFormat="1" ht="26" x14ac:dyDescent="0.3">
      <c r="A367" s="509">
        <v>1</v>
      </c>
      <c r="B367" s="510" t="s">
        <v>429</v>
      </c>
      <c r="C367" s="409" t="s">
        <v>438</v>
      </c>
      <c r="D367" s="559">
        <v>2.5</v>
      </c>
      <c r="E367" s="411">
        <f>7*30</f>
        <v>210</v>
      </c>
      <c r="F367" s="512">
        <v>1</v>
      </c>
      <c r="G367" s="486">
        <v>1</v>
      </c>
      <c r="H367" s="486">
        <v>0</v>
      </c>
      <c r="I367" s="416">
        <f t="shared" ref="I367:I371" si="561">D367*E367*F367*G367</f>
        <v>525</v>
      </c>
      <c r="J367" s="487">
        <f>D367*E367*F367*H367</f>
        <v>0</v>
      </c>
      <c r="K367" s="513">
        <f>I367</f>
        <v>525</v>
      </c>
      <c r="L367" s="513"/>
      <c r="M367" s="513"/>
      <c r="N367" s="416">
        <v>0</v>
      </c>
      <c r="O367" s="507" t="s">
        <v>1377</v>
      </c>
      <c r="P367" s="171"/>
      <c r="Q367" s="409" t="s">
        <v>438</v>
      </c>
      <c r="R367" s="516">
        <v>2.5</v>
      </c>
      <c r="S367" s="411">
        <f>7*30</f>
        <v>210</v>
      </c>
      <c r="T367" s="514">
        <v>1</v>
      </c>
      <c r="U367" s="486">
        <v>1</v>
      </c>
      <c r="V367" s="486">
        <v>0</v>
      </c>
      <c r="W367" s="506">
        <f t="shared" ref="W367:W371" si="562">R367*S367*T367*U367</f>
        <v>525</v>
      </c>
      <c r="X367" s="487">
        <f>R367*S367*T367*V367</f>
        <v>0</v>
      </c>
      <c r="Y367" s="487">
        <f t="shared" ref="Y367:Y370" si="563">W367</f>
        <v>525</v>
      </c>
      <c r="Z367" s="487"/>
      <c r="AA367" s="487"/>
      <c r="AB367" s="416">
        <v>0</v>
      </c>
      <c r="AC367" s="417" t="s">
        <v>1378</v>
      </c>
      <c r="AD367" s="227"/>
      <c r="AE367" s="241">
        <v>1</v>
      </c>
      <c r="AF367" s="204" t="str">
        <f t="shared" si="505"/>
        <v>Fourniture de  formation</v>
      </c>
      <c r="AG367" s="486">
        <f t="shared" si="518"/>
        <v>1</v>
      </c>
      <c r="AH367" s="486">
        <f t="shared" si="519"/>
        <v>0</v>
      </c>
      <c r="AI367" s="506">
        <f t="shared" si="520"/>
        <v>1050</v>
      </c>
      <c r="AJ367" s="506">
        <f t="shared" si="491"/>
        <v>0</v>
      </c>
      <c r="AK367" s="487">
        <f t="shared" si="521"/>
        <v>0</v>
      </c>
      <c r="AL367" s="487">
        <f t="shared" si="560"/>
        <v>1050</v>
      </c>
      <c r="AM367" s="316">
        <f t="shared" si="498"/>
        <v>525</v>
      </c>
      <c r="AN367" s="316">
        <f t="shared" si="499"/>
        <v>0</v>
      </c>
      <c r="AO367" s="316">
        <f t="shared" si="500"/>
        <v>525</v>
      </c>
      <c r="AP367" s="316">
        <f t="shared" si="501"/>
        <v>0</v>
      </c>
      <c r="AQ367" s="169" t="s">
        <v>806</v>
      </c>
    </row>
    <row r="368" spans="1:47" s="169" customFormat="1" ht="39" x14ac:dyDescent="0.3">
      <c r="A368" s="509">
        <v>2</v>
      </c>
      <c r="B368" s="510" t="s">
        <v>440</v>
      </c>
      <c r="C368" s="409" t="s">
        <v>90</v>
      </c>
      <c r="D368" s="536">
        <v>7</v>
      </c>
      <c r="E368" s="411">
        <f>7*30+10+4</f>
        <v>224</v>
      </c>
      <c r="F368" s="512">
        <v>6</v>
      </c>
      <c r="G368" s="486">
        <v>1</v>
      </c>
      <c r="H368" s="486">
        <v>0</v>
      </c>
      <c r="I368" s="416">
        <f t="shared" si="561"/>
        <v>9408</v>
      </c>
      <c r="J368" s="487">
        <f>D368*E368*F368*H368</f>
        <v>0</v>
      </c>
      <c r="K368" s="513">
        <f>I368</f>
        <v>9408</v>
      </c>
      <c r="L368" s="513"/>
      <c r="M368" s="513"/>
      <c r="N368" s="416">
        <v>0</v>
      </c>
      <c r="O368" s="507" t="s">
        <v>1379</v>
      </c>
      <c r="P368" s="171"/>
      <c r="Q368" s="409" t="s">
        <v>90</v>
      </c>
      <c r="R368" s="516">
        <v>7</v>
      </c>
      <c r="S368" s="411">
        <f>7*30+10+4</f>
        <v>224</v>
      </c>
      <c r="T368" s="514">
        <v>6</v>
      </c>
      <c r="U368" s="486">
        <v>1</v>
      </c>
      <c r="V368" s="486">
        <v>0</v>
      </c>
      <c r="W368" s="506">
        <f t="shared" si="562"/>
        <v>9408</v>
      </c>
      <c r="X368" s="487">
        <f>R368*S368*T368*V368</f>
        <v>0</v>
      </c>
      <c r="Y368" s="487">
        <f t="shared" si="563"/>
        <v>9408</v>
      </c>
      <c r="Z368" s="487"/>
      <c r="AA368" s="487"/>
      <c r="AB368" s="416">
        <v>0</v>
      </c>
      <c r="AC368" s="417" t="s">
        <v>1380</v>
      </c>
      <c r="AD368" s="227"/>
      <c r="AE368" s="241">
        <v>2</v>
      </c>
      <c r="AF368" s="204" t="str">
        <f t="shared" si="505"/>
        <v>Resstauration+pause café</v>
      </c>
      <c r="AG368" s="486">
        <f t="shared" si="518"/>
        <v>1</v>
      </c>
      <c r="AH368" s="486">
        <f t="shared" si="519"/>
        <v>0</v>
      </c>
      <c r="AI368" s="506">
        <f t="shared" si="520"/>
        <v>18816</v>
      </c>
      <c r="AJ368" s="506">
        <f t="shared" si="491"/>
        <v>0</v>
      </c>
      <c r="AK368" s="487">
        <f t="shared" si="521"/>
        <v>0</v>
      </c>
      <c r="AL368" s="487">
        <f t="shared" si="560"/>
        <v>18816</v>
      </c>
      <c r="AM368" s="316">
        <f t="shared" si="498"/>
        <v>9408</v>
      </c>
      <c r="AN368" s="316">
        <f t="shared" si="499"/>
        <v>0</v>
      </c>
      <c r="AO368" s="316">
        <f t="shared" si="500"/>
        <v>9408</v>
      </c>
      <c r="AP368" s="316">
        <f t="shared" si="501"/>
        <v>0</v>
      </c>
      <c r="AQ368" s="169" t="s">
        <v>806</v>
      </c>
    </row>
    <row r="369" spans="1:47" s="169" customFormat="1" ht="26" x14ac:dyDescent="0.3">
      <c r="A369" s="509">
        <v>3</v>
      </c>
      <c r="B369" s="510" t="s">
        <v>421</v>
      </c>
      <c r="C369" s="409" t="s">
        <v>422</v>
      </c>
      <c r="D369" s="536">
        <v>50</v>
      </c>
      <c r="E369" s="411">
        <v>5</v>
      </c>
      <c r="F369" s="512">
        <v>6</v>
      </c>
      <c r="G369" s="486">
        <v>1</v>
      </c>
      <c r="H369" s="486">
        <v>0</v>
      </c>
      <c r="I369" s="416">
        <f t="shared" si="561"/>
        <v>1500</v>
      </c>
      <c r="J369" s="487">
        <f>D369*E369*F369*H369</f>
        <v>0</v>
      </c>
      <c r="K369" s="513">
        <f>I369</f>
        <v>1500</v>
      </c>
      <c r="L369" s="513"/>
      <c r="M369" s="513"/>
      <c r="N369" s="416">
        <v>0</v>
      </c>
      <c r="O369" s="507" t="s">
        <v>1381</v>
      </c>
      <c r="P369" s="171"/>
      <c r="Q369" s="409" t="s">
        <v>422</v>
      </c>
      <c r="R369" s="516">
        <v>50</v>
      </c>
      <c r="S369" s="411">
        <v>5</v>
      </c>
      <c r="T369" s="514">
        <v>6</v>
      </c>
      <c r="U369" s="486">
        <v>1</v>
      </c>
      <c r="V369" s="486">
        <v>0</v>
      </c>
      <c r="W369" s="506">
        <f t="shared" si="562"/>
        <v>1500</v>
      </c>
      <c r="X369" s="487">
        <f t="shared" ref="X369:X371" si="564">R369*S369*T369*V369</f>
        <v>0</v>
      </c>
      <c r="Y369" s="487">
        <f t="shared" si="563"/>
        <v>1500</v>
      </c>
      <c r="Z369" s="487"/>
      <c r="AA369" s="487"/>
      <c r="AB369" s="416">
        <v>0</v>
      </c>
      <c r="AC369" s="417" t="s">
        <v>1382</v>
      </c>
      <c r="AD369" s="227"/>
      <c r="AE369" s="241">
        <v>3</v>
      </c>
      <c r="AF369" s="204" t="str">
        <f t="shared" si="505"/>
        <v>Location salle</v>
      </c>
      <c r="AG369" s="486">
        <f t="shared" si="518"/>
        <v>1</v>
      </c>
      <c r="AH369" s="486">
        <f t="shared" si="519"/>
        <v>0</v>
      </c>
      <c r="AI369" s="506">
        <f t="shared" si="520"/>
        <v>3000</v>
      </c>
      <c r="AJ369" s="506">
        <f t="shared" si="491"/>
        <v>0</v>
      </c>
      <c r="AK369" s="487">
        <f t="shared" si="521"/>
        <v>0</v>
      </c>
      <c r="AL369" s="487">
        <f t="shared" si="560"/>
        <v>3000</v>
      </c>
      <c r="AM369" s="316">
        <f t="shared" si="498"/>
        <v>1500</v>
      </c>
      <c r="AN369" s="316">
        <f t="shared" si="499"/>
        <v>0</v>
      </c>
      <c r="AO369" s="316">
        <f t="shared" si="500"/>
        <v>1500</v>
      </c>
      <c r="AP369" s="316">
        <f t="shared" si="501"/>
        <v>0</v>
      </c>
      <c r="AQ369" s="169" t="s">
        <v>806</v>
      </c>
    </row>
    <row r="370" spans="1:47" s="169" customFormat="1" ht="39" x14ac:dyDescent="0.3">
      <c r="A370" s="509">
        <v>4</v>
      </c>
      <c r="B370" s="510" t="s">
        <v>426</v>
      </c>
      <c r="C370" s="409" t="s">
        <v>1125</v>
      </c>
      <c r="D370" s="536">
        <v>5</v>
      </c>
      <c r="E370" s="411">
        <f>7*30+4</f>
        <v>214</v>
      </c>
      <c r="F370" s="512">
        <v>6</v>
      </c>
      <c r="G370" s="486">
        <v>1</v>
      </c>
      <c r="H370" s="486">
        <v>0</v>
      </c>
      <c r="I370" s="416">
        <f t="shared" si="561"/>
        <v>6420</v>
      </c>
      <c r="J370" s="487">
        <f>D370*E370*F370*H370</f>
        <v>0</v>
      </c>
      <c r="K370" s="513">
        <f>I370</f>
        <v>6420</v>
      </c>
      <c r="L370" s="513"/>
      <c r="M370" s="513"/>
      <c r="N370" s="416">
        <v>0</v>
      </c>
      <c r="O370" s="507" t="s">
        <v>1383</v>
      </c>
      <c r="P370" s="171"/>
      <c r="Q370" s="409" t="s">
        <v>1125</v>
      </c>
      <c r="R370" s="516">
        <v>5</v>
      </c>
      <c r="S370" s="411">
        <f>7*30+4</f>
        <v>214</v>
      </c>
      <c r="T370" s="514">
        <v>6</v>
      </c>
      <c r="U370" s="486">
        <v>1</v>
      </c>
      <c r="V370" s="486">
        <v>0</v>
      </c>
      <c r="W370" s="506">
        <f t="shared" si="562"/>
        <v>6420</v>
      </c>
      <c r="X370" s="487">
        <f t="shared" si="564"/>
        <v>0</v>
      </c>
      <c r="Y370" s="487">
        <f t="shared" si="563"/>
        <v>6420</v>
      </c>
      <c r="Z370" s="487"/>
      <c r="AA370" s="487"/>
      <c r="AB370" s="416">
        <v>0</v>
      </c>
      <c r="AC370" s="417" t="s">
        <v>1384</v>
      </c>
      <c r="AD370" s="227"/>
      <c r="AE370" s="241">
        <v>4</v>
      </c>
      <c r="AF370" s="204" t="str">
        <f t="shared" si="505"/>
        <v>Transport des participants</v>
      </c>
      <c r="AG370" s="486">
        <f t="shared" si="518"/>
        <v>1</v>
      </c>
      <c r="AH370" s="486">
        <f t="shared" si="519"/>
        <v>0</v>
      </c>
      <c r="AI370" s="506">
        <f t="shared" si="520"/>
        <v>12840</v>
      </c>
      <c r="AJ370" s="506">
        <f t="shared" si="491"/>
        <v>0</v>
      </c>
      <c r="AK370" s="487">
        <f t="shared" si="521"/>
        <v>0</v>
      </c>
      <c r="AL370" s="487">
        <f t="shared" si="560"/>
        <v>12840</v>
      </c>
      <c r="AM370" s="316">
        <f t="shared" si="498"/>
        <v>6420</v>
      </c>
      <c r="AN370" s="316">
        <f t="shared" si="499"/>
        <v>0</v>
      </c>
      <c r="AO370" s="316">
        <f t="shared" si="500"/>
        <v>6420</v>
      </c>
      <c r="AP370" s="316">
        <f t="shared" si="501"/>
        <v>0</v>
      </c>
      <c r="AQ370" s="169" t="s">
        <v>806</v>
      </c>
    </row>
    <row r="371" spans="1:47" s="169" customFormat="1" ht="26" x14ac:dyDescent="0.3">
      <c r="A371" s="509">
        <v>5</v>
      </c>
      <c r="B371" s="510" t="s">
        <v>1385</v>
      </c>
      <c r="C371" s="409" t="s">
        <v>1386</v>
      </c>
      <c r="D371" s="536">
        <v>50</v>
      </c>
      <c r="E371" s="411">
        <v>4</v>
      </c>
      <c r="F371" s="512">
        <v>100</v>
      </c>
      <c r="G371" s="486">
        <v>1</v>
      </c>
      <c r="H371" s="486">
        <v>0</v>
      </c>
      <c r="I371" s="416">
        <f t="shared" si="561"/>
        <v>20000</v>
      </c>
      <c r="J371" s="487">
        <f>D371*E371*F371*H371</f>
        <v>0</v>
      </c>
      <c r="K371" s="513">
        <f>I371*40/100</f>
        <v>8000</v>
      </c>
      <c r="L371" s="513">
        <f>I371*30/100</f>
        <v>6000</v>
      </c>
      <c r="M371" s="513">
        <f>I371*30/100</f>
        <v>6000</v>
      </c>
      <c r="N371" s="416">
        <v>0</v>
      </c>
      <c r="O371" s="507" t="s">
        <v>1387</v>
      </c>
      <c r="P371" s="171"/>
      <c r="Q371" s="409" t="s">
        <v>1386</v>
      </c>
      <c r="R371" s="516">
        <v>50</v>
      </c>
      <c r="S371" s="411">
        <v>4</v>
      </c>
      <c r="T371" s="514">
        <v>90</v>
      </c>
      <c r="U371" s="486">
        <v>1</v>
      </c>
      <c r="V371" s="486">
        <v>0</v>
      </c>
      <c r="W371" s="506">
        <f t="shared" si="562"/>
        <v>18000</v>
      </c>
      <c r="X371" s="487">
        <f t="shared" si="564"/>
        <v>0</v>
      </c>
      <c r="Y371" s="487">
        <f>W371*40/100</f>
        <v>7200</v>
      </c>
      <c r="Z371" s="487">
        <f>W371*30/100</f>
        <v>5400</v>
      </c>
      <c r="AA371" s="487">
        <f>W371*30/100</f>
        <v>5400</v>
      </c>
      <c r="AB371" s="416">
        <v>0</v>
      </c>
      <c r="AC371" s="417" t="s">
        <v>1388</v>
      </c>
      <c r="AD371" s="227"/>
      <c r="AE371" s="241">
        <v>5</v>
      </c>
      <c r="AF371" s="204" t="str">
        <f t="shared" si="505"/>
        <v>Mission de supervision pour les 3 personnes Caritas (1 chef de projet, 2 superviseurs techniques;</v>
      </c>
      <c r="AG371" s="486">
        <f t="shared" si="518"/>
        <v>1</v>
      </c>
      <c r="AH371" s="486">
        <f t="shared" si="519"/>
        <v>0</v>
      </c>
      <c r="AI371" s="506">
        <f t="shared" si="520"/>
        <v>38000</v>
      </c>
      <c r="AJ371" s="506">
        <f t="shared" si="491"/>
        <v>0</v>
      </c>
      <c r="AK371" s="487">
        <f t="shared" si="521"/>
        <v>0</v>
      </c>
      <c r="AL371" s="487">
        <f t="shared" si="560"/>
        <v>38000</v>
      </c>
      <c r="AM371" s="316">
        <f t="shared" si="498"/>
        <v>20000</v>
      </c>
      <c r="AN371" s="316">
        <f t="shared" si="499"/>
        <v>0</v>
      </c>
      <c r="AO371" s="316">
        <f t="shared" si="500"/>
        <v>18000</v>
      </c>
      <c r="AP371" s="316">
        <f t="shared" si="501"/>
        <v>0</v>
      </c>
      <c r="AQ371" s="169" t="s">
        <v>806</v>
      </c>
    </row>
    <row r="372" spans="1:47" s="173" customFormat="1" ht="12.75" customHeight="1" x14ac:dyDescent="0.3">
      <c r="A372" s="480" t="s">
        <v>284</v>
      </c>
      <c r="B372" s="861" t="s">
        <v>1389</v>
      </c>
      <c r="C372" s="862"/>
      <c r="D372" s="862"/>
      <c r="E372" s="862"/>
      <c r="F372" s="862"/>
      <c r="G372" s="862"/>
      <c r="H372" s="863">
        <v>0</v>
      </c>
      <c r="I372" s="481">
        <f>SUM(I374:I383)</f>
        <v>1000</v>
      </c>
      <c r="J372" s="482">
        <f t="shared" ref="J372" si="565">SUM(J374:J383)</f>
        <v>0</v>
      </c>
      <c r="K372" s="482">
        <f>SUM(K374:K383)</f>
        <v>0</v>
      </c>
      <c r="L372" s="482">
        <f t="shared" ref="L372:M372" si="566">SUM(L374:L383)</f>
        <v>0</v>
      </c>
      <c r="M372" s="482">
        <f t="shared" si="566"/>
        <v>1000</v>
      </c>
      <c r="N372" s="481">
        <f>SUM(N374:N383)</f>
        <v>0</v>
      </c>
      <c r="O372" s="508"/>
      <c r="P372" s="168"/>
      <c r="Q372" s="538"/>
      <c r="R372" s="539"/>
      <c r="S372" s="538"/>
      <c r="T372" s="539"/>
      <c r="U372" s="539"/>
      <c r="V372" s="484"/>
      <c r="W372" s="482">
        <f>SUM(W374:W383)</f>
        <v>2200</v>
      </c>
      <c r="X372" s="482">
        <f t="shared" ref="X372" si="567">SUM(X374:X383)</f>
        <v>0</v>
      </c>
      <c r="Y372" s="482">
        <f>SUM(Y374:Y383)</f>
        <v>1200</v>
      </c>
      <c r="Z372" s="482">
        <f t="shared" ref="Z372:AA372" si="568">SUM(Z374:Z383)</f>
        <v>0</v>
      </c>
      <c r="AA372" s="482">
        <f t="shared" si="568"/>
        <v>1000</v>
      </c>
      <c r="AB372" s="481">
        <f>SUM(AB374:AB383)</f>
        <v>0</v>
      </c>
      <c r="AC372" s="508"/>
      <c r="AD372" s="234"/>
      <c r="AE372" s="247" t="s">
        <v>284</v>
      </c>
      <c r="AF372" s="204" t="str">
        <f t="shared" si="505"/>
        <v>Organiser dans les ZS les journees evementielles dans le secteur d'EHA avec les Villages des zones de sante rurales de RWANGUBA et Nyiragongo</v>
      </c>
      <c r="AG372" s="485">
        <f t="shared" si="518"/>
        <v>1</v>
      </c>
      <c r="AH372" s="485">
        <f t="shared" si="519"/>
        <v>0</v>
      </c>
      <c r="AI372" s="482">
        <f t="shared" si="520"/>
        <v>3200</v>
      </c>
      <c r="AJ372" s="482">
        <f t="shared" si="491"/>
        <v>0</v>
      </c>
      <c r="AK372" s="482">
        <f t="shared" si="521"/>
        <v>0</v>
      </c>
      <c r="AL372" s="482">
        <f t="shared" si="560"/>
        <v>3200</v>
      </c>
      <c r="AM372" s="314">
        <f t="shared" si="498"/>
        <v>1000</v>
      </c>
      <c r="AN372" s="314">
        <f t="shared" si="499"/>
        <v>0</v>
      </c>
      <c r="AO372" s="314">
        <f t="shared" si="500"/>
        <v>2200</v>
      </c>
      <c r="AP372" s="314">
        <f t="shared" si="501"/>
        <v>0</v>
      </c>
      <c r="AQ372" s="168"/>
      <c r="AT372" s="168"/>
      <c r="AU372" s="168"/>
    </row>
    <row r="373" spans="1:47" s="172" customFormat="1" ht="26" x14ac:dyDescent="0.3">
      <c r="A373" s="488"/>
      <c r="B373" s="489" t="s">
        <v>1390</v>
      </c>
      <c r="C373" s="489"/>
      <c r="D373" s="490">
        <v>0</v>
      </c>
      <c r="E373" s="491"/>
      <c r="F373" s="492"/>
      <c r="G373" s="493"/>
      <c r="H373" s="493"/>
      <c r="I373" s="494"/>
      <c r="J373" s="495"/>
      <c r="K373" s="495"/>
      <c r="L373" s="495"/>
      <c r="M373" s="495"/>
      <c r="N373" s="494"/>
      <c r="O373" s="496"/>
      <c r="P373" s="169"/>
      <c r="Q373" s="489"/>
      <c r="R373" s="490">
        <v>0</v>
      </c>
      <c r="S373" s="491"/>
      <c r="T373" s="492"/>
      <c r="U373" s="493"/>
      <c r="V373" s="493"/>
      <c r="W373" s="495"/>
      <c r="X373" s="495"/>
      <c r="Y373" s="495"/>
      <c r="Z373" s="495"/>
      <c r="AA373" s="495"/>
      <c r="AB373" s="494"/>
      <c r="AC373" s="498"/>
      <c r="AD373" s="182"/>
      <c r="AE373" s="204"/>
      <c r="AF373" s="204" t="str">
        <f t="shared" si="505"/>
        <v>Célébration de la Journée mondiale de l'eau dans la zone de sante de Rwanguba et Nyiragongo:  JME: 22 Mars 2023</v>
      </c>
      <c r="AG373" s="493"/>
      <c r="AH373" s="493"/>
      <c r="AI373" s="495"/>
      <c r="AJ373" s="495">
        <f t="shared" si="491"/>
        <v>0</v>
      </c>
      <c r="AK373" s="495"/>
      <c r="AL373" s="495">
        <f t="shared" si="560"/>
        <v>0</v>
      </c>
      <c r="AM373" s="317">
        <f t="shared" si="498"/>
        <v>0</v>
      </c>
      <c r="AN373" s="317">
        <f t="shared" si="499"/>
        <v>0</v>
      </c>
      <c r="AO373" s="317">
        <f t="shared" si="500"/>
        <v>0</v>
      </c>
      <c r="AP373" s="317">
        <f t="shared" si="501"/>
        <v>0</v>
      </c>
      <c r="AQ373" s="168"/>
      <c r="AT373" s="169"/>
      <c r="AU373" s="169"/>
    </row>
    <row r="374" spans="1:47" s="169" customFormat="1" ht="26" x14ac:dyDescent="0.3">
      <c r="A374" s="509">
        <v>1</v>
      </c>
      <c r="B374" s="510" t="s">
        <v>1391</v>
      </c>
      <c r="C374" s="409" t="s">
        <v>1392</v>
      </c>
      <c r="D374" s="536">
        <v>0</v>
      </c>
      <c r="E374" s="411">
        <v>0</v>
      </c>
      <c r="F374" s="512">
        <v>0</v>
      </c>
      <c r="G374" s="486">
        <v>1</v>
      </c>
      <c r="H374" s="486">
        <v>0</v>
      </c>
      <c r="I374" s="416">
        <v>0</v>
      </c>
      <c r="J374" s="487">
        <f>D374*E374*F374*H374</f>
        <v>0</v>
      </c>
      <c r="K374" s="513">
        <f>I374</f>
        <v>0</v>
      </c>
      <c r="L374" s="513"/>
      <c r="M374" s="513"/>
      <c r="N374" s="416">
        <v>0</v>
      </c>
      <c r="O374" s="507"/>
      <c r="P374" s="171"/>
      <c r="Q374" s="409" t="s">
        <v>1392</v>
      </c>
      <c r="R374" s="516">
        <v>50</v>
      </c>
      <c r="S374" s="411">
        <v>4</v>
      </c>
      <c r="T374" s="514">
        <v>2</v>
      </c>
      <c r="U374" s="486">
        <v>1</v>
      </c>
      <c r="V374" s="486">
        <v>0</v>
      </c>
      <c r="W374" s="506">
        <f>R374*S374*T374*U374</f>
        <v>400</v>
      </c>
      <c r="X374" s="487">
        <f t="shared" ref="X374:X383" si="569">R374*S374*T374*V374</f>
        <v>0</v>
      </c>
      <c r="Y374" s="487">
        <f>W374</f>
        <v>400</v>
      </c>
      <c r="Z374" s="487"/>
      <c r="AA374" s="487"/>
      <c r="AB374" s="416">
        <v>0</v>
      </c>
      <c r="AC374" s="417" t="s">
        <v>1393</v>
      </c>
      <c r="AD374" s="227"/>
      <c r="AE374" s="241">
        <v>1</v>
      </c>
      <c r="AF374" s="204" t="str">
        <f t="shared" si="505"/>
        <v>Reproduction des banderolles VA/CSA</v>
      </c>
      <c r="AG374" s="486">
        <f>AI374/($AI374+$AK374)</f>
        <v>1</v>
      </c>
      <c r="AH374" s="486">
        <f>AK374/($AI374+$AK374)</f>
        <v>0</v>
      </c>
      <c r="AI374" s="506">
        <f>I374+W374</f>
        <v>400</v>
      </c>
      <c r="AJ374" s="506">
        <f t="shared" si="491"/>
        <v>0</v>
      </c>
      <c r="AK374" s="487">
        <f>J374+X374</f>
        <v>0</v>
      </c>
      <c r="AL374" s="487">
        <f t="shared" si="560"/>
        <v>400</v>
      </c>
      <c r="AM374" s="316">
        <f t="shared" si="498"/>
        <v>0</v>
      </c>
      <c r="AN374" s="316">
        <f t="shared" si="499"/>
        <v>0</v>
      </c>
      <c r="AO374" s="316">
        <f t="shared" si="500"/>
        <v>400</v>
      </c>
      <c r="AP374" s="316">
        <f t="shared" si="501"/>
        <v>0</v>
      </c>
      <c r="AQ374" s="169" t="s">
        <v>806</v>
      </c>
    </row>
    <row r="375" spans="1:47" s="169" customFormat="1" x14ac:dyDescent="0.3">
      <c r="A375" s="509">
        <v>2</v>
      </c>
      <c r="B375" s="510" t="s">
        <v>1394</v>
      </c>
      <c r="C375" s="409" t="s">
        <v>1395</v>
      </c>
      <c r="D375" s="536">
        <v>0</v>
      </c>
      <c r="E375" s="411">
        <v>0</v>
      </c>
      <c r="F375" s="512">
        <v>0</v>
      </c>
      <c r="G375" s="486">
        <v>1</v>
      </c>
      <c r="H375" s="486">
        <v>0</v>
      </c>
      <c r="I375" s="416">
        <f t="shared" ref="I375:I382" si="570">D375*E375*F375*G375</f>
        <v>0</v>
      </c>
      <c r="J375" s="487">
        <f>D375*E375*F375*H375</f>
        <v>0</v>
      </c>
      <c r="K375" s="513">
        <f>I375</f>
        <v>0</v>
      </c>
      <c r="L375" s="513"/>
      <c r="M375" s="513"/>
      <c r="N375" s="416">
        <v>0</v>
      </c>
      <c r="O375" s="507"/>
      <c r="P375" s="171"/>
      <c r="Q375" s="409" t="s">
        <v>1395</v>
      </c>
      <c r="R375" s="516">
        <v>150</v>
      </c>
      <c r="S375" s="411">
        <v>1</v>
      </c>
      <c r="T375" s="514">
        <v>1</v>
      </c>
      <c r="U375" s="486">
        <v>1</v>
      </c>
      <c r="V375" s="486">
        <v>0</v>
      </c>
      <c r="W375" s="506">
        <f t="shared" ref="W375:W382" si="571">R375*S375*T375*U375</f>
        <v>150</v>
      </c>
      <c r="X375" s="487">
        <f t="shared" si="569"/>
        <v>0</v>
      </c>
      <c r="Y375" s="487">
        <f t="shared" ref="Y375:Y377" si="572">W375</f>
        <v>150</v>
      </c>
      <c r="Z375" s="487"/>
      <c r="AA375" s="487"/>
      <c r="AB375" s="416">
        <v>0</v>
      </c>
      <c r="AC375" s="417" t="s">
        <v>1396</v>
      </c>
      <c r="AD375" s="227"/>
      <c r="AE375" s="241">
        <v>2</v>
      </c>
      <c r="AF375" s="204" t="str">
        <f t="shared" si="505"/>
        <v>Location équipement de sonorisation</v>
      </c>
      <c r="AG375" s="486">
        <f>AI375/($AI375+$AK375)</f>
        <v>1</v>
      </c>
      <c r="AH375" s="486">
        <f>AK375/($AI375+$AK375)</f>
        <v>0</v>
      </c>
      <c r="AI375" s="506">
        <f>I375+W375</f>
        <v>150</v>
      </c>
      <c r="AJ375" s="506">
        <f t="shared" si="491"/>
        <v>0</v>
      </c>
      <c r="AK375" s="487">
        <f>J375+X375</f>
        <v>0</v>
      </c>
      <c r="AL375" s="487">
        <f t="shared" si="560"/>
        <v>150</v>
      </c>
      <c r="AM375" s="316">
        <f t="shared" si="498"/>
        <v>0</v>
      </c>
      <c r="AN375" s="316">
        <f t="shared" si="499"/>
        <v>0</v>
      </c>
      <c r="AO375" s="316">
        <f t="shared" si="500"/>
        <v>150</v>
      </c>
      <c r="AP375" s="316">
        <f t="shared" si="501"/>
        <v>0</v>
      </c>
      <c r="AQ375" s="169" t="s">
        <v>806</v>
      </c>
    </row>
    <row r="376" spans="1:47" s="169" customFormat="1" ht="26" x14ac:dyDescent="0.3">
      <c r="A376" s="509">
        <v>3</v>
      </c>
      <c r="B376" s="510" t="s">
        <v>1397</v>
      </c>
      <c r="C376" s="409" t="s">
        <v>1398</v>
      </c>
      <c r="D376" s="536">
        <v>0</v>
      </c>
      <c r="E376" s="411">
        <v>0</v>
      </c>
      <c r="F376" s="512">
        <v>0</v>
      </c>
      <c r="G376" s="486">
        <v>1</v>
      </c>
      <c r="H376" s="486">
        <v>0</v>
      </c>
      <c r="I376" s="416">
        <f t="shared" si="570"/>
        <v>0</v>
      </c>
      <c r="J376" s="487">
        <f>D376*E376*F376*H376</f>
        <v>0</v>
      </c>
      <c r="K376" s="513">
        <f>I376</f>
        <v>0</v>
      </c>
      <c r="L376" s="513"/>
      <c r="M376" s="513"/>
      <c r="N376" s="416">
        <v>0</v>
      </c>
      <c r="O376" s="507"/>
      <c r="P376" s="171"/>
      <c r="Q376" s="409" t="s">
        <v>1398</v>
      </c>
      <c r="R376" s="516">
        <v>650</v>
      </c>
      <c r="S376" s="411">
        <v>1</v>
      </c>
      <c r="T376" s="514">
        <v>1</v>
      </c>
      <c r="U376" s="486">
        <v>1</v>
      </c>
      <c r="V376" s="486">
        <v>0</v>
      </c>
      <c r="W376" s="506">
        <f t="shared" si="571"/>
        <v>650</v>
      </c>
      <c r="X376" s="487">
        <f t="shared" si="569"/>
        <v>0</v>
      </c>
      <c r="Y376" s="487">
        <f t="shared" si="572"/>
        <v>650</v>
      </c>
      <c r="Z376" s="487"/>
      <c r="AA376" s="487"/>
      <c r="AB376" s="416">
        <v>0</v>
      </c>
      <c r="AC376" s="417" t="s">
        <v>1399</v>
      </c>
      <c r="AD376" s="227"/>
      <c r="AE376" s="241">
        <v>3</v>
      </c>
      <c r="AF376" s="204" t="str">
        <f t="shared" si="505"/>
        <v>Organisation des jeux concours avec remise des prix aux CS sur la connaissance des notions basiques de la PCI par les prestataires des soins.</v>
      </c>
      <c r="AG376" s="486">
        <f>AI376/($AI376+$AK376)</f>
        <v>1</v>
      </c>
      <c r="AH376" s="486">
        <f>AK376/($AI376+$AK376)</f>
        <v>0</v>
      </c>
      <c r="AI376" s="506">
        <f>I376+W376</f>
        <v>650</v>
      </c>
      <c r="AJ376" s="506">
        <f t="shared" si="491"/>
        <v>0</v>
      </c>
      <c r="AK376" s="487">
        <f>J376+X376</f>
        <v>0</v>
      </c>
      <c r="AL376" s="487">
        <f t="shared" si="560"/>
        <v>650</v>
      </c>
      <c r="AM376" s="316">
        <f t="shared" si="498"/>
        <v>0</v>
      </c>
      <c r="AN376" s="316">
        <f t="shared" si="499"/>
        <v>0</v>
      </c>
      <c r="AO376" s="316">
        <f t="shared" si="500"/>
        <v>650</v>
      </c>
      <c r="AP376" s="316">
        <f t="shared" si="501"/>
        <v>0</v>
      </c>
      <c r="AQ376" s="169" t="s">
        <v>806</v>
      </c>
    </row>
    <row r="377" spans="1:47" s="169" customFormat="1" ht="26" x14ac:dyDescent="0.3">
      <c r="A377" s="509">
        <v>4</v>
      </c>
      <c r="B377" s="510" t="s">
        <v>1400</v>
      </c>
      <c r="C377" s="409" t="s">
        <v>1303</v>
      </c>
      <c r="D377" s="536">
        <v>0</v>
      </c>
      <c r="E377" s="411">
        <v>0</v>
      </c>
      <c r="F377" s="512">
        <v>0</v>
      </c>
      <c r="G377" s="486">
        <v>1</v>
      </c>
      <c r="H377" s="486">
        <v>0</v>
      </c>
      <c r="I377" s="416">
        <f t="shared" si="570"/>
        <v>0</v>
      </c>
      <c r="J377" s="487">
        <f>D377*E377*F377*H377</f>
        <v>0</v>
      </c>
      <c r="K377" s="513">
        <f>I377</f>
        <v>0</v>
      </c>
      <c r="L377" s="513"/>
      <c r="M377" s="513"/>
      <c r="N377" s="416">
        <v>0</v>
      </c>
      <c r="O377" s="507"/>
      <c r="P377" s="171"/>
      <c r="Q377" s="409" t="s">
        <v>1303</v>
      </c>
      <c r="R377" s="516"/>
      <c r="S377" s="411"/>
      <c r="T377" s="514"/>
      <c r="U377" s="486"/>
      <c r="V377" s="486"/>
      <c r="W377" s="506">
        <f t="shared" si="571"/>
        <v>0</v>
      </c>
      <c r="X377" s="487">
        <f t="shared" si="569"/>
        <v>0</v>
      </c>
      <c r="Y377" s="487">
        <f t="shared" si="572"/>
        <v>0</v>
      </c>
      <c r="Z377" s="487"/>
      <c r="AA377" s="487"/>
      <c r="AB377" s="416">
        <v>0</v>
      </c>
      <c r="AC377" s="417"/>
      <c r="AD377" s="227"/>
      <c r="AE377" s="241">
        <v>4</v>
      </c>
      <c r="AF377" s="204" t="str">
        <f t="shared" si="505"/>
        <v>Organisation des jeux concours avec remise des prix aux villages sur la connaissance des notions basiques de la conservation et l'utilisation de l'eau propre dans les village.</v>
      </c>
      <c r="AG377" s="486"/>
      <c r="AH377" s="486"/>
      <c r="AI377" s="506">
        <f>I377+W377</f>
        <v>0</v>
      </c>
      <c r="AJ377" s="506">
        <f t="shared" si="491"/>
        <v>0</v>
      </c>
      <c r="AK377" s="487">
        <f>J377+X377</f>
        <v>0</v>
      </c>
      <c r="AL377" s="487">
        <f t="shared" si="560"/>
        <v>0</v>
      </c>
      <c r="AM377" s="316">
        <f t="shared" si="498"/>
        <v>0</v>
      </c>
      <c r="AN377" s="316">
        <f t="shared" si="499"/>
        <v>0</v>
      </c>
      <c r="AO377" s="316">
        <f t="shared" si="500"/>
        <v>0</v>
      </c>
      <c r="AP377" s="316">
        <f t="shared" si="501"/>
        <v>0</v>
      </c>
      <c r="AQ377" s="169" t="s">
        <v>806</v>
      </c>
    </row>
    <row r="378" spans="1:47" s="172" customFormat="1" ht="26" x14ac:dyDescent="0.3">
      <c r="A378" s="488"/>
      <c r="B378" s="489" t="s">
        <v>1401</v>
      </c>
      <c r="C378" s="489"/>
      <c r="D378" s="490"/>
      <c r="E378" s="491"/>
      <c r="F378" s="492"/>
      <c r="G378" s="493"/>
      <c r="H378" s="493"/>
      <c r="I378" s="494"/>
      <c r="J378" s="495"/>
      <c r="K378" s="495"/>
      <c r="L378" s="495"/>
      <c r="M378" s="495"/>
      <c r="N378" s="494"/>
      <c r="O378" s="496"/>
      <c r="P378" s="169"/>
      <c r="Q378" s="489"/>
      <c r="R378" s="490"/>
      <c r="S378" s="491"/>
      <c r="T378" s="492"/>
      <c r="U378" s="493"/>
      <c r="V378" s="493"/>
      <c r="W378" s="495"/>
      <c r="X378" s="495"/>
      <c r="Y378" s="495"/>
      <c r="Z378" s="495"/>
      <c r="AA378" s="495"/>
      <c r="AB378" s="494"/>
      <c r="AC378" s="498"/>
      <c r="AD378" s="182"/>
      <c r="AE378" s="204"/>
      <c r="AF378" s="204" t="str">
        <f t="shared" si="505"/>
        <v xml:space="preserve">Célébration de la Journée mondiale des toilettes: 19 nov 2022 et 19 nov 2023 dans la ZS Nyiragongo et Rwanguba/ Aire de sante </v>
      </c>
      <c r="AG378" s="493"/>
      <c r="AH378" s="493"/>
      <c r="AI378" s="495"/>
      <c r="AJ378" s="495">
        <f t="shared" si="491"/>
        <v>0</v>
      </c>
      <c r="AK378" s="495"/>
      <c r="AL378" s="495">
        <f t="shared" si="560"/>
        <v>0</v>
      </c>
      <c r="AM378" s="317">
        <f t="shared" si="498"/>
        <v>0</v>
      </c>
      <c r="AN378" s="317">
        <f t="shared" si="499"/>
        <v>0</v>
      </c>
      <c r="AO378" s="317">
        <f t="shared" si="500"/>
        <v>0</v>
      </c>
      <c r="AP378" s="317">
        <f t="shared" si="501"/>
        <v>0</v>
      </c>
      <c r="AQ378" s="168"/>
      <c r="AT378" s="169"/>
      <c r="AU378" s="169"/>
    </row>
    <row r="379" spans="1:47" s="169" customFormat="1" ht="26" x14ac:dyDescent="0.3">
      <c r="A379" s="509">
        <v>5</v>
      </c>
      <c r="B379" s="510" t="s">
        <v>1391</v>
      </c>
      <c r="C379" s="409" t="s">
        <v>1402</v>
      </c>
      <c r="D379" s="536">
        <v>50</v>
      </c>
      <c r="E379" s="411">
        <v>4</v>
      </c>
      <c r="F379" s="512">
        <v>1</v>
      </c>
      <c r="G379" s="486">
        <v>1</v>
      </c>
      <c r="H379" s="486">
        <v>0</v>
      </c>
      <c r="I379" s="416">
        <f t="shared" si="570"/>
        <v>200</v>
      </c>
      <c r="J379" s="487">
        <f>D379*E379*F379*H379</f>
        <v>0</v>
      </c>
      <c r="K379" s="513">
        <v>0</v>
      </c>
      <c r="L379" s="513"/>
      <c r="M379" s="513">
        <f>I379</f>
        <v>200</v>
      </c>
      <c r="N379" s="416">
        <v>0</v>
      </c>
      <c r="O379" s="507" t="s">
        <v>1403</v>
      </c>
      <c r="P379" s="171"/>
      <c r="Q379" s="409" t="s">
        <v>1402</v>
      </c>
      <c r="R379" s="516">
        <v>50</v>
      </c>
      <c r="S379" s="411">
        <v>4</v>
      </c>
      <c r="T379" s="514">
        <v>1</v>
      </c>
      <c r="U379" s="486">
        <v>1</v>
      </c>
      <c r="V379" s="486">
        <v>0</v>
      </c>
      <c r="W379" s="506">
        <f t="shared" si="571"/>
        <v>200</v>
      </c>
      <c r="X379" s="487">
        <f t="shared" si="569"/>
        <v>0</v>
      </c>
      <c r="Y379" s="487">
        <v>0</v>
      </c>
      <c r="Z379" s="487"/>
      <c r="AA379" s="487">
        <f>W379</f>
        <v>200</v>
      </c>
      <c r="AB379" s="416">
        <v>0</v>
      </c>
      <c r="AC379" s="417" t="s">
        <v>1404</v>
      </c>
      <c r="AD379" s="227"/>
      <c r="AE379" s="241">
        <v>5</v>
      </c>
      <c r="AF379" s="204" t="str">
        <f t="shared" si="505"/>
        <v>Reproduction des banderolles VA/CSA</v>
      </c>
      <c r="AG379" s="486">
        <f>AI379/($AI379+$AK379)</f>
        <v>1</v>
      </c>
      <c r="AH379" s="486">
        <f>AK379/($AI379+$AK379)</f>
        <v>0</v>
      </c>
      <c r="AI379" s="506">
        <f t="shared" ref="AI379:AI423" si="573">I379+W379</f>
        <v>400</v>
      </c>
      <c r="AJ379" s="506">
        <f t="shared" si="491"/>
        <v>0</v>
      </c>
      <c r="AK379" s="487">
        <f t="shared" ref="AK379:AK410" si="574">J379+X379</f>
        <v>0</v>
      </c>
      <c r="AL379" s="487">
        <f t="shared" si="560"/>
        <v>400</v>
      </c>
      <c r="AM379" s="316">
        <f t="shared" si="498"/>
        <v>200</v>
      </c>
      <c r="AN379" s="316">
        <f t="shared" si="499"/>
        <v>0</v>
      </c>
      <c r="AO379" s="316">
        <f t="shared" si="500"/>
        <v>200</v>
      </c>
      <c r="AP379" s="316">
        <f t="shared" si="501"/>
        <v>0</v>
      </c>
      <c r="AQ379" s="169" t="s">
        <v>806</v>
      </c>
    </row>
    <row r="380" spans="1:47" s="169" customFormat="1" x14ac:dyDescent="0.3">
      <c r="A380" s="509">
        <v>6</v>
      </c>
      <c r="B380" s="510" t="s">
        <v>1394</v>
      </c>
      <c r="C380" s="409" t="s">
        <v>1395</v>
      </c>
      <c r="D380" s="536">
        <v>150</v>
      </c>
      <c r="E380" s="411">
        <v>1</v>
      </c>
      <c r="F380" s="512">
        <v>1</v>
      </c>
      <c r="G380" s="486">
        <v>1</v>
      </c>
      <c r="H380" s="486">
        <v>0</v>
      </c>
      <c r="I380" s="416">
        <f t="shared" si="570"/>
        <v>150</v>
      </c>
      <c r="J380" s="487">
        <f>D380*E380*F380*H380</f>
        <v>0</v>
      </c>
      <c r="K380" s="513">
        <v>0</v>
      </c>
      <c r="L380" s="513"/>
      <c r="M380" s="513">
        <f>I380</f>
        <v>150</v>
      </c>
      <c r="N380" s="416">
        <v>0</v>
      </c>
      <c r="O380" s="507" t="s">
        <v>1405</v>
      </c>
      <c r="P380" s="171"/>
      <c r="Q380" s="409" t="s">
        <v>1395</v>
      </c>
      <c r="R380" s="516">
        <v>150</v>
      </c>
      <c r="S380" s="411">
        <v>1</v>
      </c>
      <c r="T380" s="514">
        <v>1</v>
      </c>
      <c r="U380" s="486">
        <v>1</v>
      </c>
      <c r="V380" s="486">
        <v>0</v>
      </c>
      <c r="W380" s="506">
        <f t="shared" si="571"/>
        <v>150</v>
      </c>
      <c r="X380" s="487">
        <f t="shared" si="569"/>
        <v>0</v>
      </c>
      <c r="Y380" s="487">
        <v>0</v>
      </c>
      <c r="Z380" s="487"/>
      <c r="AA380" s="487">
        <f t="shared" ref="AA380:AA383" si="575">W380</f>
        <v>150</v>
      </c>
      <c r="AB380" s="416">
        <v>0</v>
      </c>
      <c r="AC380" s="417" t="s">
        <v>1405</v>
      </c>
      <c r="AD380" s="227"/>
      <c r="AE380" s="241">
        <v>6</v>
      </c>
      <c r="AF380" s="204" t="str">
        <f t="shared" si="505"/>
        <v>Location équipement de sonorisation</v>
      </c>
      <c r="AG380" s="486">
        <f>AI380/($AI380+$AK380)</f>
        <v>1</v>
      </c>
      <c r="AH380" s="486">
        <f>AK380/($AI380+$AK380)</f>
        <v>0</v>
      </c>
      <c r="AI380" s="506">
        <f t="shared" si="573"/>
        <v>300</v>
      </c>
      <c r="AJ380" s="506">
        <f t="shared" si="491"/>
        <v>0</v>
      </c>
      <c r="AK380" s="487">
        <f t="shared" si="574"/>
        <v>0</v>
      </c>
      <c r="AL380" s="487">
        <f t="shared" si="560"/>
        <v>300</v>
      </c>
      <c r="AM380" s="316">
        <f t="shared" si="498"/>
        <v>150</v>
      </c>
      <c r="AN380" s="316">
        <f t="shared" si="499"/>
        <v>0</v>
      </c>
      <c r="AO380" s="316">
        <f t="shared" si="500"/>
        <v>150</v>
      </c>
      <c r="AP380" s="316">
        <f t="shared" si="501"/>
        <v>0</v>
      </c>
      <c r="AQ380" s="169" t="s">
        <v>806</v>
      </c>
    </row>
    <row r="381" spans="1:47" s="169" customFormat="1" ht="26" x14ac:dyDescent="0.3">
      <c r="A381" s="509">
        <v>7</v>
      </c>
      <c r="B381" s="521" t="s">
        <v>1397</v>
      </c>
      <c r="C381" s="409" t="s">
        <v>974</v>
      </c>
      <c r="D381" s="536">
        <v>650</v>
      </c>
      <c r="E381" s="411">
        <v>1</v>
      </c>
      <c r="F381" s="512">
        <v>1</v>
      </c>
      <c r="G381" s="486">
        <v>1</v>
      </c>
      <c r="H381" s="486">
        <v>0</v>
      </c>
      <c r="I381" s="416">
        <f t="shared" si="570"/>
        <v>650</v>
      </c>
      <c r="J381" s="487">
        <f>D381*E381*F381*H381</f>
        <v>0</v>
      </c>
      <c r="K381" s="513">
        <v>0</v>
      </c>
      <c r="L381" s="513"/>
      <c r="M381" s="513">
        <f>I381</f>
        <v>650</v>
      </c>
      <c r="N381" s="416">
        <v>0</v>
      </c>
      <c r="O381" s="507" t="s">
        <v>1399</v>
      </c>
      <c r="P381" s="171"/>
      <c r="Q381" s="409" t="s">
        <v>974</v>
      </c>
      <c r="R381" s="516">
        <v>650</v>
      </c>
      <c r="S381" s="411">
        <v>1</v>
      </c>
      <c r="T381" s="514">
        <v>1</v>
      </c>
      <c r="U381" s="486">
        <v>1</v>
      </c>
      <c r="V381" s="486">
        <v>0</v>
      </c>
      <c r="W381" s="506">
        <f t="shared" si="571"/>
        <v>650</v>
      </c>
      <c r="X381" s="487">
        <f t="shared" si="569"/>
        <v>0</v>
      </c>
      <c r="Y381" s="487">
        <v>0</v>
      </c>
      <c r="Z381" s="487"/>
      <c r="AA381" s="487">
        <f t="shared" si="575"/>
        <v>650</v>
      </c>
      <c r="AB381" s="416">
        <v>0</v>
      </c>
      <c r="AC381" s="417" t="s">
        <v>1399</v>
      </c>
      <c r="AD381" s="227"/>
      <c r="AE381" s="241">
        <v>7</v>
      </c>
      <c r="AF381" s="204" t="str">
        <f t="shared" si="505"/>
        <v>Organisation des jeux concours avec remise des prix aux CS sur la connaissance des notions basiques de la PCI par les prestataires des soins.</v>
      </c>
      <c r="AG381" s="486">
        <f>AI381/($AI381+$AK381)</f>
        <v>1</v>
      </c>
      <c r="AH381" s="486">
        <f>AK381/($AI381+$AK381)</f>
        <v>0</v>
      </c>
      <c r="AI381" s="506">
        <f t="shared" si="573"/>
        <v>1300</v>
      </c>
      <c r="AJ381" s="506">
        <f t="shared" si="491"/>
        <v>0</v>
      </c>
      <c r="AK381" s="487">
        <f t="shared" si="574"/>
        <v>0</v>
      </c>
      <c r="AL381" s="487">
        <f t="shared" si="560"/>
        <v>1300</v>
      </c>
      <c r="AM381" s="316">
        <f t="shared" si="498"/>
        <v>650</v>
      </c>
      <c r="AN381" s="316">
        <f t="shared" si="499"/>
        <v>0</v>
      </c>
      <c r="AO381" s="316">
        <f t="shared" si="500"/>
        <v>650</v>
      </c>
      <c r="AP381" s="316">
        <f t="shared" si="501"/>
        <v>0</v>
      </c>
      <c r="AQ381" s="169" t="s">
        <v>806</v>
      </c>
    </row>
    <row r="382" spans="1:47" s="172" customFormat="1" ht="15.5" x14ac:dyDescent="0.3">
      <c r="A382" s="509">
        <v>8</v>
      </c>
      <c r="B382" s="510" t="s">
        <v>1394</v>
      </c>
      <c r="C382" s="409" t="s">
        <v>1395</v>
      </c>
      <c r="D382" s="536">
        <v>0</v>
      </c>
      <c r="E382" s="560">
        <v>0</v>
      </c>
      <c r="F382" s="512">
        <v>0</v>
      </c>
      <c r="G382" s="413">
        <v>1</v>
      </c>
      <c r="H382" s="413">
        <v>0</v>
      </c>
      <c r="I382" s="414">
        <f t="shared" si="570"/>
        <v>0</v>
      </c>
      <c r="J382" s="415">
        <f>D382*E382*F382*H382</f>
        <v>0</v>
      </c>
      <c r="K382" s="415">
        <f>I382</f>
        <v>0</v>
      </c>
      <c r="L382" s="415"/>
      <c r="M382" s="415">
        <f>I382</f>
        <v>0</v>
      </c>
      <c r="N382" s="416">
        <v>0</v>
      </c>
      <c r="O382" s="507"/>
      <c r="P382" s="175"/>
      <c r="Q382" s="409"/>
      <c r="R382" s="516"/>
      <c r="S382" s="411"/>
      <c r="T382" s="514"/>
      <c r="U382" s="413">
        <v>1</v>
      </c>
      <c r="V382" s="413">
        <v>0</v>
      </c>
      <c r="W382" s="419">
        <f t="shared" si="571"/>
        <v>0</v>
      </c>
      <c r="X382" s="415">
        <f t="shared" si="569"/>
        <v>0</v>
      </c>
      <c r="Y382" s="415">
        <v>0</v>
      </c>
      <c r="Z382" s="415"/>
      <c r="AA382" s="415">
        <f t="shared" si="575"/>
        <v>0</v>
      </c>
      <c r="AB382" s="416">
        <v>0</v>
      </c>
      <c r="AC382" s="417"/>
      <c r="AD382" s="227"/>
      <c r="AE382" s="241">
        <v>8</v>
      </c>
      <c r="AF382" s="204" t="str">
        <f t="shared" si="505"/>
        <v>Location équipement de sonorisation</v>
      </c>
      <c r="AG382" s="413"/>
      <c r="AH382" s="413"/>
      <c r="AI382" s="419">
        <f t="shared" si="573"/>
        <v>0</v>
      </c>
      <c r="AJ382" s="419">
        <f t="shared" si="491"/>
        <v>0</v>
      </c>
      <c r="AK382" s="415">
        <f t="shared" si="574"/>
        <v>0</v>
      </c>
      <c r="AL382" s="415">
        <f t="shared" si="560"/>
        <v>0</v>
      </c>
      <c r="AM382" s="323">
        <f t="shared" si="498"/>
        <v>0</v>
      </c>
      <c r="AN382" s="323">
        <f t="shared" si="499"/>
        <v>0</v>
      </c>
      <c r="AO382" s="323">
        <f t="shared" si="500"/>
        <v>0</v>
      </c>
      <c r="AP382" s="323">
        <f t="shared" si="501"/>
        <v>0</v>
      </c>
      <c r="AQ382" s="168" t="s">
        <v>806</v>
      </c>
      <c r="AT382" s="169"/>
      <c r="AU382" s="169"/>
    </row>
    <row r="383" spans="1:47" s="172" customFormat="1" ht="26" x14ac:dyDescent="0.3">
      <c r="A383" s="509">
        <v>9</v>
      </c>
      <c r="B383" s="510" t="s">
        <v>1406</v>
      </c>
      <c r="C383" s="409" t="s">
        <v>1303</v>
      </c>
      <c r="D383" s="536">
        <v>0</v>
      </c>
      <c r="E383" s="560">
        <v>0</v>
      </c>
      <c r="F383" s="512">
        <v>0</v>
      </c>
      <c r="G383" s="413">
        <v>1</v>
      </c>
      <c r="H383" s="413">
        <v>0</v>
      </c>
      <c r="I383" s="414">
        <f>D383*E383*F383*G383</f>
        <v>0</v>
      </c>
      <c r="J383" s="415">
        <f>D383*E383*F383*H383</f>
        <v>0</v>
      </c>
      <c r="K383" s="415">
        <f>I383</f>
        <v>0</v>
      </c>
      <c r="L383" s="415"/>
      <c r="M383" s="415">
        <f>I383</f>
        <v>0</v>
      </c>
      <c r="N383" s="416">
        <v>0</v>
      </c>
      <c r="O383" s="507"/>
      <c r="P383" s="175"/>
      <c r="Q383" s="409" t="s">
        <v>1303</v>
      </c>
      <c r="R383" s="516"/>
      <c r="S383" s="411"/>
      <c r="T383" s="514"/>
      <c r="U383" s="413">
        <v>1</v>
      </c>
      <c r="V383" s="413">
        <v>0</v>
      </c>
      <c r="W383" s="419">
        <f>R383*S383*T383*U383</f>
        <v>0</v>
      </c>
      <c r="X383" s="415">
        <f t="shared" si="569"/>
        <v>0</v>
      </c>
      <c r="Y383" s="415">
        <v>0</v>
      </c>
      <c r="Z383" s="415"/>
      <c r="AA383" s="415">
        <f t="shared" si="575"/>
        <v>0</v>
      </c>
      <c r="AB383" s="416">
        <v>0</v>
      </c>
      <c r="AC383" s="417"/>
      <c r="AD383" s="227"/>
      <c r="AE383" s="241">
        <v>9</v>
      </c>
      <c r="AF383" s="204" t="str">
        <f t="shared" si="505"/>
        <v>Organisation des jeux concours avec remise des prix aux villages sur la connaissance des notions basiques critiques de lavage des mains dans les villages.</v>
      </c>
      <c r="AG383" s="413"/>
      <c r="AH383" s="413"/>
      <c r="AI383" s="419">
        <f t="shared" si="573"/>
        <v>0</v>
      </c>
      <c r="AJ383" s="419">
        <f t="shared" si="491"/>
        <v>0</v>
      </c>
      <c r="AK383" s="415">
        <f t="shared" si="574"/>
        <v>0</v>
      </c>
      <c r="AL383" s="415">
        <f t="shared" si="560"/>
        <v>0</v>
      </c>
      <c r="AM383" s="323">
        <f t="shared" si="498"/>
        <v>0</v>
      </c>
      <c r="AN383" s="323">
        <f t="shared" si="499"/>
        <v>0</v>
      </c>
      <c r="AO383" s="323">
        <f t="shared" si="500"/>
        <v>0</v>
      </c>
      <c r="AP383" s="323">
        <f t="shared" si="501"/>
        <v>0</v>
      </c>
      <c r="AQ383" s="168" t="s">
        <v>806</v>
      </c>
      <c r="AT383" s="169"/>
      <c r="AU383" s="169"/>
    </row>
    <row r="384" spans="1:47" s="173" customFormat="1" ht="27" customHeight="1" x14ac:dyDescent="0.3">
      <c r="A384" s="480" t="s">
        <v>285</v>
      </c>
      <c r="B384" s="861" t="s">
        <v>1407</v>
      </c>
      <c r="C384" s="862"/>
      <c r="D384" s="862"/>
      <c r="E384" s="862"/>
      <c r="F384" s="862"/>
      <c r="G384" s="862"/>
      <c r="H384" s="863"/>
      <c r="I384" s="481">
        <f>SUM(I385:I391)</f>
        <v>53264</v>
      </c>
      <c r="J384" s="482">
        <f>SUM(J385:J391)</f>
        <v>0</v>
      </c>
      <c r="K384" s="482">
        <f>SUM(K385:K391)</f>
        <v>53264</v>
      </c>
      <c r="L384" s="482"/>
      <c r="M384" s="482"/>
      <c r="N384" s="481">
        <f>SUM(N385:N391)</f>
        <v>0</v>
      </c>
      <c r="O384" s="508"/>
      <c r="P384" s="168"/>
      <c r="Q384" s="538"/>
      <c r="R384" s="539"/>
      <c r="S384" s="538"/>
      <c r="T384" s="539"/>
      <c r="U384" s="539"/>
      <c r="V384" s="484"/>
      <c r="W384" s="482">
        <f>SUM(W385:W391)</f>
        <v>53264</v>
      </c>
      <c r="X384" s="482">
        <f>SUM(X385:X391)</f>
        <v>0</v>
      </c>
      <c r="Y384" s="482">
        <f>SUM(Y385:Y391)</f>
        <v>53264</v>
      </c>
      <c r="Z384" s="482">
        <f t="shared" ref="Z384:AA384" si="576">SUM(Z385:Z391)</f>
        <v>0</v>
      </c>
      <c r="AA384" s="482">
        <f t="shared" si="576"/>
        <v>0</v>
      </c>
      <c r="AB384" s="481">
        <f>SUM(AB385:AB391)</f>
        <v>0</v>
      </c>
      <c r="AC384" s="508"/>
      <c r="AD384" s="234"/>
      <c r="AE384" s="247" t="s">
        <v>285</v>
      </c>
      <c r="AF384" s="204" t="str">
        <f t="shared" si="505"/>
        <v>Enrichir les plans d'actions communautaires des CAC dans les villages ciblés par WASH avec les membres des comités d'eau et organiser les activités de sensibilisation de masse et inter personnelle sur les voies de transmission des maladies diarrhéiques et les moyens de prévention (sensibilisation de masse et inter personnelle)</v>
      </c>
      <c r="AG384" s="485">
        <f t="shared" ref="AG384:AG404" si="577">AI384/($AI384+$AK384)</f>
        <v>1</v>
      </c>
      <c r="AH384" s="485">
        <f t="shared" ref="AH384:AH404" si="578">AK384/($AI384+$AK384)</f>
        <v>0</v>
      </c>
      <c r="AI384" s="482">
        <f t="shared" si="573"/>
        <v>106528</v>
      </c>
      <c r="AJ384" s="482">
        <f t="shared" si="491"/>
        <v>0</v>
      </c>
      <c r="AK384" s="482">
        <f t="shared" si="574"/>
        <v>0</v>
      </c>
      <c r="AL384" s="482">
        <f t="shared" ref="AL384:AL404" si="579">AI384+AJ384+AK384</f>
        <v>106528</v>
      </c>
      <c r="AM384" s="314">
        <f t="shared" si="498"/>
        <v>53264</v>
      </c>
      <c r="AN384" s="314">
        <f t="shared" si="499"/>
        <v>0</v>
      </c>
      <c r="AO384" s="314">
        <f t="shared" si="500"/>
        <v>53264</v>
      </c>
      <c r="AP384" s="314">
        <f t="shared" si="501"/>
        <v>0</v>
      </c>
      <c r="AT384" s="168"/>
      <c r="AU384" s="168"/>
    </row>
    <row r="385" spans="1:47" s="169" customFormat="1" ht="26" x14ac:dyDescent="0.3">
      <c r="A385" s="509">
        <v>1</v>
      </c>
      <c r="B385" s="510" t="s">
        <v>1408</v>
      </c>
      <c r="C385" s="409" t="s">
        <v>438</v>
      </c>
      <c r="D385" s="536">
        <v>2.5</v>
      </c>
      <c r="E385" s="411">
        <v>240</v>
      </c>
      <c r="F385" s="512">
        <v>2</v>
      </c>
      <c r="G385" s="486">
        <v>1</v>
      </c>
      <c r="H385" s="486">
        <v>0</v>
      </c>
      <c r="I385" s="416">
        <f t="shared" ref="I385:I391" si="580">D385*E385*F385*G385</f>
        <v>1200</v>
      </c>
      <c r="J385" s="487">
        <f t="shared" ref="J385:J391" si="581">D385*E385*F385*H385</f>
        <v>0</v>
      </c>
      <c r="K385" s="513">
        <f t="shared" ref="K385:K391" si="582">I385</f>
        <v>1200</v>
      </c>
      <c r="L385" s="513"/>
      <c r="M385" s="513"/>
      <c r="N385" s="416">
        <v>0</v>
      </c>
      <c r="O385" s="507" t="s">
        <v>1409</v>
      </c>
      <c r="P385" s="171"/>
      <c r="Q385" s="409" t="s">
        <v>438</v>
      </c>
      <c r="R385" s="516">
        <v>2.5</v>
      </c>
      <c r="S385" s="411">
        <v>240</v>
      </c>
      <c r="T385" s="514">
        <v>2</v>
      </c>
      <c r="U385" s="486">
        <v>1</v>
      </c>
      <c r="V385" s="486">
        <v>0</v>
      </c>
      <c r="W385" s="506">
        <f t="shared" ref="W385:W391" si="583">R385*S385*T385*U385</f>
        <v>1200</v>
      </c>
      <c r="X385" s="487">
        <f t="shared" ref="X385:X391" si="584">R385*S385*T385*V385</f>
        <v>0</v>
      </c>
      <c r="Y385" s="487">
        <f t="shared" ref="Y385:Y391" si="585">W385</f>
        <v>1200</v>
      </c>
      <c r="Z385" s="487"/>
      <c r="AA385" s="487"/>
      <c r="AB385" s="416">
        <v>0</v>
      </c>
      <c r="AC385" s="417" t="s">
        <v>1410</v>
      </c>
      <c r="AD385" s="227"/>
      <c r="AE385" s="241">
        <v>1</v>
      </c>
      <c r="AF385" s="204" t="str">
        <f t="shared" si="505"/>
        <v>Fourniture de  formation lors de l'enrichissement des activités de communication des PAC des CAC des villages ciblées par WASH</v>
      </c>
      <c r="AG385" s="486">
        <f t="shared" si="577"/>
        <v>1</v>
      </c>
      <c r="AH385" s="486">
        <f t="shared" si="578"/>
        <v>0</v>
      </c>
      <c r="AI385" s="506">
        <f t="shared" si="573"/>
        <v>2400</v>
      </c>
      <c r="AJ385" s="506">
        <f t="shared" si="491"/>
        <v>0</v>
      </c>
      <c r="AK385" s="487">
        <f t="shared" si="574"/>
        <v>0</v>
      </c>
      <c r="AL385" s="487">
        <f t="shared" si="579"/>
        <v>2400</v>
      </c>
      <c r="AM385" s="316">
        <f t="shared" si="498"/>
        <v>1200</v>
      </c>
      <c r="AN385" s="316">
        <f t="shared" si="499"/>
        <v>0</v>
      </c>
      <c r="AO385" s="316">
        <f t="shared" si="500"/>
        <v>1200</v>
      </c>
      <c r="AP385" s="316">
        <f t="shared" si="501"/>
        <v>0</v>
      </c>
      <c r="AQ385" s="169" t="s">
        <v>1153</v>
      </c>
      <c r="AR385" s="169" t="s">
        <v>1411</v>
      </c>
    </row>
    <row r="386" spans="1:47" s="169" customFormat="1" ht="26" x14ac:dyDescent="0.3">
      <c r="A386" s="509">
        <v>2</v>
      </c>
      <c r="B386" s="510" t="s">
        <v>1412</v>
      </c>
      <c r="C386" s="409" t="s">
        <v>1413</v>
      </c>
      <c r="D386" s="536">
        <v>7</v>
      </c>
      <c r="E386" s="411">
        <v>246</v>
      </c>
      <c r="F386" s="512">
        <v>2</v>
      </c>
      <c r="G386" s="486">
        <v>1</v>
      </c>
      <c r="H386" s="486">
        <v>0</v>
      </c>
      <c r="I386" s="416">
        <f t="shared" si="580"/>
        <v>3444</v>
      </c>
      <c r="J386" s="487">
        <f t="shared" si="581"/>
        <v>0</v>
      </c>
      <c r="K386" s="513">
        <f t="shared" si="582"/>
        <v>3444</v>
      </c>
      <c r="L386" s="513"/>
      <c r="M386" s="513"/>
      <c r="N386" s="416">
        <v>0</v>
      </c>
      <c r="O386" s="507" t="s">
        <v>1414</v>
      </c>
      <c r="P386" s="171"/>
      <c r="Q386" s="409" t="s">
        <v>1413</v>
      </c>
      <c r="R386" s="516">
        <v>7</v>
      </c>
      <c r="S386" s="411">
        <v>246</v>
      </c>
      <c r="T386" s="514">
        <v>2</v>
      </c>
      <c r="U386" s="486">
        <v>1</v>
      </c>
      <c r="V386" s="486">
        <v>0</v>
      </c>
      <c r="W386" s="506">
        <f t="shared" si="583"/>
        <v>3444</v>
      </c>
      <c r="X386" s="487">
        <f t="shared" si="584"/>
        <v>0</v>
      </c>
      <c r="Y386" s="487">
        <f t="shared" si="585"/>
        <v>3444</v>
      </c>
      <c r="Z386" s="487"/>
      <c r="AA386" s="487"/>
      <c r="AB386" s="416">
        <v>0</v>
      </c>
      <c r="AC386" s="417" t="s">
        <v>1414</v>
      </c>
      <c r="AD386" s="227"/>
      <c r="AE386" s="241">
        <v>2</v>
      </c>
      <c r="AF386" s="204" t="str">
        <f t="shared" si="505"/>
        <v>Resstauration+pause café lors de l'enrichisement des activités de communication des PAC des CAC des villages ciblées par WASH</v>
      </c>
      <c r="AG386" s="486">
        <f t="shared" si="577"/>
        <v>1</v>
      </c>
      <c r="AH386" s="486">
        <f t="shared" si="578"/>
        <v>0</v>
      </c>
      <c r="AI386" s="506">
        <f t="shared" si="573"/>
        <v>6888</v>
      </c>
      <c r="AJ386" s="506">
        <f t="shared" si="491"/>
        <v>0</v>
      </c>
      <c r="AK386" s="487">
        <f t="shared" si="574"/>
        <v>0</v>
      </c>
      <c r="AL386" s="487">
        <f t="shared" si="579"/>
        <v>6888</v>
      </c>
      <c r="AM386" s="316">
        <f t="shared" si="498"/>
        <v>3444</v>
      </c>
      <c r="AN386" s="316">
        <f t="shared" si="499"/>
        <v>0</v>
      </c>
      <c r="AO386" s="316">
        <f t="shared" si="500"/>
        <v>3444</v>
      </c>
      <c r="AP386" s="316">
        <f t="shared" si="501"/>
        <v>0</v>
      </c>
      <c r="AQ386" s="169" t="s">
        <v>1153</v>
      </c>
      <c r="AR386" s="169" t="s">
        <v>1411</v>
      </c>
    </row>
    <row r="387" spans="1:47" s="169" customFormat="1" ht="28.5" customHeight="1" x14ac:dyDescent="0.3">
      <c r="A387" s="509">
        <v>3</v>
      </c>
      <c r="B387" s="510" t="s">
        <v>1415</v>
      </c>
      <c r="C387" s="409" t="s">
        <v>422</v>
      </c>
      <c r="D387" s="536">
        <v>50</v>
      </c>
      <c r="E387" s="411">
        <v>12</v>
      </c>
      <c r="F387" s="512">
        <v>2</v>
      </c>
      <c r="G387" s="486">
        <v>1</v>
      </c>
      <c r="H387" s="486">
        <v>0</v>
      </c>
      <c r="I387" s="416">
        <f t="shared" si="580"/>
        <v>1200</v>
      </c>
      <c r="J387" s="487">
        <f t="shared" si="581"/>
        <v>0</v>
      </c>
      <c r="K387" s="513">
        <f t="shared" si="582"/>
        <v>1200</v>
      </c>
      <c r="L387" s="513"/>
      <c r="M387" s="513"/>
      <c r="N387" s="416">
        <v>0</v>
      </c>
      <c r="O387" s="507" t="s">
        <v>1416</v>
      </c>
      <c r="P387" s="171"/>
      <c r="Q387" s="409" t="s">
        <v>422</v>
      </c>
      <c r="R387" s="516">
        <v>50</v>
      </c>
      <c r="S387" s="411">
        <v>12</v>
      </c>
      <c r="T387" s="514">
        <v>2</v>
      </c>
      <c r="U387" s="486">
        <v>1</v>
      </c>
      <c r="V387" s="486">
        <v>0</v>
      </c>
      <c r="W387" s="506">
        <f t="shared" si="583"/>
        <v>1200</v>
      </c>
      <c r="X387" s="487">
        <f t="shared" si="584"/>
        <v>0</v>
      </c>
      <c r="Y387" s="487">
        <f t="shared" si="585"/>
        <v>1200</v>
      </c>
      <c r="Z387" s="487"/>
      <c r="AA387" s="487"/>
      <c r="AB387" s="416">
        <v>0</v>
      </c>
      <c r="AC387" s="417" t="s">
        <v>1416</v>
      </c>
      <c r="AD387" s="227"/>
      <c r="AE387" s="241">
        <v>3</v>
      </c>
      <c r="AF387" s="204" t="str">
        <f t="shared" si="505"/>
        <v>Location salle lors de l'enrichisement des activités de communication des PAC des CAC des villages ciblées par WASH</v>
      </c>
      <c r="AG387" s="486">
        <f t="shared" si="577"/>
        <v>1</v>
      </c>
      <c r="AH387" s="486">
        <f t="shared" si="578"/>
        <v>0</v>
      </c>
      <c r="AI387" s="506">
        <f t="shared" si="573"/>
        <v>2400</v>
      </c>
      <c r="AJ387" s="506">
        <f t="shared" ref="AJ387:AJ450" si="586">N387+AB387</f>
        <v>0</v>
      </c>
      <c r="AK387" s="487">
        <f t="shared" si="574"/>
        <v>0</v>
      </c>
      <c r="AL387" s="487">
        <f t="shared" si="579"/>
        <v>2400</v>
      </c>
      <c r="AM387" s="316">
        <f t="shared" si="498"/>
        <v>1200</v>
      </c>
      <c r="AN387" s="316">
        <f t="shared" si="499"/>
        <v>0</v>
      </c>
      <c r="AO387" s="316">
        <f t="shared" si="500"/>
        <v>1200</v>
      </c>
      <c r="AP387" s="316">
        <f t="shared" si="501"/>
        <v>0</v>
      </c>
      <c r="AQ387" s="169" t="s">
        <v>1153</v>
      </c>
      <c r="AR387" s="169" t="s">
        <v>1411</v>
      </c>
    </row>
    <row r="388" spans="1:47" s="169" customFormat="1" ht="26" x14ac:dyDescent="0.3">
      <c r="A388" s="509">
        <v>4</v>
      </c>
      <c r="B388" s="510" t="s">
        <v>1417</v>
      </c>
      <c r="C388" s="409" t="s">
        <v>1418</v>
      </c>
      <c r="D388" s="536">
        <v>5</v>
      </c>
      <c r="E388" s="411">
        <v>242</v>
      </c>
      <c r="F388" s="512">
        <v>2</v>
      </c>
      <c r="G388" s="486">
        <v>1</v>
      </c>
      <c r="H388" s="486">
        <v>0</v>
      </c>
      <c r="I388" s="416">
        <f t="shared" si="580"/>
        <v>2420</v>
      </c>
      <c r="J388" s="487">
        <f t="shared" si="581"/>
        <v>0</v>
      </c>
      <c r="K388" s="513">
        <f t="shared" si="582"/>
        <v>2420</v>
      </c>
      <c r="L388" s="513"/>
      <c r="M388" s="513"/>
      <c r="N388" s="416">
        <v>0</v>
      </c>
      <c r="O388" s="507" t="s">
        <v>1419</v>
      </c>
      <c r="P388" s="171"/>
      <c r="Q388" s="409" t="s">
        <v>1418</v>
      </c>
      <c r="R388" s="516">
        <v>5</v>
      </c>
      <c r="S388" s="411">
        <v>242</v>
      </c>
      <c r="T388" s="514">
        <v>2</v>
      </c>
      <c r="U388" s="486">
        <v>1</v>
      </c>
      <c r="V388" s="486">
        <v>0</v>
      </c>
      <c r="W388" s="506">
        <f t="shared" si="583"/>
        <v>2420</v>
      </c>
      <c r="X388" s="487">
        <f t="shared" si="584"/>
        <v>0</v>
      </c>
      <c r="Y388" s="487">
        <f t="shared" si="585"/>
        <v>2420</v>
      </c>
      <c r="Z388" s="487"/>
      <c r="AA388" s="487"/>
      <c r="AB388" s="416">
        <v>0</v>
      </c>
      <c r="AC388" s="417" t="s">
        <v>1419</v>
      </c>
      <c r="AD388" s="227"/>
      <c r="AE388" s="241">
        <v>4</v>
      </c>
      <c r="AF388" s="204" t="str">
        <f t="shared" si="505"/>
        <v>Transport des participants lors de l'enrichisement des activités de communication des PAC des CAC des villages ciblées par WASH</v>
      </c>
      <c r="AG388" s="486">
        <f t="shared" si="577"/>
        <v>1</v>
      </c>
      <c r="AH388" s="486">
        <f t="shared" si="578"/>
        <v>0</v>
      </c>
      <c r="AI388" s="506">
        <f t="shared" si="573"/>
        <v>4840</v>
      </c>
      <c r="AJ388" s="506">
        <f t="shared" si="586"/>
        <v>0</v>
      </c>
      <c r="AK388" s="487">
        <f t="shared" si="574"/>
        <v>0</v>
      </c>
      <c r="AL388" s="487">
        <f t="shared" si="579"/>
        <v>4840</v>
      </c>
      <c r="AM388" s="316">
        <f t="shared" si="498"/>
        <v>2420</v>
      </c>
      <c r="AN388" s="316">
        <f t="shared" si="499"/>
        <v>0</v>
      </c>
      <c r="AO388" s="316">
        <f t="shared" si="500"/>
        <v>2420</v>
      </c>
      <c r="AP388" s="316">
        <f t="shared" si="501"/>
        <v>0</v>
      </c>
      <c r="AQ388" s="169" t="s">
        <v>1153</v>
      </c>
      <c r="AR388" s="169" t="s">
        <v>1411</v>
      </c>
    </row>
    <row r="389" spans="1:47" s="169" customFormat="1" ht="26" x14ac:dyDescent="0.3">
      <c r="A389" s="509">
        <v>5</v>
      </c>
      <c r="B389" s="510" t="s">
        <v>1368</v>
      </c>
      <c r="C389" s="409" t="s">
        <v>103</v>
      </c>
      <c r="D389" s="536">
        <v>250</v>
      </c>
      <c r="E389" s="411">
        <v>30</v>
      </c>
      <c r="F389" s="512">
        <v>2</v>
      </c>
      <c r="G389" s="486">
        <v>1</v>
      </c>
      <c r="H389" s="486">
        <v>0</v>
      </c>
      <c r="I389" s="416">
        <f t="shared" si="580"/>
        <v>15000</v>
      </c>
      <c r="J389" s="487">
        <f t="shared" si="581"/>
        <v>0</v>
      </c>
      <c r="K389" s="513">
        <f t="shared" si="582"/>
        <v>15000</v>
      </c>
      <c r="L389" s="513"/>
      <c r="M389" s="513"/>
      <c r="N389" s="416">
        <v>0</v>
      </c>
      <c r="O389" s="507" t="s">
        <v>1420</v>
      </c>
      <c r="P389" s="171"/>
      <c r="Q389" s="409" t="s">
        <v>103</v>
      </c>
      <c r="R389" s="516">
        <v>250</v>
      </c>
      <c r="S389" s="411">
        <v>30</v>
      </c>
      <c r="T389" s="514">
        <v>2</v>
      </c>
      <c r="U389" s="486">
        <v>1</v>
      </c>
      <c r="V389" s="486">
        <v>0</v>
      </c>
      <c r="W389" s="506">
        <f t="shared" si="583"/>
        <v>15000</v>
      </c>
      <c r="X389" s="487">
        <f t="shared" si="584"/>
        <v>0</v>
      </c>
      <c r="Y389" s="487">
        <f t="shared" si="585"/>
        <v>15000</v>
      </c>
      <c r="Z389" s="487"/>
      <c r="AA389" s="487"/>
      <c r="AB389" s="416">
        <v>0</v>
      </c>
      <c r="AC389" s="417" t="s">
        <v>1421</v>
      </c>
      <c r="AD389" s="227"/>
      <c r="AE389" s="241">
        <v>5</v>
      </c>
      <c r="AF389" s="204" t="str">
        <f t="shared" si="505"/>
        <v>Banderole avec message clé sur l'EHA et COVID 19</v>
      </c>
      <c r="AG389" s="486">
        <f t="shared" si="577"/>
        <v>1</v>
      </c>
      <c r="AH389" s="486">
        <f t="shared" si="578"/>
        <v>0</v>
      </c>
      <c r="AI389" s="506">
        <f t="shared" si="573"/>
        <v>30000</v>
      </c>
      <c r="AJ389" s="506">
        <f t="shared" si="586"/>
        <v>0</v>
      </c>
      <c r="AK389" s="487">
        <f t="shared" si="574"/>
        <v>0</v>
      </c>
      <c r="AL389" s="487">
        <f t="shared" si="579"/>
        <v>30000</v>
      </c>
      <c r="AM389" s="316">
        <f t="shared" si="498"/>
        <v>15000</v>
      </c>
      <c r="AN389" s="316">
        <f t="shared" si="499"/>
        <v>0</v>
      </c>
      <c r="AO389" s="316">
        <f t="shared" si="500"/>
        <v>15000</v>
      </c>
      <c r="AP389" s="316">
        <f t="shared" si="501"/>
        <v>0</v>
      </c>
      <c r="AQ389" s="169" t="s">
        <v>1153</v>
      </c>
      <c r="AR389" s="169" t="s">
        <v>1411</v>
      </c>
    </row>
    <row r="390" spans="1:47" s="169" customFormat="1" ht="26" x14ac:dyDescent="0.3">
      <c r="A390" s="509">
        <v>6</v>
      </c>
      <c r="B390" s="510" t="s">
        <v>1422</v>
      </c>
      <c r="C390" s="409" t="s">
        <v>103</v>
      </c>
      <c r="D390" s="536">
        <v>5</v>
      </c>
      <c r="E390" s="411">
        <v>3000</v>
      </c>
      <c r="F390" s="512">
        <v>2</v>
      </c>
      <c r="G390" s="486">
        <v>1</v>
      </c>
      <c r="H390" s="486">
        <v>0</v>
      </c>
      <c r="I390" s="416">
        <f t="shared" si="580"/>
        <v>30000</v>
      </c>
      <c r="J390" s="487">
        <f t="shared" si="581"/>
        <v>0</v>
      </c>
      <c r="K390" s="513">
        <f t="shared" si="582"/>
        <v>30000</v>
      </c>
      <c r="L390" s="513"/>
      <c r="M390" s="513"/>
      <c r="N390" s="416">
        <v>0</v>
      </c>
      <c r="O390" s="507" t="s">
        <v>1423</v>
      </c>
      <c r="P390" s="171"/>
      <c r="Q390" s="409" t="s">
        <v>103</v>
      </c>
      <c r="R390" s="516">
        <v>5</v>
      </c>
      <c r="S390" s="411">
        <v>3000</v>
      </c>
      <c r="T390" s="514">
        <v>2</v>
      </c>
      <c r="U390" s="486">
        <v>1</v>
      </c>
      <c r="V390" s="486">
        <v>0</v>
      </c>
      <c r="W390" s="506">
        <f t="shared" si="583"/>
        <v>30000</v>
      </c>
      <c r="X390" s="487">
        <f t="shared" si="584"/>
        <v>0</v>
      </c>
      <c r="Y390" s="487">
        <f t="shared" si="585"/>
        <v>30000</v>
      </c>
      <c r="Z390" s="487"/>
      <c r="AA390" s="487"/>
      <c r="AB390" s="416">
        <v>0</v>
      </c>
      <c r="AC390" s="417" t="s">
        <v>1424</v>
      </c>
      <c r="AD390" s="227"/>
      <c r="AE390" s="241">
        <v>6</v>
      </c>
      <c r="AF390" s="204" t="str">
        <f t="shared" si="505"/>
        <v>Affiche  portant des messages clé sur l'EHA à mettre dans les écoles,église,FOSA,entrepot ,marchés,…</v>
      </c>
      <c r="AG390" s="486">
        <f t="shared" si="577"/>
        <v>1</v>
      </c>
      <c r="AH390" s="486">
        <f t="shared" si="578"/>
        <v>0</v>
      </c>
      <c r="AI390" s="506">
        <f t="shared" si="573"/>
        <v>60000</v>
      </c>
      <c r="AJ390" s="506">
        <f t="shared" si="586"/>
        <v>0</v>
      </c>
      <c r="AK390" s="487">
        <f t="shared" si="574"/>
        <v>0</v>
      </c>
      <c r="AL390" s="487">
        <f t="shared" si="579"/>
        <v>60000</v>
      </c>
      <c r="AM390" s="316">
        <f t="shared" si="498"/>
        <v>30000</v>
      </c>
      <c r="AN390" s="316">
        <f t="shared" si="499"/>
        <v>0</v>
      </c>
      <c r="AO390" s="316">
        <f t="shared" si="500"/>
        <v>30000</v>
      </c>
      <c r="AP390" s="316">
        <f t="shared" si="501"/>
        <v>0</v>
      </c>
      <c r="AQ390" s="169" t="s">
        <v>1153</v>
      </c>
      <c r="AR390" s="169" t="s">
        <v>1411</v>
      </c>
    </row>
    <row r="391" spans="1:47" s="169" customFormat="1" ht="18.75" customHeight="1" x14ac:dyDescent="0.3">
      <c r="A391" s="509">
        <v>7</v>
      </c>
      <c r="B391" s="510" t="s">
        <v>1425</v>
      </c>
      <c r="C391" s="409" t="s">
        <v>103</v>
      </c>
      <c r="D391" s="536">
        <v>0</v>
      </c>
      <c r="E391" s="411">
        <v>30</v>
      </c>
      <c r="F391" s="512">
        <v>2</v>
      </c>
      <c r="G391" s="486">
        <v>1</v>
      </c>
      <c r="H391" s="486">
        <v>0</v>
      </c>
      <c r="I391" s="416">
        <f t="shared" si="580"/>
        <v>0</v>
      </c>
      <c r="J391" s="487">
        <f t="shared" si="581"/>
        <v>0</v>
      </c>
      <c r="K391" s="513">
        <f t="shared" si="582"/>
        <v>0</v>
      </c>
      <c r="L391" s="513"/>
      <c r="M391" s="513"/>
      <c r="N391" s="416">
        <v>0</v>
      </c>
      <c r="O391" s="507" t="s">
        <v>1426</v>
      </c>
      <c r="P391" s="171"/>
      <c r="Q391" s="409" t="s">
        <v>103</v>
      </c>
      <c r="R391" s="516">
        <v>0</v>
      </c>
      <c r="S391" s="411">
        <v>30</v>
      </c>
      <c r="T391" s="514">
        <v>2</v>
      </c>
      <c r="U391" s="486">
        <v>1</v>
      </c>
      <c r="V391" s="486">
        <v>0</v>
      </c>
      <c r="W391" s="506">
        <f t="shared" si="583"/>
        <v>0</v>
      </c>
      <c r="X391" s="487">
        <f t="shared" si="584"/>
        <v>0</v>
      </c>
      <c r="Y391" s="487">
        <f t="shared" si="585"/>
        <v>0</v>
      </c>
      <c r="Z391" s="487"/>
      <c r="AA391" s="487"/>
      <c r="AB391" s="416">
        <v>0</v>
      </c>
      <c r="AC391" s="417" t="s">
        <v>1426</v>
      </c>
      <c r="AD391" s="227"/>
      <c r="AE391" s="241">
        <v>7</v>
      </c>
      <c r="AF391" s="204" t="str">
        <f t="shared" si="505"/>
        <v>Megaphone+ piles</v>
      </c>
      <c r="AG391" s="486"/>
      <c r="AH391" s="486"/>
      <c r="AI391" s="506">
        <f t="shared" si="573"/>
        <v>0</v>
      </c>
      <c r="AJ391" s="506">
        <f t="shared" si="586"/>
        <v>0</v>
      </c>
      <c r="AK391" s="487">
        <f t="shared" si="574"/>
        <v>0</v>
      </c>
      <c r="AL391" s="487">
        <f t="shared" si="579"/>
        <v>0</v>
      </c>
      <c r="AM391" s="316">
        <f t="shared" si="498"/>
        <v>0</v>
      </c>
      <c r="AN391" s="316">
        <f t="shared" si="499"/>
        <v>0</v>
      </c>
      <c r="AO391" s="316">
        <f t="shared" si="500"/>
        <v>0</v>
      </c>
      <c r="AP391" s="316">
        <f t="shared" si="501"/>
        <v>0</v>
      </c>
      <c r="AQ391" s="169" t="s">
        <v>1153</v>
      </c>
      <c r="AR391" s="169" t="s">
        <v>1411</v>
      </c>
    </row>
    <row r="392" spans="1:47" s="173" customFormat="1" ht="12.75" customHeight="1" x14ac:dyDescent="0.3">
      <c r="A392" s="480" t="s">
        <v>286</v>
      </c>
      <c r="B392" s="861" t="s">
        <v>319</v>
      </c>
      <c r="C392" s="862"/>
      <c r="D392" s="862"/>
      <c r="E392" s="862"/>
      <c r="F392" s="862"/>
      <c r="G392" s="862"/>
      <c r="H392" s="863"/>
      <c r="I392" s="481">
        <f>SUM(I393:I404)</f>
        <v>42217</v>
      </c>
      <c r="J392" s="482">
        <f t="shared" ref="J392" si="587">SUM(J393:J404)</f>
        <v>0</v>
      </c>
      <c r="K392" s="482">
        <f>SUM(K393:K404)</f>
        <v>30553</v>
      </c>
      <c r="L392" s="482">
        <f t="shared" ref="L392:M392" si="588">SUM(L393:L404)</f>
        <v>0</v>
      </c>
      <c r="M392" s="482">
        <f t="shared" si="588"/>
        <v>11664</v>
      </c>
      <c r="N392" s="481">
        <f>SUM(N393:N404)</f>
        <v>0</v>
      </c>
      <c r="O392" s="508"/>
      <c r="P392" s="168"/>
      <c r="Q392" s="538"/>
      <c r="R392" s="539"/>
      <c r="S392" s="538"/>
      <c r="T392" s="539"/>
      <c r="U392" s="539"/>
      <c r="V392" s="484"/>
      <c r="W392" s="482">
        <f t="shared" ref="W392:X392" si="589">SUM(W393:W404)</f>
        <v>42217</v>
      </c>
      <c r="X392" s="482">
        <f t="shared" si="589"/>
        <v>0</v>
      </c>
      <c r="Y392" s="482">
        <f>SUM(Y393:Y404)</f>
        <v>30553</v>
      </c>
      <c r="Z392" s="482">
        <f t="shared" ref="Z392:AA392" si="590">SUM(Z393:Z404)</f>
        <v>0</v>
      </c>
      <c r="AA392" s="482">
        <f t="shared" si="590"/>
        <v>11664</v>
      </c>
      <c r="AB392" s="481">
        <f>SUM(AB393:AB404)</f>
        <v>0</v>
      </c>
      <c r="AC392" s="508"/>
      <c r="AD392" s="234"/>
      <c r="AE392" s="247" t="s">
        <v>286</v>
      </c>
      <c r="AF392" s="204" t="str">
        <f t="shared" si="505"/>
        <v>Former les Journalistes Points Focaux (JPF) et Appuyer les Radios communautaires pour la production et diffusion des formats radiophoniques sur les PFE et la communication en appui à la gestion des urgences au niveau communautaire dans les secteurs WASH, EDUCATION et NUTRITION.</v>
      </c>
      <c r="AG392" s="485">
        <f t="shared" si="577"/>
        <v>1</v>
      </c>
      <c r="AH392" s="485">
        <f t="shared" si="578"/>
        <v>0</v>
      </c>
      <c r="AI392" s="482">
        <f t="shared" si="573"/>
        <v>84434</v>
      </c>
      <c r="AJ392" s="482">
        <f t="shared" si="586"/>
        <v>0</v>
      </c>
      <c r="AK392" s="482">
        <f t="shared" si="574"/>
        <v>0</v>
      </c>
      <c r="AL392" s="482">
        <f t="shared" si="579"/>
        <v>84434</v>
      </c>
      <c r="AM392" s="314">
        <f t="shared" si="498"/>
        <v>42217</v>
      </c>
      <c r="AN392" s="314">
        <f t="shared" si="499"/>
        <v>0</v>
      </c>
      <c r="AO392" s="314">
        <f t="shared" si="500"/>
        <v>42217</v>
      </c>
      <c r="AP392" s="314">
        <f t="shared" si="501"/>
        <v>0</v>
      </c>
      <c r="AQ392" s="169"/>
      <c r="AT392" s="168"/>
      <c r="AU392" s="168"/>
    </row>
    <row r="393" spans="1:47" s="199" customFormat="1" ht="39" x14ac:dyDescent="0.35">
      <c r="A393" s="408">
        <v>1</v>
      </c>
      <c r="B393" s="409" t="s">
        <v>465</v>
      </c>
      <c r="C393" s="409" t="s">
        <v>90</v>
      </c>
      <c r="D393" s="410">
        <v>3</v>
      </c>
      <c r="E393" s="411">
        <v>19</v>
      </c>
      <c r="F393" s="412">
        <v>3</v>
      </c>
      <c r="G393" s="413">
        <v>1</v>
      </c>
      <c r="H393" s="413">
        <v>0</v>
      </c>
      <c r="I393" s="414">
        <f t="shared" ref="I393:I404" si="591">D393*E393*F393*G393</f>
        <v>171</v>
      </c>
      <c r="J393" s="415">
        <f t="shared" ref="J393:J404" si="592">D393*E393*F393*H393</f>
        <v>0</v>
      </c>
      <c r="K393" s="415">
        <f t="shared" ref="K393:K400" si="593">I393</f>
        <v>171</v>
      </c>
      <c r="L393" s="415"/>
      <c r="M393" s="415"/>
      <c r="N393" s="416">
        <v>0</v>
      </c>
      <c r="O393" s="417" t="s">
        <v>1427</v>
      </c>
      <c r="Q393" s="409" t="s">
        <v>90</v>
      </c>
      <c r="R393" s="418">
        <v>3</v>
      </c>
      <c r="S393" s="411">
        <v>19</v>
      </c>
      <c r="T393" s="411">
        <v>3</v>
      </c>
      <c r="U393" s="413">
        <v>1</v>
      </c>
      <c r="V393" s="413">
        <v>0</v>
      </c>
      <c r="W393" s="419">
        <f t="shared" ref="W393:W404" si="594">R393*S393*T393*U393</f>
        <v>171</v>
      </c>
      <c r="X393" s="415">
        <f t="shared" ref="X393:X404" si="595">R393*S393*T393*V393</f>
        <v>0</v>
      </c>
      <c r="Y393" s="415">
        <f t="shared" ref="Y393:Y400" si="596">W393</f>
        <v>171</v>
      </c>
      <c r="Z393" s="415"/>
      <c r="AA393" s="415"/>
      <c r="AB393" s="416">
        <v>0</v>
      </c>
      <c r="AC393" s="417" t="s">
        <v>1427</v>
      </c>
      <c r="AD393" s="227"/>
      <c r="AE393" s="241">
        <v>1</v>
      </c>
      <c r="AF393" s="204" t="str">
        <f t="shared" si="505"/>
        <v xml:space="preserve">Pause café </v>
      </c>
      <c r="AG393" s="413">
        <f t="shared" si="577"/>
        <v>1</v>
      </c>
      <c r="AH393" s="413">
        <f t="shared" si="578"/>
        <v>0</v>
      </c>
      <c r="AI393" s="419">
        <f t="shared" si="573"/>
        <v>342</v>
      </c>
      <c r="AJ393" s="419">
        <f t="shared" si="586"/>
        <v>0</v>
      </c>
      <c r="AK393" s="415">
        <f t="shared" si="574"/>
        <v>0</v>
      </c>
      <c r="AL393" s="415">
        <f t="shared" si="579"/>
        <v>342</v>
      </c>
      <c r="AM393" s="323">
        <f t="shared" si="498"/>
        <v>171</v>
      </c>
      <c r="AN393" s="323">
        <f t="shared" si="499"/>
        <v>0</v>
      </c>
      <c r="AO393" s="323">
        <f t="shared" si="500"/>
        <v>171</v>
      </c>
      <c r="AP393" s="323">
        <f t="shared" si="501"/>
        <v>0</v>
      </c>
      <c r="AQ393" s="186" t="s">
        <v>1153</v>
      </c>
      <c r="AT393" s="284" t="s">
        <v>1428</v>
      </c>
      <c r="AU393" s="186" t="s">
        <v>1429</v>
      </c>
    </row>
    <row r="394" spans="1:47" s="199" customFormat="1" x14ac:dyDescent="0.35">
      <c r="A394" s="408">
        <v>2</v>
      </c>
      <c r="B394" s="409" t="s">
        <v>486</v>
      </c>
      <c r="C394" s="409" t="s">
        <v>90</v>
      </c>
      <c r="D394" s="410">
        <v>8</v>
      </c>
      <c r="E394" s="411">
        <v>19</v>
      </c>
      <c r="F394" s="412">
        <v>3</v>
      </c>
      <c r="G394" s="413">
        <v>1</v>
      </c>
      <c r="H394" s="413">
        <v>0</v>
      </c>
      <c r="I394" s="414">
        <f t="shared" si="591"/>
        <v>456</v>
      </c>
      <c r="J394" s="415">
        <f t="shared" si="592"/>
        <v>0</v>
      </c>
      <c r="K394" s="415">
        <f t="shared" si="593"/>
        <v>456</v>
      </c>
      <c r="L394" s="415"/>
      <c r="M394" s="415"/>
      <c r="N394" s="416">
        <v>0</v>
      </c>
      <c r="O394" s="417" t="s">
        <v>1430</v>
      </c>
      <c r="Q394" s="409" t="s">
        <v>90</v>
      </c>
      <c r="R394" s="418">
        <v>8</v>
      </c>
      <c r="S394" s="411">
        <v>19</v>
      </c>
      <c r="T394" s="411">
        <v>3</v>
      </c>
      <c r="U394" s="413">
        <v>1</v>
      </c>
      <c r="V394" s="413">
        <v>0</v>
      </c>
      <c r="W394" s="419">
        <f t="shared" si="594"/>
        <v>456</v>
      </c>
      <c r="X394" s="415">
        <f t="shared" si="595"/>
        <v>0</v>
      </c>
      <c r="Y394" s="415">
        <f t="shared" si="596"/>
        <v>456</v>
      </c>
      <c r="Z394" s="415"/>
      <c r="AA394" s="415"/>
      <c r="AB394" s="416">
        <v>0</v>
      </c>
      <c r="AC394" s="417" t="s">
        <v>1430</v>
      </c>
      <c r="AD394" s="227"/>
      <c r="AE394" s="241">
        <v>2</v>
      </c>
      <c r="AF394" s="204" t="str">
        <f t="shared" si="505"/>
        <v xml:space="preserve">Pause repas </v>
      </c>
      <c r="AG394" s="413">
        <f t="shared" si="577"/>
        <v>1</v>
      </c>
      <c r="AH394" s="413">
        <f t="shared" si="578"/>
        <v>0</v>
      </c>
      <c r="AI394" s="419">
        <f t="shared" si="573"/>
        <v>912</v>
      </c>
      <c r="AJ394" s="419">
        <f t="shared" si="586"/>
        <v>0</v>
      </c>
      <c r="AK394" s="415">
        <f t="shared" si="574"/>
        <v>0</v>
      </c>
      <c r="AL394" s="415">
        <f t="shared" si="579"/>
        <v>912</v>
      </c>
      <c r="AM394" s="323">
        <f t="shared" ref="AM394:AM457" si="597">I394</f>
        <v>456</v>
      </c>
      <c r="AN394" s="323">
        <f t="shared" ref="AN394:AN457" si="598">N394</f>
        <v>0</v>
      </c>
      <c r="AO394" s="323">
        <f t="shared" ref="AO394:AO457" si="599">W394</f>
        <v>456</v>
      </c>
      <c r="AP394" s="323">
        <f t="shared" ref="AP394:AP457" si="600">AB394</f>
        <v>0</v>
      </c>
      <c r="AQ394" s="186" t="s">
        <v>1153</v>
      </c>
      <c r="AT394" s="186"/>
      <c r="AU394" s="186"/>
    </row>
    <row r="395" spans="1:47" s="199" customFormat="1" x14ac:dyDescent="0.35">
      <c r="A395" s="408">
        <v>3</v>
      </c>
      <c r="B395" s="409" t="s">
        <v>533</v>
      </c>
      <c r="C395" s="409" t="s">
        <v>90</v>
      </c>
      <c r="D395" s="541">
        <v>12.5</v>
      </c>
      <c r="E395" s="411">
        <v>4</v>
      </c>
      <c r="F395" s="412">
        <v>3</v>
      </c>
      <c r="G395" s="413">
        <v>1</v>
      </c>
      <c r="H395" s="413">
        <v>0</v>
      </c>
      <c r="I395" s="414">
        <f t="shared" si="591"/>
        <v>150</v>
      </c>
      <c r="J395" s="415">
        <f t="shared" si="592"/>
        <v>0</v>
      </c>
      <c r="K395" s="415">
        <f t="shared" si="593"/>
        <v>150</v>
      </c>
      <c r="L395" s="415"/>
      <c r="M395" s="415"/>
      <c r="N395" s="416">
        <v>0</v>
      </c>
      <c r="O395" s="417" t="s">
        <v>1431</v>
      </c>
      <c r="Q395" s="409" t="s">
        <v>90</v>
      </c>
      <c r="R395" s="418">
        <v>12.5</v>
      </c>
      <c r="S395" s="411">
        <v>4</v>
      </c>
      <c r="T395" s="411">
        <v>3</v>
      </c>
      <c r="U395" s="413">
        <v>1</v>
      </c>
      <c r="V395" s="413">
        <v>0</v>
      </c>
      <c r="W395" s="419">
        <f t="shared" si="594"/>
        <v>150</v>
      </c>
      <c r="X395" s="415">
        <f t="shared" si="595"/>
        <v>0</v>
      </c>
      <c r="Y395" s="415">
        <f t="shared" si="596"/>
        <v>150</v>
      </c>
      <c r="Z395" s="415"/>
      <c r="AA395" s="415"/>
      <c r="AB395" s="416">
        <v>0</v>
      </c>
      <c r="AC395" s="417" t="s">
        <v>1431</v>
      </c>
      <c r="AD395" s="227"/>
      <c r="AE395" s="241">
        <v>3</v>
      </c>
      <c r="AF395" s="204" t="str">
        <f t="shared" si="505"/>
        <v>Frais de facilitation</v>
      </c>
      <c r="AG395" s="413">
        <f t="shared" si="577"/>
        <v>1</v>
      </c>
      <c r="AH395" s="413">
        <f t="shared" si="578"/>
        <v>0</v>
      </c>
      <c r="AI395" s="419">
        <f t="shared" si="573"/>
        <v>300</v>
      </c>
      <c r="AJ395" s="419">
        <f t="shared" si="586"/>
        <v>0</v>
      </c>
      <c r="AK395" s="415">
        <f t="shared" si="574"/>
        <v>0</v>
      </c>
      <c r="AL395" s="415">
        <f t="shared" si="579"/>
        <v>300</v>
      </c>
      <c r="AM395" s="323">
        <f t="shared" si="597"/>
        <v>150</v>
      </c>
      <c r="AN395" s="323">
        <f t="shared" si="598"/>
        <v>0</v>
      </c>
      <c r="AO395" s="323">
        <f t="shared" si="599"/>
        <v>150</v>
      </c>
      <c r="AP395" s="323">
        <f t="shared" si="600"/>
        <v>0</v>
      </c>
      <c r="AQ395" s="186" t="s">
        <v>1153</v>
      </c>
      <c r="AT395" s="186"/>
      <c r="AU395" s="186"/>
    </row>
    <row r="396" spans="1:47" s="199" customFormat="1" x14ac:dyDescent="0.35">
      <c r="A396" s="408">
        <v>4</v>
      </c>
      <c r="B396" s="409" t="s">
        <v>450</v>
      </c>
      <c r="C396" s="409" t="s">
        <v>422</v>
      </c>
      <c r="D396" s="410">
        <v>50</v>
      </c>
      <c r="E396" s="411">
        <v>1</v>
      </c>
      <c r="F396" s="412">
        <v>3</v>
      </c>
      <c r="G396" s="413">
        <v>1</v>
      </c>
      <c r="H396" s="413">
        <v>0</v>
      </c>
      <c r="I396" s="414">
        <f>D396*E396*F396*G396</f>
        <v>150</v>
      </c>
      <c r="J396" s="415">
        <f t="shared" si="592"/>
        <v>0</v>
      </c>
      <c r="K396" s="415">
        <f t="shared" si="593"/>
        <v>150</v>
      </c>
      <c r="L396" s="415"/>
      <c r="M396" s="415"/>
      <c r="N396" s="416">
        <v>0</v>
      </c>
      <c r="O396" s="417" t="s">
        <v>506</v>
      </c>
      <c r="Q396" s="409" t="s">
        <v>422</v>
      </c>
      <c r="R396" s="418">
        <v>50</v>
      </c>
      <c r="S396" s="411">
        <v>1</v>
      </c>
      <c r="T396" s="411">
        <v>3</v>
      </c>
      <c r="U396" s="413">
        <v>1</v>
      </c>
      <c r="V396" s="413">
        <v>0</v>
      </c>
      <c r="W396" s="419">
        <f t="shared" si="594"/>
        <v>150</v>
      </c>
      <c r="X396" s="415">
        <f t="shared" si="595"/>
        <v>0</v>
      </c>
      <c r="Y396" s="415">
        <f t="shared" si="596"/>
        <v>150</v>
      </c>
      <c r="Z396" s="415"/>
      <c r="AA396" s="415"/>
      <c r="AB396" s="416">
        <v>0</v>
      </c>
      <c r="AC396" s="417" t="s">
        <v>506</v>
      </c>
      <c r="AD396" s="227"/>
      <c r="AE396" s="241">
        <v>4</v>
      </c>
      <c r="AF396" s="204" t="str">
        <f t="shared" ref="AF396:AF459" si="601">B396</f>
        <v xml:space="preserve">Location salle </v>
      </c>
      <c r="AG396" s="413">
        <f t="shared" si="577"/>
        <v>1</v>
      </c>
      <c r="AH396" s="413">
        <f t="shared" si="578"/>
        <v>0</v>
      </c>
      <c r="AI396" s="419">
        <f t="shared" si="573"/>
        <v>300</v>
      </c>
      <c r="AJ396" s="419">
        <f t="shared" si="586"/>
        <v>0</v>
      </c>
      <c r="AK396" s="415">
        <f t="shared" si="574"/>
        <v>0</v>
      </c>
      <c r="AL396" s="415">
        <f t="shared" si="579"/>
        <v>300</v>
      </c>
      <c r="AM396" s="323">
        <f t="shared" si="597"/>
        <v>150</v>
      </c>
      <c r="AN396" s="323">
        <f t="shared" si="598"/>
        <v>0</v>
      </c>
      <c r="AO396" s="323">
        <f t="shared" si="599"/>
        <v>150</v>
      </c>
      <c r="AP396" s="323">
        <f t="shared" si="600"/>
        <v>0</v>
      </c>
      <c r="AQ396" s="186" t="s">
        <v>1153</v>
      </c>
      <c r="AT396" s="186"/>
      <c r="AU396" s="186"/>
    </row>
    <row r="397" spans="1:47" s="199" customFormat="1" ht="26" x14ac:dyDescent="0.35">
      <c r="A397" s="408">
        <v>5</v>
      </c>
      <c r="B397" s="409" t="s">
        <v>1432</v>
      </c>
      <c r="C397" s="409" t="s">
        <v>90</v>
      </c>
      <c r="D397" s="410">
        <v>5</v>
      </c>
      <c r="E397" s="411">
        <v>6</v>
      </c>
      <c r="F397" s="412">
        <v>3</v>
      </c>
      <c r="G397" s="413">
        <v>1</v>
      </c>
      <c r="H397" s="413">
        <v>0</v>
      </c>
      <c r="I397" s="414">
        <f t="shared" si="591"/>
        <v>90</v>
      </c>
      <c r="J397" s="415">
        <f t="shared" si="592"/>
        <v>0</v>
      </c>
      <c r="K397" s="415">
        <f t="shared" si="593"/>
        <v>90</v>
      </c>
      <c r="L397" s="415"/>
      <c r="M397" s="415"/>
      <c r="N397" s="416">
        <v>0</v>
      </c>
      <c r="O397" s="417" t="s">
        <v>1433</v>
      </c>
      <c r="Q397" s="409" t="s">
        <v>90</v>
      </c>
      <c r="R397" s="418">
        <v>5</v>
      </c>
      <c r="S397" s="411">
        <v>6</v>
      </c>
      <c r="T397" s="411">
        <v>3</v>
      </c>
      <c r="U397" s="413">
        <v>1</v>
      </c>
      <c r="V397" s="413">
        <v>0</v>
      </c>
      <c r="W397" s="419">
        <f t="shared" si="594"/>
        <v>90</v>
      </c>
      <c r="X397" s="415">
        <f t="shared" si="595"/>
        <v>0</v>
      </c>
      <c r="Y397" s="415">
        <f t="shared" si="596"/>
        <v>90</v>
      </c>
      <c r="Z397" s="415"/>
      <c r="AA397" s="415"/>
      <c r="AB397" s="416">
        <v>0</v>
      </c>
      <c r="AC397" s="417" t="s">
        <v>1433</v>
      </c>
      <c r="AD397" s="227"/>
      <c r="AE397" s="241">
        <v>5</v>
      </c>
      <c r="AF397" s="204" t="str">
        <f t="shared" si="601"/>
        <v xml:space="preserve">Frais de transport des participant de NYIRAGONGO </v>
      </c>
      <c r="AG397" s="413">
        <f t="shared" si="577"/>
        <v>1</v>
      </c>
      <c r="AH397" s="413">
        <f t="shared" si="578"/>
        <v>0</v>
      </c>
      <c r="AI397" s="419">
        <f t="shared" si="573"/>
        <v>180</v>
      </c>
      <c r="AJ397" s="419">
        <f t="shared" si="586"/>
        <v>0</v>
      </c>
      <c r="AK397" s="415">
        <f t="shared" si="574"/>
        <v>0</v>
      </c>
      <c r="AL397" s="415">
        <f t="shared" si="579"/>
        <v>180</v>
      </c>
      <c r="AM397" s="323">
        <f t="shared" si="597"/>
        <v>90</v>
      </c>
      <c r="AN397" s="323">
        <f t="shared" si="598"/>
        <v>0</v>
      </c>
      <c r="AO397" s="323">
        <f t="shared" si="599"/>
        <v>90</v>
      </c>
      <c r="AP397" s="323">
        <f t="shared" si="600"/>
        <v>0</v>
      </c>
      <c r="AQ397" s="186" t="s">
        <v>1153</v>
      </c>
      <c r="AT397" s="186"/>
      <c r="AU397" s="186"/>
    </row>
    <row r="398" spans="1:47" s="199" customFormat="1" ht="26" x14ac:dyDescent="0.35">
      <c r="A398" s="408">
        <v>6</v>
      </c>
      <c r="B398" s="409" t="s">
        <v>1434</v>
      </c>
      <c r="C398" s="409" t="s">
        <v>90</v>
      </c>
      <c r="D398" s="410">
        <v>64</v>
      </c>
      <c r="E398" s="411">
        <v>5</v>
      </c>
      <c r="F398" s="412">
        <v>4</v>
      </c>
      <c r="G398" s="413">
        <v>1</v>
      </c>
      <c r="H398" s="413">
        <v>0</v>
      </c>
      <c r="I398" s="414">
        <f t="shared" si="591"/>
        <v>1280</v>
      </c>
      <c r="J398" s="415">
        <f t="shared" si="592"/>
        <v>0</v>
      </c>
      <c r="K398" s="415">
        <f t="shared" si="593"/>
        <v>1280</v>
      </c>
      <c r="L398" s="415"/>
      <c r="M398" s="415"/>
      <c r="N398" s="416">
        <v>0</v>
      </c>
      <c r="O398" s="417" t="s">
        <v>1435</v>
      </c>
      <c r="Q398" s="409" t="s">
        <v>90</v>
      </c>
      <c r="R398" s="418">
        <v>64</v>
      </c>
      <c r="S398" s="411">
        <v>5</v>
      </c>
      <c r="T398" s="411">
        <v>4</v>
      </c>
      <c r="U398" s="413">
        <v>1</v>
      </c>
      <c r="V398" s="413">
        <v>0</v>
      </c>
      <c r="W398" s="419">
        <f t="shared" si="594"/>
        <v>1280</v>
      </c>
      <c r="X398" s="415">
        <f t="shared" si="595"/>
        <v>0</v>
      </c>
      <c r="Y398" s="415">
        <f t="shared" si="596"/>
        <v>1280</v>
      </c>
      <c r="Z398" s="415"/>
      <c r="AA398" s="415"/>
      <c r="AB398" s="416">
        <v>0</v>
      </c>
      <c r="AC398" s="417" t="s">
        <v>1435</v>
      </c>
      <c r="AD398" s="227"/>
      <c r="AE398" s="241">
        <v>6</v>
      </c>
      <c r="AF398" s="204" t="str">
        <f t="shared" si="601"/>
        <v>DSA en faveur des journalistes en provenance de RWANGUBA vers GOMA</v>
      </c>
      <c r="AG398" s="413">
        <f t="shared" si="577"/>
        <v>1</v>
      </c>
      <c r="AH398" s="413">
        <f t="shared" si="578"/>
        <v>0</v>
      </c>
      <c r="AI398" s="419">
        <f t="shared" si="573"/>
        <v>2560</v>
      </c>
      <c r="AJ398" s="419">
        <f t="shared" si="586"/>
        <v>0</v>
      </c>
      <c r="AK398" s="415">
        <f t="shared" si="574"/>
        <v>0</v>
      </c>
      <c r="AL398" s="415">
        <f t="shared" si="579"/>
        <v>2560</v>
      </c>
      <c r="AM398" s="323">
        <f t="shared" si="597"/>
        <v>1280</v>
      </c>
      <c r="AN398" s="323">
        <f t="shared" si="598"/>
        <v>0</v>
      </c>
      <c r="AO398" s="323">
        <f t="shared" si="599"/>
        <v>1280</v>
      </c>
      <c r="AP398" s="323">
        <f t="shared" si="600"/>
        <v>0</v>
      </c>
      <c r="AQ398" s="186" t="s">
        <v>1153</v>
      </c>
      <c r="AT398" s="186"/>
      <c r="AU398" s="186"/>
    </row>
    <row r="399" spans="1:47" s="199" customFormat="1" x14ac:dyDescent="0.35">
      <c r="A399" s="408">
        <v>7</v>
      </c>
      <c r="B399" s="409" t="s">
        <v>1436</v>
      </c>
      <c r="C399" s="409" t="s">
        <v>90</v>
      </c>
      <c r="D399" s="410">
        <v>20</v>
      </c>
      <c r="E399" s="411">
        <v>10</v>
      </c>
      <c r="F399" s="412">
        <v>2</v>
      </c>
      <c r="G399" s="413">
        <v>1</v>
      </c>
      <c r="H399" s="413">
        <v>0</v>
      </c>
      <c r="I399" s="414">
        <f t="shared" si="591"/>
        <v>400</v>
      </c>
      <c r="J399" s="415">
        <f t="shared" si="592"/>
        <v>0</v>
      </c>
      <c r="K399" s="415">
        <f t="shared" si="593"/>
        <v>400</v>
      </c>
      <c r="L399" s="415"/>
      <c r="M399" s="415"/>
      <c r="N399" s="416">
        <v>0</v>
      </c>
      <c r="O399" s="417" t="s">
        <v>1437</v>
      </c>
      <c r="Q399" s="409" t="s">
        <v>90</v>
      </c>
      <c r="R399" s="418">
        <v>20</v>
      </c>
      <c r="S399" s="411">
        <v>10</v>
      </c>
      <c r="T399" s="411">
        <v>2</v>
      </c>
      <c r="U399" s="413">
        <v>1</v>
      </c>
      <c r="V399" s="413">
        <v>0</v>
      </c>
      <c r="W399" s="419">
        <f t="shared" si="594"/>
        <v>400</v>
      </c>
      <c r="X399" s="415">
        <f t="shared" si="595"/>
        <v>0</v>
      </c>
      <c r="Y399" s="415">
        <f t="shared" si="596"/>
        <v>400</v>
      </c>
      <c r="Z399" s="415"/>
      <c r="AA399" s="415"/>
      <c r="AB399" s="416">
        <v>0</v>
      </c>
      <c r="AC399" s="417" t="s">
        <v>1437</v>
      </c>
      <c r="AD399" s="227"/>
      <c r="AE399" s="241">
        <v>7</v>
      </c>
      <c r="AF399" s="204" t="str">
        <f t="shared" si="601"/>
        <v>Frais de transport aller et retour des 10 participants en provenance de RWANGUBA vers GOMA</v>
      </c>
      <c r="AG399" s="413">
        <f t="shared" si="577"/>
        <v>1</v>
      </c>
      <c r="AH399" s="413">
        <f t="shared" si="578"/>
        <v>0</v>
      </c>
      <c r="AI399" s="419">
        <f t="shared" si="573"/>
        <v>800</v>
      </c>
      <c r="AJ399" s="419">
        <f t="shared" si="586"/>
        <v>0</v>
      </c>
      <c r="AK399" s="415">
        <f t="shared" si="574"/>
        <v>0</v>
      </c>
      <c r="AL399" s="415">
        <f t="shared" si="579"/>
        <v>800</v>
      </c>
      <c r="AM399" s="323">
        <f t="shared" si="597"/>
        <v>400</v>
      </c>
      <c r="AN399" s="323">
        <f t="shared" si="598"/>
        <v>0</v>
      </c>
      <c r="AO399" s="323">
        <f t="shared" si="599"/>
        <v>400</v>
      </c>
      <c r="AP399" s="323">
        <f t="shared" si="600"/>
        <v>0</v>
      </c>
      <c r="AQ399" s="186" t="s">
        <v>1153</v>
      </c>
      <c r="AT399" s="186"/>
      <c r="AU399" s="186"/>
    </row>
    <row r="400" spans="1:47" s="199" customFormat="1" x14ac:dyDescent="0.35">
      <c r="A400" s="408">
        <v>8</v>
      </c>
      <c r="B400" s="409" t="s">
        <v>487</v>
      </c>
      <c r="C400" s="409" t="s">
        <v>90</v>
      </c>
      <c r="D400" s="541">
        <v>2.5</v>
      </c>
      <c r="E400" s="411">
        <v>16</v>
      </c>
      <c r="F400" s="412">
        <v>1</v>
      </c>
      <c r="G400" s="413">
        <v>1</v>
      </c>
      <c r="H400" s="413">
        <v>0</v>
      </c>
      <c r="I400" s="414">
        <f t="shared" si="591"/>
        <v>40</v>
      </c>
      <c r="J400" s="415">
        <f t="shared" si="592"/>
        <v>0</v>
      </c>
      <c r="K400" s="415">
        <f t="shared" si="593"/>
        <v>40</v>
      </c>
      <c r="L400" s="415"/>
      <c r="M400" s="415"/>
      <c r="N400" s="416">
        <v>0</v>
      </c>
      <c r="O400" s="417" t="s">
        <v>507</v>
      </c>
      <c r="Q400" s="409" t="s">
        <v>90</v>
      </c>
      <c r="R400" s="418">
        <v>2.5</v>
      </c>
      <c r="S400" s="411">
        <v>16</v>
      </c>
      <c r="T400" s="411">
        <v>1</v>
      </c>
      <c r="U400" s="413">
        <v>1</v>
      </c>
      <c r="V400" s="413">
        <v>0</v>
      </c>
      <c r="W400" s="419">
        <f t="shared" si="594"/>
        <v>40</v>
      </c>
      <c r="X400" s="415">
        <f t="shared" si="595"/>
        <v>0</v>
      </c>
      <c r="Y400" s="415">
        <f t="shared" si="596"/>
        <v>40</v>
      </c>
      <c r="Z400" s="415"/>
      <c r="AA400" s="415"/>
      <c r="AB400" s="416">
        <v>0</v>
      </c>
      <c r="AC400" s="417" t="s">
        <v>507</v>
      </c>
      <c r="AD400" s="227"/>
      <c r="AE400" s="241">
        <v>8</v>
      </c>
      <c r="AF400" s="204" t="str">
        <f t="shared" si="601"/>
        <v>Fournitures (Kit -Stylos et blocs notes)</v>
      </c>
      <c r="AG400" s="413">
        <f t="shared" si="577"/>
        <v>1</v>
      </c>
      <c r="AH400" s="413">
        <f t="shared" si="578"/>
        <v>0</v>
      </c>
      <c r="AI400" s="419">
        <f t="shared" si="573"/>
        <v>80</v>
      </c>
      <c r="AJ400" s="419">
        <f t="shared" si="586"/>
        <v>0</v>
      </c>
      <c r="AK400" s="415">
        <f t="shared" si="574"/>
        <v>0</v>
      </c>
      <c r="AL400" s="415">
        <f t="shared" si="579"/>
        <v>80</v>
      </c>
      <c r="AM400" s="323">
        <f t="shared" si="597"/>
        <v>40</v>
      </c>
      <c r="AN400" s="323">
        <f t="shared" si="598"/>
        <v>0</v>
      </c>
      <c r="AO400" s="323">
        <f t="shared" si="599"/>
        <v>40</v>
      </c>
      <c r="AP400" s="323">
        <f t="shared" si="600"/>
        <v>0</v>
      </c>
      <c r="AQ400" s="186" t="s">
        <v>1153</v>
      </c>
      <c r="AT400" s="186"/>
      <c r="AU400" s="186"/>
    </row>
    <row r="401" spans="1:47" s="199" customFormat="1" x14ac:dyDescent="0.35">
      <c r="A401" s="408">
        <v>9</v>
      </c>
      <c r="B401" s="409" t="s">
        <v>508</v>
      </c>
      <c r="C401" s="409" t="s">
        <v>509</v>
      </c>
      <c r="D401" s="410">
        <v>300</v>
      </c>
      <c r="E401" s="411">
        <v>8</v>
      </c>
      <c r="F401" s="412">
        <v>9</v>
      </c>
      <c r="G401" s="413">
        <v>1</v>
      </c>
      <c r="H401" s="413">
        <v>0</v>
      </c>
      <c r="I401" s="414">
        <f t="shared" si="591"/>
        <v>21600</v>
      </c>
      <c r="J401" s="415">
        <f t="shared" si="592"/>
        <v>0</v>
      </c>
      <c r="K401" s="415">
        <f>+I401*70%</f>
        <v>15119.999999999998</v>
      </c>
      <c r="L401" s="415"/>
      <c r="M401" s="415">
        <f>+I401*30%</f>
        <v>6480</v>
      </c>
      <c r="N401" s="416">
        <v>0</v>
      </c>
      <c r="O401" s="417" t="s">
        <v>510</v>
      </c>
      <c r="Q401" s="409" t="s">
        <v>509</v>
      </c>
      <c r="R401" s="418">
        <v>300</v>
      </c>
      <c r="S401" s="411">
        <v>8</v>
      </c>
      <c r="T401" s="411">
        <v>9</v>
      </c>
      <c r="U401" s="413">
        <v>1</v>
      </c>
      <c r="V401" s="413">
        <v>0</v>
      </c>
      <c r="W401" s="419">
        <f t="shared" si="594"/>
        <v>21600</v>
      </c>
      <c r="X401" s="415">
        <f t="shared" si="595"/>
        <v>0</v>
      </c>
      <c r="Y401" s="415">
        <f>+W401*70%</f>
        <v>15119.999999999998</v>
      </c>
      <c r="Z401" s="415"/>
      <c r="AA401" s="415">
        <f>+W401*30%</f>
        <v>6480</v>
      </c>
      <c r="AB401" s="416">
        <v>0</v>
      </c>
      <c r="AC401" s="417" t="s">
        <v>1438</v>
      </c>
      <c r="AD401" s="227"/>
      <c r="AE401" s="241">
        <v>9</v>
      </c>
      <c r="AF401" s="204" t="str">
        <f t="shared" si="601"/>
        <v>Appui au fonctionnement des radios communautaires</v>
      </c>
      <c r="AG401" s="413">
        <f t="shared" si="577"/>
        <v>1</v>
      </c>
      <c r="AH401" s="413">
        <f t="shared" si="578"/>
        <v>0</v>
      </c>
      <c r="AI401" s="419">
        <f t="shared" si="573"/>
        <v>43200</v>
      </c>
      <c r="AJ401" s="419">
        <f t="shared" si="586"/>
        <v>0</v>
      </c>
      <c r="AK401" s="415">
        <f t="shared" si="574"/>
        <v>0</v>
      </c>
      <c r="AL401" s="415">
        <f t="shared" si="579"/>
        <v>43200</v>
      </c>
      <c r="AM401" s="323">
        <f t="shared" si="597"/>
        <v>21600</v>
      </c>
      <c r="AN401" s="323">
        <f t="shared" si="598"/>
        <v>0</v>
      </c>
      <c r="AO401" s="323">
        <f t="shared" si="599"/>
        <v>21600</v>
      </c>
      <c r="AP401" s="323">
        <f t="shared" si="600"/>
        <v>0</v>
      </c>
      <c r="AQ401" s="186" t="s">
        <v>1153</v>
      </c>
      <c r="AT401" s="186"/>
      <c r="AU401" s="186"/>
    </row>
    <row r="402" spans="1:47" s="199" customFormat="1" x14ac:dyDescent="0.35">
      <c r="A402" s="408">
        <v>10</v>
      </c>
      <c r="B402" s="409" t="s">
        <v>511</v>
      </c>
      <c r="C402" s="409" t="s">
        <v>512</v>
      </c>
      <c r="D402" s="410">
        <v>50</v>
      </c>
      <c r="E402" s="411">
        <v>12</v>
      </c>
      <c r="F402" s="412">
        <v>1</v>
      </c>
      <c r="G402" s="413">
        <v>1</v>
      </c>
      <c r="H402" s="413">
        <v>0</v>
      </c>
      <c r="I402" s="414">
        <f t="shared" si="591"/>
        <v>600</v>
      </c>
      <c r="J402" s="415">
        <f t="shared" si="592"/>
        <v>0</v>
      </c>
      <c r="K402" s="415">
        <f>I402</f>
        <v>600</v>
      </c>
      <c r="L402" s="415"/>
      <c r="M402" s="415"/>
      <c r="N402" s="416">
        <v>0</v>
      </c>
      <c r="O402" s="417" t="s">
        <v>513</v>
      </c>
      <c r="Q402" s="409" t="s">
        <v>512</v>
      </c>
      <c r="R402" s="418">
        <v>50</v>
      </c>
      <c r="S402" s="411">
        <v>12</v>
      </c>
      <c r="T402" s="411">
        <v>1</v>
      </c>
      <c r="U402" s="413">
        <v>1</v>
      </c>
      <c r="V402" s="413">
        <v>0</v>
      </c>
      <c r="W402" s="419">
        <f t="shared" si="594"/>
        <v>600</v>
      </c>
      <c r="X402" s="415">
        <f t="shared" si="595"/>
        <v>0</v>
      </c>
      <c r="Y402" s="415">
        <f t="shared" ref="Y402" si="602">W402</f>
        <v>600</v>
      </c>
      <c r="Z402" s="415"/>
      <c r="AA402" s="415"/>
      <c r="AB402" s="416">
        <v>0</v>
      </c>
      <c r="AC402" s="417" t="s">
        <v>513</v>
      </c>
      <c r="AD402" s="227"/>
      <c r="AE402" s="241">
        <v>10</v>
      </c>
      <c r="AF402" s="204" t="str">
        <f t="shared" si="601"/>
        <v>Production des spots</v>
      </c>
      <c r="AG402" s="413">
        <f t="shared" si="577"/>
        <v>1</v>
      </c>
      <c r="AH402" s="413">
        <f t="shared" si="578"/>
        <v>0</v>
      </c>
      <c r="AI402" s="419">
        <f t="shared" si="573"/>
        <v>1200</v>
      </c>
      <c r="AJ402" s="419">
        <f t="shared" si="586"/>
        <v>0</v>
      </c>
      <c r="AK402" s="415">
        <f t="shared" si="574"/>
        <v>0</v>
      </c>
      <c r="AL402" s="415">
        <f t="shared" si="579"/>
        <v>1200</v>
      </c>
      <c r="AM402" s="323">
        <f t="shared" si="597"/>
        <v>600</v>
      </c>
      <c r="AN402" s="323">
        <f t="shared" si="598"/>
        <v>0</v>
      </c>
      <c r="AO402" s="323">
        <f t="shared" si="599"/>
        <v>600</v>
      </c>
      <c r="AP402" s="323">
        <f t="shared" si="600"/>
        <v>0</v>
      </c>
      <c r="AQ402" s="186" t="s">
        <v>1153</v>
      </c>
      <c r="AT402" s="186"/>
      <c r="AU402" s="186"/>
    </row>
    <row r="403" spans="1:47" s="199" customFormat="1" x14ac:dyDescent="0.35">
      <c r="A403" s="408">
        <v>11</v>
      </c>
      <c r="B403" s="409" t="s">
        <v>1439</v>
      </c>
      <c r="C403" s="409" t="s">
        <v>1440</v>
      </c>
      <c r="D403" s="410">
        <v>80</v>
      </c>
      <c r="E403" s="411">
        <v>8</v>
      </c>
      <c r="F403" s="412">
        <v>9</v>
      </c>
      <c r="G403" s="413">
        <v>1</v>
      </c>
      <c r="H403" s="413">
        <v>0</v>
      </c>
      <c r="I403" s="414">
        <f t="shared" si="591"/>
        <v>5760</v>
      </c>
      <c r="J403" s="415">
        <f t="shared" si="592"/>
        <v>0</v>
      </c>
      <c r="K403" s="415">
        <f>+I403*70%</f>
        <v>4031.9999999999995</v>
      </c>
      <c r="L403" s="415"/>
      <c r="M403" s="415">
        <f>+I403*30%</f>
        <v>1728</v>
      </c>
      <c r="N403" s="416">
        <v>0</v>
      </c>
      <c r="O403" s="417" t="s">
        <v>1441</v>
      </c>
      <c r="Q403" s="409" t="s">
        <v>1440</v>
      </c>
      <c r="R403" s="418">
        <v>80</v>
      </c>
      <c r="S403" s="411">
        <v>8</v>
      </c>
      <c r="T403" s="411">
        <v>9</v>
      </c>
      <c r="U403" s="413">
        <v>1</v>
      </c>
      <c r="V403" s="413">
        <v>0</v>
      </c>
      <c r="W403" s="419">
        <f t="shared" si="594"/>
        <v>5760</v>
      </c>
      <c r="X403" s="415">
        <f t="shared" si="595"/>
        <v>0</v>
      </c>
      <c r="Y403" s="415">
        <f t="shared" ref="Y403" si="603">+W403*70%</f>
        <v>4031.9999999999995</v>
      </c>
      <c r="Z403" s="415"/>
      <c r="AA403" s="415">
        <f t="shared" ref="AA403:AA404" si="604">+W403*30%</f>
        <v>1728</v>
      </c>
      <c r="AB403" s="416">
        <v>0</v>
      </c>
      <c r="AC403" s="417" t="s">
        <v>1442</v>
      </c>
      <c r="AD403" s="227"/>
      <c r="AE403" s="241">
        <v>11</v>
      </c>
      <c r="AF403" s="204" t="str">
        <f t="shared" si="601"/>
        <v>Production des Magazines Réponse aux feedbacks</v>
      </c>
      <c r="AG403" s="413">
        <f t="shared" si="577"/>
        <v>1</v>
      </c>
      <c r="AH403" s="413">
        <f t="shared" si="578"/>
        <v>0</v>
      </c>
      <c r="AI403" s="419">
        <f t="shared" si="573"/>
        <v>11520</v>
      </c>
      <c r="AJ403" s="419">
        <f t="shared" si="586"/>
        <v>0</v>
      </c>
      <c r="AK403" s="415">
        <f t="shared" si="574"/>
        <v>0</v>
      </c>
      <c r="AL403" s="415">
        <f t="shared" si="579"/>
        <v>11520</v>
      </c>
      <c r="AM403" s="323">
        <f t="shared" si="597"/>
        <v>5760</v>
      </c>
      <c r="AN403" s="323">
        <f t="shared" si="598"/>
        <v>0</v>
      </c>
      <c r="AO403" s="323">
        <f t="shared" si="599"/>
        <v>5760</v>
      </c>
      <c r="AP403" s="323">
        <f t="shared" si="600"/>
        <v>0</v>
      </c>
      <c r="AQ403" s="186" t="s">
        <v>1153</v>
      </c>
      <c r="AT403" s="186"/>
      <c r="AU403" s="186"/>
    </row>
    <row r="404" spans="1:47" s="199" customFormat="1" ht="26" x14ac:dyDescent="0.35">
      <c r="A404" s="408">
        <v>12</v>
      </c>
      <c r="B404" s="409" t="s">
        <v>1443</v>
      </c>
      <c r="C404" s="409" t="s">
        <v>514</v>
      </c>
      <c r="D404" s="410">
        <v>80</v>
      </c>
      <c r="E404" s="411">
        <v>16</v>
      </c>
      <c r="F404" s="412">
        <v>9</v>
      </c>
      <c r="G404" s="413">
        <v>1</v>
      </c>
      <c r="H404" s="413">
        <v>0</v>
      </c>
      <c r="I404" s="414">
        <f t="shared" si="591"/>
        <v>11520</v>
      </c>
      <c r="J404" s="415">
        <f t="shared" si="592"/>
        <v>0</v>
      </c>
      <c r="K404" s="415">
        <f>+I404*70%</f>
        <v>8063.9999999999991</v>
      </c>
      <c r="L404" s="415"/>
      <c r="M404" s="415">
        <f>+I404*30%</f>
        <v>3456</v>
      </c>
      <c r="N404" s="416">
        <v>0</v>
      </c>
      <c r="O404" s="417" t="s">
        <v>1444</v>
      </c>
      <c r="Q404" s="409" t="s">
        <v>514</v>
      </c>
      <c r="R404" s="418">
        <v>80</v>
      </c>
      <c r="S404" s="411">
        <v>16</v>
      </c>
      <c r="T404" s="411">
        <v>9</v>
      </c>
      <c r="U404" s="413">
        <v>1</v>
      </c>
      <c r="V404" s="413">
        <v>0</v>
      </c>
      <c r="W404" s="419">
        <f t="shared" si="594"/>
        <v>11520</v>
      </c>
      <c r="X404" s="415">
        <f t="shared" si="595"/>
        <v>0</v>
      </c>
      <c r="Y404" s="415">
        <f>+W404*70%</f>
        <v>8063.9999999999991</v>
      </c>
      <c r="Z404" s="415"/>
      <c r="AA404" s="415">
        <f t="shared" si="604"/>
        <v>3456</v>
      </c>
      <c r="AB404" s="416">
        <v>0</v>
      </c>
      <c r="AC404" s="417" t="s">
        <v>1445</v>
      </c>
      <c r="AD404" s="227"/>
      <c r="AE404" s="241">
        <v>12</v>
      </c>
      <c r="AF404" s="204" t="str">
        <f t="shared" si="601"/>
        <v>Production des émissions sur le WASH,l'EDUCATION,la NUTRITION et la SANTE  (PEV de routine,santé mere et enfants,réponse urgence sanitaire:cholera,VIH,covid,…)</v>
      </c>
      <c r="AG404" s="413">
        <f t="shared" si="577"/>
        <v>1</v>
      </c>
      <c r="AH404" s="413">
        <f t="shared" si="578"/>
        <v>0</v>
      </c>
      <c r="AI404" s="419">
        <f t="shared" si="573"/>
        <v>23040</v>
      </c>
      <c r="AJ404" s="419">
        <f t="shared" si="586"/>
        <v>0</v>
      </c>
      <c r="AK404" s="415">
        <f t="shared" si="574"/>
        <v>0</v>
      </c>
      <c r="AL404" s="415">
        <f t="shared" si="579"/>
        <v>23040</v>
      </c>
      <c r="AM404" s="323">
        <f t="shared" si="597"/>
        <v>11520</v>
      </c>
      <c r="AN404" s="323">
        <f t="shared" si="598"/>
        <v>0</v>
      </c>
      <c r="AO404" s="323">
        <f t="shared" si="599"/>
        <v>11520</v>
      </c>
      <c r="AP404" s="323">
        <f t="shared" si="600"/>
        <v>0</v>
      </c>
      <c r="AQ404" s="186" t="s">
        <v>1153</v>
      </c>
      <c r="AT404" s="186"/>
      <c r="AU404" s="186"/>
    </row>
    <row r="405" spans="1:47" ht="12.75" customHeight="1" x14ac:dyDescent="0.3">
      <c r="A405" s="480" t="s">
        <v>1446</v>
      </c>
      <c r="B405" s="861" t="s">
        <v>536</v>
      </c>
      <c r="C405" s="862"/>
      <c r="D405" s="862"/>
      <c r="E405" s="862"/>
      <c r="F405" s="862"/>
      <c r="G405" s="862"/>
      <c r="H405" s="863"/>
      <c r="I405" s="481">
        <f>SUM(I406:I409)</f>
        <v>12915.9</v>
      </c>
      <c r="J405" s="482">
        <f t="shared" ref="J405:M405" si="605">SUM(J406:J409)</f>
        <v>1435.1</v>
      </c>
      <c r="K405" s="482">
        <f t="shared" si="605"/>
        <v>5184.0818181818177</v>
      </c>
      <c r="L405" s="482">
        <f t="shared" si="605"/>
        <v>4418.181818181818</v>
      </c>
      <c r="M405" s="482">
        <f t="shared" si="605"/>
        <v>3313.6363636363635</v>
      </c>
      <c r="N405" s="481">
        <f>SUM(N406:N409)</f>
        <v>0</v>
      </c>
      <c r="O405" s="508"/>
      <c r="Q405" s="538"/>
      <c r="R405" s="539"/>
      <c r="S405" s="538"/>
      <c r="T405" s="539"/>
      <c r="U405" s="539"/>
      <c r="V405" s="484"/>
      <c r="W405" s="482">
        <f>SUM(W406:W409)</f>
        <v>12915.9</v>
      </c>
      <c r="X405" s="482">
        <f t="shared" ref="X405:Y405" si="606">SUM(X406:X409)</f>
        <v>1435.1</v>
      </c>
      <c r="Y405" s="482">
        <f t="shared" si="606"/>
        <v>4815.8999999999996</v>
      </c>
      <c r="Z405" s="482">
        <f t="shared" ref="Z405:AA405" si="607">SUM(Z406:Z409)</f>
        <v>4050</v>
      </c>
      <c r="AA405" s="482">
        <f t="shared" si="607"/>
        <v>4050</v>
      </c>
      <c r="AB405" s="481">
        <f>SUM(AB406:AB409)</f>
        <v>0</v>
      </c>
      <c r="AC405" s="508"/>
      <c r="AD405" s="234"/>
      <c r="AE405" s="247" t="s">
        <v>1446</v>
      </c>
      <c r="AF405" s="204" t="str">
        <f t="shared" si="601"/>
        <v>Former les personnels des organisations partenaires impliqués dans le projet et les membres des comités intervenant dans la réalisation ou la gestion de l'intervention sur l’atténuation des risques VBG, Gender et PSEA</v>
      </c>
      <c r="AG405" s="485">
        <f t="shared" ref="AG405:AG426" si="608">AI405/($AI405+$AK405)</f>
        <v>0.9</v>
      </c>
      <c r="AH405" s="485">
        <f t="shared" ref="AH405:AH426" si="609">AK405/($AI405+$AK405)</f>
        <v>9.9999999999999992E-2</v>
      </c>
      <c r="AI405" s="482">
        <f t="shared" si="573"/>
        <v>25831.8</v>
      </c>
      <c r="AJ405" s="482">
        <f t="shared" si="586"/>
        <v>0</v>
      </c>
      <c r="AK405" s="482">
        <f t="shared" si="574"/>
        <v>2870.2</v>
      </c>
      <c r="AL405" s="482">
        <f t="shared" si="560"/>
        <v>28702</v>
      </c>
      <c r="AM405" s="314">
        <f t="shared" si="597"/>
        <v>12915.9</v>
      </c>
      <c r="AN405" s="314">
        <f t="shared" si="598"/>
        <v>0</v>
      </c>
      <c r="AO405" s="314">
        <f t="shared" si="599"/>
        <v>12915.9</v>
      </c>
      <c r="AP405" s="314">
        <f t="shared" si="600"/>
        <v>0</v>
      </c>
    </row>
    <row r="406" spans="1:47" s="169" customFormat="1" x14ac:dyDescent="0.3">
      <c r="A406" s="509">
        <v>1</v>
      </c>
      <c r="B406" s="510" t="s">
        <v>1447</v>
      </c>
      <c r="C406" s="409" t="s">
        <v>401</v>
      </c>
      <c r="D406" s="536">
        <v>1500</v>
      </c>
      <c r="E406" s="411">
        <v>1</v>
      </c>
      <c r="F406" s="512">
        <v>9</v>
      </c>
      <c r="G406" s="503">
        <v>0.9</v>
      </c>
      <c r="H406" s="503">
        <v>0.1</v>
      </c>
      <c r="I406" s="416">
        <f t="shared" ref="I406:I409" si="610">D406*E406*F406*G406</f>
        <v>12150</v>
      </c>
      <c r="J406" s="487">
        <f>D406*E406*F406*H406</f>
        <v>1350</v>
      </c>
      <c r="K406" s="487">
        <f>I406*4/11</f>
        <v>4418.181818181818</v>
      </c>
      <c r="L406" s="487">
        <f>I406*4/11</f>
        <v>4418.181818181818</v>
      </c>
      <c r="M406" s="487">
        <f>I406*3/11</f>
        <v>3313.6363636363635</v>
      </c>
      <c r="N406" s="416">
        <v>0</v>
      </c>
      <c r="O406" s="507" t="s">
        <v>1448</v>
      </c>
      <c r="Q406" s="409" t="s">
        <v>401</v>
      </c>
      <c r="R406" s="536">
        <v>1500</v>
      </c>
      <c r="S406" s="411">
        <v>1</v>
      </c>
      <c r="T406" s="514">
        <v>9</v>
      </c>
      <c r="U406" s="503">
        <v>0.9</v>
      </c>
      <c r="V406" s="503">
        <v>0.1</v>
      </c>
      <c r="W406" s="506">
        <f t="shared" ref="W406:W409" si="611">R406*S406*T406*U406</f>
        <v>12150</v>
      </c>
      <c r="X406" s="487">
        <f t="shared" ref="X406:X409" si="612">R406*S406*T406*V406</f>
        <v>1350</v>
      </c>
      <c r="Y406" s="487">
        <f>W406*3/9</f>
        <v>4050</v>
      </c>
      <c r="Z406" s="487">
        <f>W406*3/9</f>
        <v>4050</v>
      </c>
      <c r="AA406" s="487">
        <f>W406*3/9</f>
        <v>4050</v>
      </c>
      <c r="AB406" s="416">
        <v>0</v>
      </c>
      <c r="AC406" s="507" t="s">
        <v>1448</v>
      </c>
      <c r="AD406" s="227"/>
      <c r="AE406" s="241">
        <v>1</v>
      </c>
      <c r="AF406" s="204" t="str">
        <f t="shared" si="601"/>
        <v>PSEA, Gender and Protection advisor</v>
      </c>
      <c r="AG406" s="486">
        <f t="shared" si="608"/>
        <v>0.9</v>
      </c>
      <c r="AH406" s="486">
        <f t="shared" si="609"/>
        <v>0.1</v>
      </c>
      <c r="AI406" s="506">
        <f t="shared" si="573"/>
        <v>24300</v>
      </c>
      <c r="AJ406" s="506">
        <f t="shared" si="586"/>
        <v>0</v>
      </c>
      <c r="AK406" s="487">
        <f t="shared" si="574"/>
        <v>2700</v>
      </c>
      <c r="AL406" s="487">
        <f t="shared" si="560"/>
        <v>27000</v>
      </c>
      <c r="AM406" s="316">
        <f t="shared" si="597"/>
        <v>12150</v>
      </c>
      <c r="AN406" s="316">
        <f t="shared" si="598"/>
        <v>0</v>
      </c>
      <c r="AO406" s="316">
        <f t="shared" si="599"/>
        <v>12150</v>
      </c>
      <c r="AP406" s="316">
        <f t="shared" si="600"/>
        <v>0</v>
      </c>
      <c r="AQ406" s="169" t="s">
        <v>898</v>
      </c>
      <c r="AR406" s="169" t="s">
        <v>516</v>
      </c>
    </row>
    <row r="407" spans="1:47" s="169" customFormat="1" x14ac:dyDescent="0.3">
      <c r="A407" s="509">
        <v>2</v>
      </c>
      <c r="B407" s="510" t="s">
        <v>421</v>
      </c>
      <c r="C407" s="409" t="s">
        <v>422</v>
      </c>
      <c r="D407" s="536">
        <v>100</v>
      </c>
      <c r="E407" s="411">
        <v>1</v>
      </c>
      <c r="F407" s="512">
        <v>2</v>
      </c>
      <c r="G407" s="503">
        <v>0.9</v>
      </c>
      <c r="H407" s="503">
        <v>0.1</v>
      </c>
      <c r="I407" s="416">
        <f t="shared" si="610"/>
        <v>180</v>
      </c>
      <c r="J407" s="487">
        <f>D407*E407*F407*H407</f>
        <v>20</v>
      </c>
      <c r="K407" s="487">
        <f>I407</f>
        <v>180</v>
      </c>
      <c r="L407" s="487"/>
      <c r="M407" s="487"/>
      <c r="N407" s="416">
        <v>0</v>
      </c>
      <c r="O407" s="507" t="s">
        <v>537</v>
      </c>
      <c r="Q407" s="409" t="s">
        <v>422</v>
      </c>
      <c r="R407" s="536">
        <v>100</v>
      </c>
      <c r="S407" s="411">
        <v>1</v>
      </c>
      <c r="T407" s="514">
        <v>2</v>
      </c>
      <c r="U407" s="503">
        <v>0.9</v>
      </c>
      <c r="V407" s="503">
        <v>0.1</v>
      </c>
      <c r="W407" s="506">
        <f t="shared" si="611"/>
        <v>180</v>
      </c>
      <c r="X407" s="487">
        <f t="shared" si="612"/>
        <v>20</v>
      </c>
      <c r="Y407" s="487">
        <f t="shared" ref="Y407:Y409" si="613">W407</f>
        <v>180</v>
      </c>
      <c r="Z407" s="487"/>
      <c r="AA407" s="487"/>
      <c r="AB407" s="416">
        <v>0</v>
      </c>
      <c r="AC407" s="417" t="s">
        <v>537</v>
      </c>
      <c r="AD407" s="227"/>
      <c r="AE407" s="241">
        <v>2</v>
      </c>
      <c r="AF407" s="204" t="str">
        <f t="shared" si="601"/>
        <v>Location salle</v>
      </c>
      <c r="AG407" s="486">
        <f t="shared" si="608"/>
        <v>0.9</v>
      </c>
      <c r="AH407" s="486">
        <f t="shared" si="609"/>
        <v>0.1</v>
      </c>
      <c r="AI407" s="506">
        <f t="shared" si="573"/>
        <v>360</v>
      </c>
      <c r="AJ407" s="506">
        <f t="shared" si="586"/>
        <v>0</v>
      </c>
      <c r="AK407" s="487">
        <f t="shared" si="574"/>
        <v>40</v>
      </c>
      <c r="AL407" s="487">
        <f t="shared" si="560"/>
        <v>400</v>
      </c>
      <c r="AM407" s="316">
        <f t="shared" si="597"/>
        <v>180</v>
      </c>
      <c r="AN407" s="316">
        <f t="shared" si="598"/>
        <v>0</v>
      </c>
      <c r="AO407" s="316">
        <f t="shared" si="599"/>
        <v>180</v>
      </c>
      <c r="AP407" s="316">
        <f t="shared" si="600"/>
        <v>0</v>
      </c>
      <c r="AQ407" s="169" t="s">
        <v>898</v>
      </c>
      <c r="AR407" s="169" t="s">
        <v>516</v>
      </c>
    </row>
    <row r="408" spans="1:47" s="169" customFormat="1" x14ac:dyDescent="0.3">
      <c r="A408" s="509">
        <v>3</v>
      </c>
      <c r="B408" s="510" t="s">
        <v>473</v>
      </c>
      <c r="C408" s="409" t="s">
        <v>90</v>
      </c>
      <c r="D408" s="536">
        <v>5</v>
      </c>
      <c r="E408" s="411">
        <v>93</v>
      </c>
      <c r="F408" s="512">
        <v>1</v>
      </c>
      <c r="G408" s="503">
        <v>0.9</v>
      </c>
      <c r="H408" s="503">
        <v>0.1</v>
      </c>
      <c r="I408" s="416">
        <f t="shared" si="610"/>
        <v>418.5</v>
      </c>
      <c r="J408" s="487">
        <f>D408*E408*F408*H408</f>
        <v>46.5</v>
      </c>
      <c r="K408" s="487">
        <f>I408</f>
        <v>418.5</v>
      </c>
      <c r="L408" s="487"/>
      <c r="M408" s="487"/>
      <c r="N408" s="416">
        <v>0</v>
      </c>
      <c r="O408" s="507" t="s">
        <v>538</v>
      </c>
      <c r="Q408" s="409" t="s">
        <v>90</v>
      </c>
      <c r="R408" s="536">
        <v>5</v>
      </c>
      <c r="S408" s="411">
        <v>93</v>
      </c>
      <c r="T408" s="514">
        <v>1</v>
      </c>
      <c r="U408" s="503">
        <v>0.9</v>
      </c>
      <c r="V408" s="503">
        <v>0.1</v>
      </c>
      <c r="W408" s="506">
        <f t="shared" si="611"/>
        <v>418.5</v>
      </c>
      <c r="X408" s="487">
        <f t="shared" si="612"/>
        <v>46.5</v>
      </c>
      <c r="Y408" s="487">
        <f t="shared" si="613"/>
        <v>418.5</v>
      </c>
      <c r="Z408" s="487"/>
      <c r="AA408" s="487"/>
      <c r="AB408" s="416">
        <v>0</v>
      </c>
      <c r="AC408" s="417" t="s">
        <v>538</v>
      </c>
      <c r="AD408" s="227"/>
      <c r="AE408" s="241">
        <v>3</v>
      </c>
      <c r="AF408" s="204" t="str">
        <f t="shared" si="601"/>
        <v>Pause repas</v>
      </c>
      <c r="AG408" s="486">
        <f t="shared" si="608"/>
        <v>0.9</v>
      </c>
      <c r="AH408" s="486">
        <f t="shared" si="609"/>
        <v>0.1</v>
      </c>
      <c r="AI408" s="506">
        <f t="shared" si="573"/>
        <v>837</v>
      </c>
      <c r="AJ408" s="506">
        <f t="shared" si="586"/>
        <v>0</v>
      </c>
      <c r="AK408" s="487">
        <f t="shared" si="574"/>
        <v>93</v>
      </c>
      <c r="AL408" s="487">
        <f t="shared" si="560"/>
        <v>930</v>
      </c>
      <c r="AM408" s="316">
        <f t="shared" si="597"/>
        <v>418.5</v>
      </c>
      <c r="AN408" s="316">
        <f t="shared" si="598"/>
        <v>0</v>
      </c>
      <c r="AO408" s="316">
        <f t="shared" si="599"/>
        <v>418.5</v>
      </c>
      <c r="AP408" s="316">
        <f t="shared" si="600"/>
        <v>0</v>
      </c>
      <c r="AQ408" s="169" t="s">
        <v>898</v>
      </c>
      <c r="AR408" s="169" t="s">
        <v>516</v>
      </c>
    </row>
    <row r="409" spans="1:47" s="169" customFormat="1" x14ac:dyDescent="0.3">
      <c r="A409" s="509">
        <v>4</v>
      </c>
      <c r="B409" s="510" t="s">
        <v>454</v>
      </c>
      <c r="C409" s="409" t="s">
        <v>90</v>
      </c>
      <c r="D409" s="536">
        <v>2</v>
      </c>
      <c r="E409" s="411">
        <v>93</v>
      </c>
      <c r="F409" s="512">
        <v>1</v>
      </c>
      <c r="G409" s="503">
        <v>0.9</v>
      </c>
      <c r="H409" s="503">
        <v>0.1</v>
      </c>
      <c r="I409" s="416">
        <f t="shared" si="610"/>
        <v>167.4</v>
      </c>
      <c r="J409" s="487">
        <f>D409*E409*F409*H409</f>
        <v>18.600000000000001</v>
      </c>
      <c r="K409" s="487">
        <f>I409</f>
        <v>167.4</v>
      </c>
      <c r="L409" s="487"/>
      <c r="M409" s="487"/>
      <c r="N409" s="416">
        <v>0</v>
      </c>
      <c r="O409" s="507" t="s">
        <v>538</v>
      </c>
      <c r="Q409" s="409" t="s">
        <v>90</v>
      </c>
      <c r="R409" s="536">
        <v>2</v>
      </c>
      <c r="S409" s="411">
        <v>93</v>
      </c>
      <c r="T409" s="514">
        <v>1</v>
      </c>
      <c r="U409" s="503">
        <v>0.9</v>
      </c>
      <c r="V409" s="503">
        <v>0.1</v>
      </c>
      <c r="W409" s="506">
        <f t="shared" si="611"/>
        <v>167.4</v>
      </c>
      <c r="X409" s="487">
        <f t="shared" si="612"/>
        <v>18.600000000000001</v>
      </c>
      <c r="Y409" s="487">
        <f t="shared" si="613"/>
        <v>167.4</v>
      </c>
      <c r="Z409" s="487"/>
      <c r="AA409" s="487"/>
      <c r="AB409" s="416">
        <v>0</v>
      </c>
      <c r="AC409" s="417" t="s">
        <v>538</v>
      </c>
      <c r="AD409" s="227"/>
      <c r="AE409" s="241">
        <v>4</v>
      </c>
      <c r="AF409" s="204" t="str">
        <f t="shared" si="601"/>
        <v>Pause café</v>
      </c>
      <c r="AG409" s="486">
        <f t="shared" si="608"/>
        <v>0.9</v>
      </c>
      <c r="AH409" s="486">
        <f t="shared" si="609"/>
        <v>0.1</v>
      </c>
      <c r="AI409" s="506">
        <f t="shared" si="573"/>
        <v>334.8</v>
      </c>
      <c r="AJ409" s="506">
        <f t="shared" si="586"/>
        <v>0</v>
      </c>
      <c r="AK409" s="487">
        <f t="shared" si="574"/>
        <v>37.200000000000003</v>
      </c>
      <c r="AL409" s="487">
        <f t="shared" si="560"/>
        <v>372</v>
      </c>
      <c r="AM409" s="316">
        <f t="shared" si="597"/>
        <v>167.4</v>
      </c>
      <c r="AN409" s="316">
        <f t="shared" si="598"/>
        <v>0</v>
      </c>
      <c r="AO409" s="316">
        <f t="shared" si="599"/>
        <v>167.4</v>
      </c>
      <c r="AP409" s="316">
        <f t="shared" si="600"/>
        <v>0</v>
      </c>
      <c r="AQ409" s="169" t="s">
        <v>898</v>
      </c>
      <c r="AR409" s="169" t="s">
        <v>516</v>
      </c>
    </row>
    <row r="410" spans="1:47" ht="12.75" customHeight="1" x14ac:dyDescent="0.3">
      <c r="A410" s="480" t="s">
        <v>1449</v>
      </c>
      <c r="B410" s="861" t="s">
        <v>1450</v>
      </c>
      <c r="C410" s="862"/>
      <c r="D410" s="862"/>
      <c r="E410" s="862"/>
      <c r="F410" s="862"/>
      <c r="G410" s="862"/>
      <c r="H410" s="863"/>
      <c r="I410" s="481"/>
      <c r="J410" s="482"/>
      <c r="K410" s="482"/>
      <c r="L410" s="482"/>
      <c r="M410" s="482"/>
      <c r="N410" s="481"/>
      <c r="O410" s="508"/>
      <c r="Q410" s="538"/>
      <c r="R410" s="539"/>
      <c r="S410" s="538"/>
      <c r="T410" s="539"/>
      <c r="U410" s="539"/>
      <c r="V410" s="484"/>
      <c r="W410" s="482"/>
      <c r="X410" s="482"/>
      <c r="Y410" s="482"/>
      <c r="Z410" s="482"/>
      <c r="AA410" s="482"/>
      <c r="AB410" s="481"/>
      <c r="AC410" s="508"/>
      <c r="AD410" s="234"/>
      <c r="AE410" s="247" t="s">
        <v>1449</v>
      </c>
      <c r="AF410" s="204" t="str">
        <f t="shared" si="601"/>
        <v>Faire signer le code de conduite sur les VBG, Gender et PSEA par les acteurs impliqués dans la gestion du projet</v>
      </c>
      <c r="AG410" s="485"/>
      <c r="AH410" s="485"/>
      <c r="AI410" s="482">
        <f t="shared" si="573"/>
        <v>0</v>
      </c>
      <c r="AJ410" s="482">
        <f t="shared" si="586"/>
        <v>0</v>
      </c>
      <c r="AK410" s="482">
        <f t="shared" si="574"/>
        <v>0</v>
      </c>
      <c r="AL410" s="482">
        <f t="shared" si="560"/>
        <v>0</v>
      </c>
      <c r="AM410" s="314">
        <f t="shared" si="597"/>
        <v>0</v>
      </c>
      <c r="AN410" s="314">
        <f t="shared" si="598"/>
        <v>0</v>
      </c>
      <c r="AO410" s="314">
        <f t="shared" si="599"/>
        <v>0</v>
      </c>
      <c r="AP410" s="314">
        <f t="shared" si="600"/>
        <v>0</v>
      </c>
    </row>
    <row r="411" spans="1:47" s="169" customFormat="1" x14ac:dyDescent="0.3">
      <c r="A411" s="509">
        <v>1</v>
      </c>
      <c r="B411" s="510" t="s">
        <v>1451</v>
      </c>
      <c r="C411" s="409" t="s">
        <v>423</v>
      </c>
      <c r="D411" s="536"/>
      <c r="E411" s="411"/>
      <c r="F411" s="512"/>
      <c r="G411" s="486"/>
      <c r="H411" s="486"/>
      <c r="I411" s="416"/>
      <c r="J411" s="487"/>
      <c r="K411" s="487"/>
      <c r="L411" s="487"/>
      <c r="M411" s="487"/>
      <c r="N411" s="416">
        <v>0</v>
      </c>
      <c r="O411" s="518" t="s">
        <v>1452</v>
      </c>
      <c r="Q411" s="409" t="s">
        <v>423</v>
      </c>
      <c r="R411" s="516"/>
      <c r="S411" s="411"/>
      <c r="T411" s="514"/>
      <c r="U411" s="486"/>
      <c r="V411" s="486"/>
      <c r="W411" s="506"/>
      <c r="X411" s="487"/>
      <c r="Y411" s="487"/>
      <c r="Z411" s="487"/>
      <c r="AA411" s="487"/>
      <c r="AB411" s="416">
        <v>0</v>
      </c>
      <c r="AC411" s="518" t="s">
        <v>1452</v>
      </c>
      <c r="AD411" s="235"/>
      <c r="AE411" s="237">
        <v>1</v>
      </c>
      <c r="AF411" s="204" t="str">
        <f t="shared" si="601"/>
        <v>Faire signer le code de conduite par les parties prenantes du projet</v>
      </c>
      <c r="AG411" s="486"/>
      <c r="AH411" s="486"/>
      <c r="AI411" s="506">
        <f t="shared" si="573"/>
        <v>0</v>
      </c>
      <c r="AJ411" s="506">
        <f t="shared" si="586"/>
        <v>0</v>
      </c>
      <c r="AK411" s="487">
        <f t="shared" ref="AK411:AK442" si="614">J411+X411</f>
        <v>0</v>
      </c>
      <c r="AL411" s="487">
        <f t="shared" si="560"/>
        <v>0</v>
      </c>
      <c r="AM411" s="316">
        <f t="shared" si="597"/>
        <v>0</v>
      </c>
      <c r="AN411" s="316">
        <f t="shared" si="598"/>
        <v>0</v>
      </c>
      <c r="AO411" s="316">
        <f t="shared" si="599"/>
        <v>0</v>
      </c>
      <c r="AP411" s="316">
        <f t="shared" si="600"/>
        <v>0</v>
      </c>
      <c r="AQ411" s="169" t="s">
        <v>898</v>
      </c>
      <c r="AR411" s="169" t="s">
        <v>516</v>
      </c>
    </row>
    <row r="412" spans="1:47" ht="12.75" customHeight="1" x14ac:dyDescent="0.3">
      <c r="A412" s="480" t="s">
        <v>1453</v>
      </c>
      <c r="B412" s="861" t="s">
        <v>1454</v>
      </c>
      <c r="C412" s="862"/>
      <c r="D412" s="862"/>
      <c r="E412" s="862"/>
      <c r="F412" s="862"/>
      <c r="G412" s="862"/>
      <c r="H412" s="863"/>
      <c r="I412" s="481">
        <f>SUM(I413)</f>
        <v>4040</v>
      </c>
      <c r="J412" s="482">
        <f t="shared" ref="J412:M412" si="615">SUM(J413)</f>
        <v>0</v>
      </c>
      <c r="K412" s="482">
        <f t="shared" si="615"/>
        <v>4040</v>
      </c>
      <c r="L412" s="482">
        <f t="shared" si="615"/>
        <v>0</v>
      </c>
      <c r="M412" s="482">
        <f t="shared" si="615"/>
        <v>0</v>
      </c>
      <c r="N412" s="481">
        <f>SUM(N413)</f>
        <v>0</v>
      </c>
      <c r="O412" s="508"/>
      <c r="Q412" s="538"/>
      <c r="R412" s="539"/>
      <c r="S412" s="538"/>
      <c r="T412" s="539"/>
      <c r="U412" s="539"/>
      <c r="V412" s="484"/>
      <c r="W412" s="482">
        <f>SUM(W413)</f>
        <v>0</v>
      </c>
      <c r="X412" s="482">
        <f t="shared" ref="X412:Y412" si="616">SUM(X413)</f>
        <v>0</v>
      </c>
      <c r="Y412" s="482">
        <f t="shared" si="616"/>
        <v>0</v>
      </c>
      <c r="Z412" s="482"/>
      <c r="AA412" s="482"/>
      <c r="AB412" s="481">
        <f>SUM(AB413)</f>
        <v>0</v>
      </c>
      <c r="AC412" s="508"/>
      <c r="AD412" s="234"/>
      <c r="AE412" s="247" t="s">
        <v>1453</v>
      </c>
      <c r="AF412" s="204" t="str">
        <f t="shared" si="601"/>
        <v>Mettre les affiches PSEA contenant les informations sur les actes proscrites et les mécanismes de plainte dans tous les sites du projet</v>
      </c>
      <c r="AG412" s="485">
        <f t="shared" si="608"/>
        <v>1</v>
      </c>
      <c r="AH412" s="485">
        <f t="shared" si="609"/>
        <v>0</v>
      </c>
      <c r="AI412" s="482">
        <f t="shared" si="573"/>
        <v>4040</v>
      </c>
      <c r="AJ412" s="482">
        <f t="shared" si="586"/>
        <v>0</v>
      </c>
      <c r="AK412" s="482">
        <f t="shared" si="614"/>
        <v>0</v>
      </c>
      <c r="AL412" s="482">
        <f t="shared" si="560"/>
        <v>4040</v>
      </c>
      <c r="AM412" s="314">
        <f t="shared" si="597"/>
        <v>4040</v>
      </c>
      <c r="AN412" s="314">
        <f t="shared" si="598"/>
        <v>0</v>
      </c>
      <c r="AO412" s="314">
        <f t="shared" si="599"/>
        <v>0</v>
      </c>
      <c r="AP412" s="314">
        <f t="shared" si="600"/>
        <v>0</v>
      </c>
    </row>
    <row r="413" spans="1:47" s="186" customFormat="1" ht="26" x14ac:dyDescent="0.3">
      <c r="A413" s="561">
        <v>1</v>
      </c>
      <c r="B413" s="562" t="s">
        <v>1455</v>
      </c>
      <c r="C413" s="562" t="s">
        <v>103</v>
      </c>
      <c r="D413" s="410">
        <v>1</v>
      </c>
      <c r="E413" s="411">
        <v>4040</v>
      </c>
      <c r="F413" s="412">
        <v>1</v>
      </c>
      <c r="G413" s="486">
        <v>1</v>
      </c>
      <c r="H413" s="486">
        <f>100%-G413</f>
        <v>0</v>
      </c>
      <c r="I413" s="416">
        <f t="shared" ref="I413" si="617">D413*E413*F413*G413</f>
        <v>4040</v>
      </c>
      <c r="J413" s="487">
        <f>D413*E413*F413*H413</f>
        <v>0</v>
      </c>
      <c r="K413" s="487">
        <f>I413</f>
        <v>4040</v>
      </c>
      <c r="L413" s="487"/>
      <c r="M413" s="487"/>
      <c r="N413" s="416">
        <v>0</v>
      </c>
      <c r="O413" s="518" t="s">
        <v>1456</v>
      </c>
      <c r="Q413" s="562" t="s">
        <v>103</v>
      </c>
      <c r="R413" s="418">
        <v>0</v>
      </c>
      <c r="S413" s="411">
        <v>0</v>
      </c>
      <c r="T413" s="411">
        <v>1</v>
      </c>
      <c r="U413" s="486">
        <v>1</v>
      </c>
      <c r="V413" s="486">
        <f t="shared" ref="V413" si="618">100%-U413</f>
        <v>0</v>
      </c>
      <c r="W413" s="506">
        <f t="shared" ref="W413" si="619">R413*S413*T413*U413</f>
        <v>0</v>
      </c>
      <c r="X413" s="487">
        <f t="shared" ref="X413" si="620">R413*S413*T413*V413</f>
        <v>0</v>
      </c>
      <c r="Y413" s="487">
        <f t="shared" ref="Y413" si="621">W413</f>
        <v>0</v>
      </c>
      <c r="Z413" s="487"/>
      <c r="AA413" s="487"/>
      <c r="AB413" s="416">
        <v>0</v>
      </c>
      <c r="AC413" s="563"/>
      <c r="AD413" s="239"/>
      <c r="AE413" s="237">
        <v>1</v>
      </c>
      <c r="AF413" s="204" t="str">
        <f t="shared" si="601"/>
        <v>Production des affiches</v>
      </c>
      <c r="AG413" s="486">
        <f t="shared" si="608"/>
        <v>1</v>
      </c>
      <c r="AH413" s="486">
        <f t="shared" si="609"/>
        <v>0</v>
      </c>
      <c r="AI413" s="506">
        <f t="shared" si="573"/>
        <v>4040</v>
      </c>
      <c r="AJ413" s="506">
        <f t="shared" si="586"/>
        <v>0</v>
      </c>
      <c r="AK413" s="487">
        <f t="shared" si="614"/>
        <v>0</v>
      </c>
      <c r="AL413" s="487">
        <f t="shared" si="560"/>
        <v>4040</v>
      </c>
      <c r="AM413" s="316">
        <f t="shared" si="597"/>
        <v>4040</v>
      </c>
      <c r="AN413" s="316">
        <f t="shared" si="598"/>
        <v>0</v>
      </c>
      <c r="AO413" s="316">
        <f t="shared" si="599"/>
        <v>0</v>
      </c>
      <c r="AP413" s="316">
        <f t="shared" si="600"/>
        <v>0</v>
      </c>
      <c r="AQ413" s="186" t="s">
        <v>898</v>
      </c>
      <c r="AR413" s="169" t="s">
        <v>516</v>
      </c>
    </row>
    <row r="414" spans="1:47" s="182" customFormat="1" ht="25.5" customHeight="1" x14ac:dyDescent="0.35">
      <c r="A414" s="480" t="s">
        <v>1457</v>
      </c>
      <c r="B414" s="861" t="s">
        <v>1458</v>
      </c>
      <c r="C414" s="862"/>
      <c r="D414" s="862"/>
      <c r="E414" s="862"/>
      <c r="F414" s="862"/>
      <c r="G414" s="862"/>
      <c r="H414" s="863"/>
      <c r="I414" s="481">
        <f t="shared" ref="I414:N414" si="622">SUM(I415:I422)</f>
        <v>8560.35</v>
      </c>
      <c r="J414" s="482">
        <f t="shared" si="622"/>
        <v>951.15</v>
      </c>
      <c r="K414" s="482">
        <f t="shared" si="622"/>
        <v>8560.35</v>
      </c>
      <c r="L414" s="482">
        <f t="shared" si="622"/>
        <v>0</v>
      </c>
      <c r="M414" s="482">
        <f t="shared" si="622"/>
        <v>0</v>
      </c>
      <c r="N414" s="481">
        <f t="shared" si="622"/>
        <v>0</v>
      </c>
      <c r="O414" s="508"/>
      <c r="Q414" s="538"/>
      <c r="R414" s="538"/>
      <c r="S414" s="538"/>
      <c r="T414" s="538"/>
      <c r="U414" s="538"/>
      <c r="V414" s="484"/>
      <c r="W414" s="482">
        <f t="shared" ref="W414:Y414" si="623">SUM(W415:W422)</f>
        <v>7138.8</v>
      </c>
      <c r="X414" s="482">
        <f t="shared" si="623"/>
        <v>793.2</v>
      </c>
      <c r="Y414" s="482">
        <f t="shared" si="623"/>
        <v>3569.4</v>
      </c>
      <c r="Z414" s="482">
        <f t="shared" ref="Z414:AB414" si="624">SUM(Z415:Z422)</f>
        <v>3569.4</v>
      </c>
      <c r="AA414" s="482">
        <f t="shared" si="624"/>
        <v>0</v>
      </c>
      <c r="AB414" s="481">
        <f t="shared" si="624"/>
        <v>0</v>
      </c>
      <c r="AC414" s="508"/>
      <c r="AD414" s="234"/>
      <c r="AE414" s="247" t="s">
        <v>1457</v>
      </c>
      <c r="AF414" s="204" t="str">
        <f t="shared" si="601"/>
        <v xml:space="preserve">Identifier ou mettre en place des mécanismes de feedback et de plainte, y compris de signalement d’exploitations et d'abus sexuels (téléphone, courriel, mécanismes communautaires surtout en personne, ou autre). </v>
      </c>
      <c r="AG414" s="485">
        <f t="shared" si="608"/>
        <v>0.90000000000000013</v>
      </c>
      <c r="AH414" s="485">
        <f t="shared" si="609"/>
        <v>9.9999999999999992E-2</v>
      </c>
      <c r="AI414" s="482">
        <f t="shared" si="573"/>
        <v>15699.150000000001</v>
      </c>
      <c r="AJ414" s="482">
        <f t="shared" si="586"/>
        <v>0</v>
      </c>
      <c r="AK414" s="482">
        <f t="shared" si="614"/>
        <v>1744.35</v>
      </c>
      <c r="AL414" s="482">
        <f t="shared" si="560"/>
        <v>17443.5</v>
      </c>
      <c r="AM414" s="314">
        <f t="shared" si="597"/>
        <v>8560.35</v>
      </c>
      <c r="AN414" s="314">
        <f t="shared" si="598"/>
        <v>0</v>
      </c>
      <c r="AO414" s="314">
        <f t="shared" si="599"/>
        <v>7138.8</v>
      </c>
      <c r="AP414" s="314">
        <f t="shared" si="600"/>
        <v>0</v>
      </c>
    </row>
    <row r="415" spans="1:47" s="186" customFormat="1" ht="26" x14ac:dyDescent="0.3">
      <c r="A415" s="561">
        <v>1</v>
      </c>
      <c r="B415" s="562" t="s">
        <v>1459</v>
      </c>
      <c r="C415" s="562" t="s">
        <v>103</v>
      </c>
      <c r="D415" s="565">
        <v>404</v>
      </c>
      <c r="E415" s="411">
        <v>10</v>
      </c>
      <c r="F415" s="412">
        <v>1</v>
      </c>
      <c r="G415" s="503">
        <v>0.9</v>
      </c>
      <c r="H415" s="503">
        <v>0.1</v>
      </c>
      <c r="I415" s="416">
        <f t="shared" ref="I415:I422" si="625">D415*E415*F415*G415</f>
        <v>3636</v>
      </c>
      <c r="J415" s="487">
        <f t="shared" ref="J415:J422" si="626">D415*E415*F415*H415</f>
        <v>404</v>
      </c>
      <c r="K415" s="487">
        <f t="shared" ref="K415:K422" si="627">I415</f>
        <v>3636</v>
      </c>
      <c r="L415" s="487"/>
      <c r="M415" s="487"/>
      <c r="N415" s="416">
        <v>0</v>
      </c>
      <c r="O415" s="417" t="s">
        <v>1460</v>
      </c>
      <c r="Q415" s="562" t="s">
        <v>103</v>
      </c>
      <c r="R415" s="418">
        <v>10</v>
      </c>
      <c r="S415" s="411">
        <v>0</v>
      </c>
      <c r="T415" s="411">
        <v>1</v>
      </c>
      <c r="U415" s="503">
        <v>0.9</v>
      </c>
      <c r="V415" s="503">
        <v>0.1</v>
      </c>
      <c r="W415" s="506">
        <f t="shared" ref="W415:W422" si="628">R415*S415*T415*U415</f>
        <v>0</v>
      </c>
      <c r="X415" s="487">
        <f t="shared" ref="X415:X422" si="629">R415*S415*T415*V415</f>
        <v>0</v>
      </c>
      <c r="Y415" s="487">
        <f t="shared" ref="Y415:Y422" si="630">W415*50/100</f>
        <v>0</v>
      </c>
      <c r="Z415" s="487">
        <f t="shared" ref="Z415:Z422" si="631">W415*50/100</f>
        <v>0</v>
      </c>
      <c r="AA415" s="487"/>
      <c r="AB415" s="416">
        <v>0</v>
      </c>
      <c r="AC415" s="417" t="s">
        <v>1460</v>
      </c>
      <c r="AD415" s="227"/>
      <c r="AE415" s="241">
        <v>2</v>
      </c>
      <c r="AF415" s="204" t="str">
        <f t="shared" si="601"/>
        <v>Fabrication des boites à suggestions et plaintes</v>
      </c>
      <c r="AG415" s="486">
        <f t="shared" si="608"/>
        <v>0.9</v>
      </c>
      <c r="AH415" s="486">
        <f t="shared" si="609"/>
        <v>0.1</v>
      </c>
      <c r="AI415" s="506">
        <f t="shared" si="573"/>
        <v>3636</v>
      </c>
      <c r="AJ415" s="506">
        <f t="shared" si="586"/>
        <v>0</v>
      </c>
      <c r="AK415" s="487">
        <f t="shared" si="614"/>
        <v>404</v>
      </c>
      <c r="AL415" s="487">
        <f t="shared" si="560"/>
        <v>4040</v>
      </c>
      <c r="AM415" s="316">
        <f t="shared" si="597"/>
        <v>3636</v>
      </c>
      <c r="AN415" s="316">
        <f t="shared" si="598"/>
        <v>0</v>
      </c>
      <c r="AO415" s="316">
        <f t="shared" si="599"/>
        <v>0</v>
      </c>
      <c r="AP415" s="316">
        <f t="shared" si="600"/>
        <v>0</v>
      </c>
      <c r="AQ415" s="186" t="s">
        <v>898</v>
      </c>
      <c r="AR415" s="169" t="s">
        <v>516</v>
      </c>
    </row>
    <row r="416" spans="1:47" s="186" customFormat="1" ht="18.75" customHeight="1" x14ac:dyDescent="0.3">
      <c r="A416" s="561">
        <v>2</v>
      </c>
      <c r="B416" s="562" t="s">
        <v>1461</v>
      </c>
      <c r="C416" s="562" t="s">
        <v>419</v>
      </c>
      <c r="D416" s="565">
        <v>0</v>
      </c>
      <c r="E416" s="411">
        <v>292</v>
      </c>
      <c r="F416" s="412">
        <v>2</v>
      </c>
      <c r="G416" s="503">
        <v>0.9</v>
      </c>
      <c r="H416" s="503">
        <v>0.1</v>
      </c>
      <c r="I416" s="416">
        <f t="shared" si="625"/>
        <v>0</v>
      </c>
      <c r="J416" s="487">
        <f t="shared" si="626"/>
        <v>0</v>
      </c>
      <c r="K416" s="487">
        <f t="shared" si="627"/>
        <v>0</v>
      </c>
      <c r="L416" s="487"/>
      <c r="M416" s="487"/>
      <c r="N416" s="416">
        <v>0</v>
      </c>
      <c r="O416" s="417" t="s">
        <v>1452</v>
      </c>
      <c r="Q416" s="562" t="s">
        <v>419</v>
      </c>
      <c r="R416" s="418"/>
      <c r="S416" s="411">
        <v>292</v>
      </c>
      <c r="T416" s="411">
        <v>2</v>
      </c>
      <c r="U416" s="503">
        <v>0.9</v>
      </c>
      <c r="V416" s="503">
        <v>0.1</v>
      </c>
      <c r="W416" s="506">
        <f t="shared" si="628"/>
        <v>0</v>
      </c>
      <c r="X416" s="487">
        <f t="shared" si="629"/>
        <v>0</v>
      </c>
      <c r="Y416" s="487">
        <f t="shared" si="630"/>
        <v>0</v>
      </c>
      <c r="Z416" s="487">
        <f t="shared" si="631"/>
        <v>0</v>
      </c>
      <c r="AA416" s="487"/>
      <c r="AB416" s="416">
        <v>0</v>
      </c>
      <c r="AC416" s="417" t="s">
        <v>1452</v>
      </c>
      <c r="AD416" s="227"/>
      <c r="AE416" s="241">
        <v>3</v>
      </c>
      <c r="AF416" s="204" t="str">
        <f t="shared" si="601"/>
        <v>Identification parmi les membres des CAC des points focaux VBGS dans les villages cibles/</v>
      </c>
      <c r="AG416" s="486"/>
      <c r="AH416" s="486"/>
      <c r="AI416" s="506">
        <f t="shared" si="573"/>
        <v>0</v>
      </c>
      <c r="AJ416" s="506">
        <f t="shared" si="586"/>
        <v>0</v>
      </c>
      <c r="AK416" s="487">
        <f t="shared" si="614"/>
        <v>0</v>
      </c>
      <c r="AL416" s="487">
        <f t="shared" si="560"/>
        <v>0</v>
      </c>
      <c r="AM416" s="316">
        <f t="shared" si="597"/>
        <v>0</v>
      </c>
      <c r="AN416" s="316">
        <f t="shared" si="598"/>
        <v>0</v>
      </c>
      <c r="AO416" s="316">
        <f t="shared" si="599"/>
        <v>0</v>
      </c>
      <c r="AP416" s="316">
        <f t="shared" si="600"/>
        <v>0</v>
      </c>
      <c r="AQ416" s="186" t="s">
        <v>898</v>
      </c>
      <c r="AR416" s="169" t="s">
        <v>516</v>
      </c>
    </row>
    <row r="417" spans="1:44" s="186" customFormat="1" ht="39" x14ac:dyDescent="0.3">
      <c r="A417" s="561">
        <v>3</v>
      </c>
      <c r="B417" s="562" t="s">
        <v>1462</v>
      </c>
      <c r="C417" s="562" t="s">
        <v>422</v>
      </c>
      <c r="D417" s="565">
        <v>50</v>
      </c>
      <c r="E417" s="411">
        <v>6</v>
      </c>
      <c r="F417" s="412">
        <v>1</v>
      </c>
      <c r="G417" s="503">
        <v>0.9</v>
      </c>
      <c r="H417" s="503">
        <v>0.1</v>
      </c>
      <c r="I417" s="416">
        <f t="shared" si="625"/>
        <v>270</v>
      </c>
      <c r="J417" s="487">
        <f t="shared" si="626"/>
        <v>30</v>
      </c>
      <c r="K417" s="487">
        <f t="shared" si="627"/>
        <v>270</v>
      </c>
      <c r="L417" s="487"/>
      <c r="M417" s="487"/>
      <c r="N417" s="416">
        <v>0</v>
      </c>
      <c r="O417" s="417" t="s">
        <v>1463</v>
      </c>
      <c r="Q417" s="562" t="s">
        <v>422</v>
      </c>
      <c r="R417" s="565">
        <v>50</v>
      </c>
      <c r="S417" s="411">
        <v>6</v>
      </c>
      <c r="T417" s="411">
        <v>1</v>
      </c>
      <c r="U417" s="503">
        <v>0.9</v>
      </c>
      <c r="V417" s="503">
        <v>0.1</v>
      </c>
      <c r="W417" s="506">
        <f t="shared" si="628"/>
        <v>270</v>
      </c>
      <c r="X417" s="487">
        <f t="shared" si="629"/>
        <v>30</v>
      </c>
      <c r="Y417" s="487">
        <f t="shared" si="630"/>
        <v>135</v>
      </c>
      <c r="Z417" s="487">
        <f t="shared" si="631"/>
        <v>135</v>
      </c>
      <c r="AA417" s="487"/>
      <c r="AB417" s="416">
        <v>0</v>
      </c>
      <c r="AC417" s="417" t="s">
        <v>1463</v>
      </c>
      <c r="AD417" s="227"/>
      <c r="AE417" s="241">
        <v>4</v>
      </c>
      <c r="AF417" s="204" t="str">
        <f t="shared" si="601"/>
        <v>Location salle 6</v>
      </c>
      <c r="AG417" s="486">
        <f t="shared" si="608"/>
        <v>0.9</v>
      </c>
      <c r="AH417" s="486">
        <f t="shared" si="609"/>
        <v>0.1</v>
      </c>
      <c r="AI417" s="506">
        <f t="shared" si="573"/>
        <v>540</v>
      </c>
      <c r="AJ417" s="506">
        <f t="shared" si="586"/>
        <v>0</v>
      </c>
      <c r="AK417" s="487">
        <f t="shared" si="614"/>
        <v>60</v>
      </c>
      <c r="AL417" s="487">
        <f t="shared" si="560"/>
        <v>600</v>
      </c>
      <c r="AM417" s="316">
        <f t="shared" si="597"/>
        <v>270</v>
      </c>
      <c r="AN417" s="316">
        <f t="shared" si="598"/>
        <v>0</v>
      </c>
      <c r="AO417" s="316">
        <f t="shared" si="599"/>
        <v>270</v>
      </c>
      <c r="AP417" s="316">
        <f t="shared" si="600"/>
        <v>0</v>
      </c>
      <c r="AQ417" s="186" t="s">
        <v>898</v>
      </c>
      <c r="AR417" s="169" t="s">
        <v>516</v>
      </c>
    </row>
    <row r="418" spans="1:44" s="186" customFormat="1" ht="39" x14ac:dyDescent="0.3">
      <c r="A418" s="561">
        <v>4</v>
      </c>
      <c r="B418" s="562" t="s">
        <v>1464</v>
      </c>
      <c r="C418" s="562" t="s">
        <v>90</v>
      </c>
      <c r="D418" s="565">
        <v>5</v>
      </c>
      <c r="E418" s="411">
        <v>292</v>
      </c>
      <c r="F418" s="412">
        <v>1</v>
      </c>
      <c r="G418" s="503">
        <v>0.9</v>
      </c>
      <c r="H418" s="503">
        <v>0.1</v>
      </c>
      <c r="I418" s="416">
        <f t="shared" si="625"/>
        <v>1314</v>
      </c>
      <c r="J418" s="487">
        <f t="shared" si="626"/>
        <v>146</v>
      </c>
      <c r="K418" s="487">
        <f t="shared" si="627"/>
        <v>1314</v>
      </c>
      <c r="L418" s="487"/>
      <c r="M418" s="487"/>
      <c r="N418" s="416">
        <v>0</v>
      </c>
      <c r="O418" s="417" t="s">
        <v>1463</v>
      </c>
      <c r="Q418" s="562" t="s">
        <v>90</v>
      </c>
      <c r="R418" s="565">
        <v>5</v>
      </c>
      <c r="S418" s="411">
        <v>516</v>
      </c>
      <c r="T418" s="411">
        <v>1</v>
      </c>
      <c r="U418" s="503">
        <v>0.9</v>
      </c>
      <c r="V418" s="503">
        <v>0.1</v>
      </c>
      <c r="W418" s="506">
        <f t="shared" si="628"/>
        <v>2322</v>
      </c>
      <c r="X418" s="487">
        <f t="shared" si="629"/>
        <v>258</v>
      </c>
      <c r="Y418" s="487">
        <f t="shared" si="630"/>
        <v>1161</v>
      </c>
      <c r="Z418" s="487">
        <f t="shared" si="631"/>
        <v>1161</v>
      </c>
      <c r="AA418" s="487"/>
      <c r="AB418" s="416">
        <v>0</v>
      </c>
      <c r="AC418" s="417" t="s">
        <v>1463</v>
      </c>
      <c r="AD418" s="227"/>
      <c r="AE418" s="241">
        <v>5</v>
      </c>
      <c r="AF418" s="204" t="str">
        <f t="shared" si="601"/>
        <v>Pause repas 292</v>
      </c>
      <c r="AG418" s="486">
        <f t="shared" si="608"/>
        <v>0.9</v>
      </c>
      <c r="AH418" s="486">
        <f t="shared" si="609"/>
        <v>0.1</v>
      </c>
      <c r="AI418" s="506">
        <f t="shared" si="573"/>
        <v>3636</v>
      </c>
      <c r="AJ418" s="506">
        <f t="shared" si="586"/>
        <v>0</v>
      </c>
      <c r="AK418" s="487">
        <f t="shared" si="614"/>
        <v>404</v>
      </c>
      <c r="AL418" s="487">
        <f t="shared" si="560"/>
        <v>4040</v>
      </c>
      <c r="AM418" s="316">
        <f t="shared" si="597"/>
        <v>1314</v>
      </c>
      <c r="AN418" s="316">
        <f t="shared" si="598"/>
        <v>0</v>
      </c>
      <c r="AO418" s="316">
        <f t="shared" si="599"/>
        <v>2322</v>
      </c>
      <c r="AP418" s="316">
        <f t="shared" si="600"/>
        <v>0</v>
      </c>
      <c r="AQ418" s="186" t="s">
        <v>898</v>
      </c>
      <c r="AR418" s="169" t="s">
        <v>516</v>
      </c>
    </row>
    <row r="419" spans="1:44" s="186" customFormat="1" ht="39" x14ac:dyDescent="0.3">
      <c r="A419" s="561">
        <v>5</v>
      </c>
      <c r="B419" s="562" t="s">
        <v>454</v>
      </c>
      <c r="C419" s="562" t="s">
        <v>90</v>
      </c>
      <c r="D419" s="565">
        <v>2</v>
      </c>
      <c r="E419" s="411">
        <v>292</v>
      </c>
      <c r="F419" s="412">
        <v>1</v>
      </c>
      <c r="G419" s="503">
        <v>0.9</v>
      </c>
      <c r="H419" s="503">
        <v>0.1</v>
      </c>
      <c r="I419" s="416">
        <f t="shared" si="625"/>
        <v>525.6</v>
      </c>
      <c r="J419" s="487">
        <f t="shared" si="626"/>
        <v>58.400000000000006</v>
      </c>
      <c r="K419" s="487">
        <f t="shared" si="627"/>
        <v>525.6</v>
      </c>
      <c r="L419" s="487"/>
      <c r="M419" s="487"/>
      <c r="N419" s="416">
        <v>0</v>
      </c>
      <c r="O419" s="417" t="s">
        <v>1463</v>
      </c>
      <c r="Q419" s="562" t="s">
        <v>90</v>
      </c>
      <c r="R419" s="565">
        <v>2</v>
      </c>
      <c r="S419" s="411">
        <v>516</v>
      </c>
      <c r="T419" s="411">
        <v>1</v>
      </c>
      <c r="U419" s="503">
        <v>0.9</v>
      </c>
      <c r="V419" s="503">
        <v>0.1</v>
      </c>
      <c r="W419" s="506">
        <f t="shared" si="628"/>
        <v>928.80000000000007</v>
      </c>
      <c r="X419" s="487">
        <f t="shared" si="629"/>
        <v>103.2</v>
      </c>
      <c r="Y419" s="487">
        <f t="shared" si="630"/>
        <v>464.4</v>
      </c>
      <c r="Z419" s="487">
        <f t="shared" si="631"/>
        <v>464.4</v>
      </c>
      <c r="AA419" s="487"/>
      <c r="AB419" s="416">
        <v>0</v>
      </c>
      <c r="AC419" s="417" t="s">
        <v>1463</v>
      </c>
      <c r="AD419" s="227"/>
      <c r="AE419" s="241">
        <v>6</v>
      </c>
      <c r="AF419" s="204" t="str">
        <f t="shared" si="601"/>
        <v>Pause café</v>
      </c>
      <c r="AG419" s="486">
        <f t="shared" si="608"/>
        <v>0.9</v>
      </c>
      <c r="AH419" s="486">
        <f t="shared" si="609"/>
        <v>0.10000000000000002</v>
      </c>
      <c r="AI419" s="506">
        <f t="shared" si="573"/>
        <v>1454.4</v>
      </c>
      <c r="AJ419" s="506">
        <f t="shared" si="586"/>
        <v>0</v>
      </c>
      <c r="AK419" s="487">
        <f t="shared" si="614"/>
        <v>161.60000000000002</v>
      </c>
      <c r="AL419" s="487">
        <f t="shared" si="560"/>
        <v>1616</v>
      </c>
      <c r="AM419" s="316">
        <f t="shared" si="597"/>
        <v>525.6</v>
      </c>
      <c r="AN419" s="316">
        <f t="shared" si="598"/>
        <v>0</v>
      </c>
      <c r="AO419" s="316">
        <f t="shared" si="599"/>
        <v>928.80000000000007</v>
      </c>
      <c r="AP419" s="316">
        <f t="shared" si="600"/>
        <v>0</v>
      </c>
      <c r="AQ419" s="186" t="s">
        <v>898</v>
      </c>
      <c r="AR419" s="169" t="s">
        <v>516</v>
      </c>
    </row>
    <row r="420" spans="1:44" s="186" customFormat="1" ht="39" x14ac:dyDescent="0.3">
      <c r="A420" s="561">
        <v>6</v>
      </c>
      <c r="B420" s="562" t="s">
        <v>1465</v>
      </c>
      <c r="C420" s="562" t="s">
        <v>90</v>
      </c>
      <c r="D420" s="565">
        <v>5</v>
      </c>
      <c r="E420" s="411">
        <v>292</v>
      </c>
      <c r="F420" s="412">
        <v>1</v>
      </c>
      <c r="G420" s="503">
        <v>0.9</v>
      </c>
      <c r="H420" s="503">
        <v>0.1</v>
      </c>
      <c r="I420" s="416">
        <f t="shared" si="625"/>
        <v>1314</v>
      </c>
      <c r="J420" s="487">
        <f t="shared" si="626"/>
        <v>146</v>
      </c>
      <c r="K420" s="487">
        <f t="shared" si="627"/>
        <v>1314</v>
      </c>
      <c r="L420" s="487"/>
      <c r="M420" s="487"/>
      <c r="N420" s="416">
        <v>0</v>
      </c>
      <c r="O420" s="417" t="s">
        <v>1463</v>
      </c>
      <c r="Q420" s="562" t="s">
        <v>90</v>
      </c>
      <c r="R420" s="565">
        <v>5</v>
      </c>
      <c r="S420" s="411">
        <v>516</v>
      </c>
      <c r="T420" s="411">
        <v>1</v>
      </c>
      <c r="U420" s="503">
        <v>0.9</v>
      </c>
      <c r="V420" s="503">
        <v>0.1</v>
      </c>
      <c r="W420" s="506">
        <f t="shared" si="628"/>
        <v>2322</v>
      </c>
      <c r="X420" s="487">
        <f t="shared" si="629"/>
        <v>258</v>
      </c>
      <c r="Y420" s="487">
        <f t="shared" si="630"/>
        <v>1161</v>
      </c>
      <c r="Z420" s="487">
        <f t="shared" si="631"/>
        <v>1161</v>
      </c>
      <c r="AA420" s="487"/>
      <c r="AB420" s="416">
        <v>0</v>
      </c>
      <c r="AC420" s="417" t="s">
        <v>1463</v>
      </c>
      <c r="AD420" s="227"/>
      <c r="AE420" s="241">
        <v>7</v>
      </c>
      <c r="AF420" s="204" t="str">
        <f t="shared" si="601"/>
        <v>Frais de remboursement transport</v>
      </c>
      <c r="AG420" s="486">
        <f t="shared" si="608"/>
        <v>0.9</v>
      </c>
      <c r="AH420" s="486">
        <f t="shared" si="609"/>
        <v>0.1</v>
      </c>
      <c r="AI420" s="506">
        <f t="shared" si="573"/>
        <v>3636</v>
      </c>
      <c r="AJ420" s="506">
        <f t="shared" si="586"/>
        <v>0</v>
      </c>
      <c r="AK420" s="487">
        <f t="shared" si="614"/>
        <v>404</v>
      </c>
      <c r="AL420" s="487">
        <f t="shared" si="560"/>
        <v>4040</v>
      </c>
      <c r="AM420" s="316">
        <f t="shared" si="597"/>
        <v>1314</v>
      </c>
      <c r="AN420" s="316">
        <f t="shared" si="598"/>
        <v>0</v>
      </c>
      <c r="AO420" s="316">
        <f t="shared" si="599"/>
        <v>2322</v>
      </c>
      <c r="AP420" s="316">
        <f t="shared" si="600"/>
        <v>0</v>
      </c>
      <c r="AQ420" s="186" t="s">
        <v>898</v>
      </c>
      <c r="AR420" s="169" t="s">
        <v>516</v>
      </c>
    </row>
    <row r="421" spans="1:44" s="186" customFormat="1" x14ac:dyDescent="0.3">
      <c r="A421" s="561">
        <v>7</v>
      </c>
      <c r="B421" s="562" t="s">
        <v>1466</v>
      </c>
      <c r="C421" s="562" t="s">
        <v>90</v>
      </c>
      <c r="D421" s="565">
        <v>12.5</v>
      </c>
      <c r="E421" s="411">
        <v>12.5</v>
      </c>
      <c r="F421" s="412">
        <v>6</v>
      </c>
      <c r="G421" s="503">
        <v>0.9</v>
      </c>
      <c r="H421" s="503">
        <v>0.1</v>
      </c>
      <c r="I421" s="416">
        <f t="shared" si="625"/>
        <v>843.75</v>
      </c>
      <c r="J421" s="487">
        <f t="shared" si="626"/>
        <v>93.75</v>
      </c>
      <c r="K421" s="487">
        <f t="shared" si="627"/>
        <v>843.75</v>
      </c>
      <c r="L421" s="487"/>
      <c r="M421" s="487"/>
      <c r="N421" s="416">
        <v>0</v>
      </c>
      <c r="O421" s="417" t="s">
        <v>1467</v>
      </c>
      <c r="Q421" s="562" t="s">
        <v>90</v>
      </c>
      <c r="R421" s="565">
        <v>12.5</v>
      </c>
      <c r="S421" s="411">
        <v>2</v>
      </c>
      <c r="T421" s="411">
        <v>6</v>
      </c>
      <c r="U421" s="503">
        <v>0.9</v>
      </c>
      <c r="V421" s="503">
        <v>0.1</v>
      </c>
      <c r="W421" s="506">
        <f t="shared" si="628"/>
        <v>135</v>
      </c>
      <c r="X421" s="487">
        <f t="shared" si="629"/>
        <v>15</v>
      </c>
      <c r="Y421" s="487">
        <f t="shared" si="630"/>
        <v>67.5</v>
      </c>
      <c r="Z421" s="487">
        <f t="shared" si="631"/>
        <v>67.5</v>
      </c>
      <c r="AA421" s="487"/>
      <c r="AB421" s="416">
        <v>0</v>
      </c>
      <c r="AC421" s="417" t="s">
        <v>1467</v>
      </c>
      <c r="AD421" s="227"/>
      <c r="AE421" s="241">
        <v>8</v>
      </c>
      <c r="AF421" s="204" t="str">
        <f t="shared" si="601"/>
        <v>frais- de facilitation 2</v>
      </c>
      <c r="AG421" s="486">
        <f t="shared" si="608"/>
        <v>0.9</v>
      </c>
      <c r="AH421" s="486">
        <f t="shared" si="609"/>
        <v>0.1</v>
      </c>
      <c r="AI421" s="506">
        <f t="shared" si="573"/>
        <v>978.75</v>
      </c>
      <c r="AJ421" s="506">
        <f t="shared" si="586"/>
        <v>0</v>
      </c>
      <c r="AK421" s="487">
        <f t="shared" si="614"/>
        <v>108.75</v>
      </c>
      <c r="AL421" s="487">
        <f t="shared" si="560"/>
        <v>1087.5</v>
      </c>
      <c r="AM421" s="316">
        <f t="shared" si="597"/>
        <v>843.75</v>
      </c>
      <c r="AN421" s="316">
        <f t="shared" si="598"/>
        <v>0</v>
      </c>
      <c r="AO421" s="316">
        <f t="shared" si="599"/>
        <v>135</v>
      </c>
      <c r="AP421" s="316">
        <f t="shared" si="600"/>
        <v>0</v>
      </c>
      <c r="AQ421" s="186" t="s">
        <v>898</v>
      </c>
      <c r="AR421" s="169" t="s">
        <v>516</v>
      </c>
    </row>
    <row r="422" spans="1:44" s="186" customFormat="1" x14ac:dyDescent="0.3">
      <c r="A422" s="561">
        <v>8</v>
      </c>
      <c r="B422" s="562" t="s">
        <v>1468</v>
      </c>
      <c r="C422" s="562" t="s">
        <v>90</v>
      </c>
      <c r="D422" s="566">
        <v>2.5</v>
      </c>
      <c r="E422" s="411">
        <v>292</v>
      </c>
      <c r="F422" s="412">
        <v>1</v>
      </c>
      <c r="G422" s="503">
        <v>0.9</v>
      </c>
      <c r="H422" s="503">
        <v>0.1</v>
      </c>
      <c r="I422" s="416">
        <f t="shared" si="625"/>
        <v>657</v>
      </c>
      <c r="J422" s="487">
        <f t="shared" si="626"/>
        <v>73</v>
      </c>
      <c r="K422" s="487">
        <f t="shared" si="627"/>
        <v>657</v>
      </c>
      <c r="L422" s="487"/>
      <c r="M422" s="487"/>
      <c r="N422" s="416">
        <v>0</v>
      </c>
      <c r="O422" s="417" t="s">
        <v>354</v>
      </c>
      <c r="Q422" s="562" t="s">
        <v>90</v>
      </c>
      <c r="R422" s="566">
        <v>2.5</v>
      </c>
      <c r="S422" s="411">
        <v>516</v>
      </c>
      <c r="T422" s="411">
        <v>1</v>
      </c>
      <c r="U422" s="503">
        <v>0.9</v>
      </c>
      <c r="V422" s="503">
        <v>0.1</v>
      </c>
      <c r="W422" s="506">
        <f t="shared" si="628"/>
        <v>1161</v>
      </c>
      <c r="X422" s="487">
        <f t="shared" si="629"/>
        <v>129</v>
      </c>
      <c r="Y422" s="487">
        <f t="shared" si="630"/>
        <v>580.5</v>
      </c>
      <c r="Z422" s="487">
        <f t="shared" si="631"/>
        <v>580.5</v>
      </c>
      <c r="AA422" s="487"/>
      <c r="AB422" s="416">
        <v>0</v>
      </c>
      <c r="AC422" s="417" t="s">
        <v>354</v>
      </c>
      <c r="AD422" s="227"/>
      <c r="AE422" s="241">
        <v>9</v>
      </c>
      <c r="AF422" s="204" t="str">
        <f t="shared" si="601"/>
        <v>Fournitures Kit</v>
      </c>
      <c r="AG422" s="486">
        <f t="shared" si="608"/>
        <v>0.9</v>
      </c>
      <c r="AH422" s="486">
        <f t="shared" si="609"/>
        <v>0.1</v>
      </c>
      <c r="AI422" s="506">
        <f t="shared" si="573"/>
        <v>1818</v>
      </c>
      <c r="AJ422" s="506">
        <f t="shared" si="586"/>
        <v>0</v>
      </c>
      <c r="AK422" s="487">
        <f t="shared" si="614"/>
        <v>202</v>
      </c>
      <c r="AL422" s="487">
        <f t="shared" si="560"/>
        <v>2020</v>
      </c>
      <c r="AM422" s="316">
        <f t="shared" si="597"/>
        <v>657</v>
      </c>
      <c r="AN422" s="316">
        <f t="shared" si="598"/>
        <v>0</v>
      </c>
      <c r="AO422" s="316">
        <f t="shared" si="599"/>
        <v>1161</v>
      </c>
      <c r="AP422" s="316">
        <f t="shared" si="600"/>
        <v>0</v>
      </c>
      <c r="AQ422" s="186" t="s">
        <v>898</v>
      </c>
      <c r="AR422" s="169" t="s">
        <v>516</v>
      </c>
    </row>
    <row r="423" spans="1:44" s="182" customFormat="1" ht="12.75" customHeight="1" x14ac:dyDescent="0.3">
      <c r="A423" s="480" t="s">
        <v>1469</v>
      </c>
      <c r="B423" s="880" t="s">
        <v>1470</v>
      </c>
      <c r="C423" s="881"/>
      <c r="D423" s="881"/>
      <c r="E423" s="881"/>
      <c r="F423" s="881"/>
      <c r="G423" s="881"/>
      <c r="H423" s="882"/>
      <c r="I423" s="481">
        <f>SUM(I424:I426)</f>
        <v>8400</v>
      </c>
      <c r="J423" s="482">
        <f t="shared" ref="J423:M423" si="632">SUM(J424:J426)</f>
        <v>0</v>
      </c>
      <c r="K423" s="482">
        <f t="shared" si="632"/>
        <v>8400</v>
      </c>
      <c r="L423" s="482">
        <f t="shared" si="632"/>
        <v>0</v>
      </c>
      <c r="M423" s="482">
        <f t="shared" si="632"/>
        <v>0</v>
      </c>
      <c r="N423" s="481">
        <f>SUM(N424:N426)</f>
        <v>0</v>
      </c>
      <c r="O423" s="508"/>
      <c r="Q423" s="538"/>
      <c r="R423" s="538"/>
      <c r="S423" s="538"/>
      <c r="T423" s="538"/>
      <c r="U423" s="538"/>
      <c r="V423" s="484"/>
      <c r="W423" s="482">
        <f>SUM(W424:W426)</f>
        <v>8400</v>
      </c>
      <c r="X423" s="482">
        <f t="shared" ref="X423:Y423" si="633">SUM(X424:X426)</f>
        <v>0</v>
      </c>
      <c r="Y423" s="482">
        <f t="shared" si="633"/>
        <v>8400</v>
      </c>
      <c r="Z423" s="482">
        <f t="shared" ref="Z423:AA423" si="634">SUM(Z424:Z426)</f>
        <v>0</v>
      </c>
      <c r="AA423" s="482">
        <f t="shared" si="634"/>
        <v>0</v>
      </c>
      <c r="AB423" s="481">
        <f>SUM(AB424:AB426)</f>
        <v>0</v>
      </c>
      <c r="AC423" s="508"/>
      <c r="AD423" s="234"/>
      <c r="AE423" s="247" t="s">
        <v>1469</v>
      </c>
      <c r="AF423" s="204" t="str">
        <f t="shared" si="601"/>
        <v>Assurer une large dissémination des informations, outils de communication sur les PEAS et mécanismes de plainte disponibles auprès des bénéficiaires.</v>
      </c>
      <c r="AG423" s="485"/>
      <c r="AH423" s="485"/>
      <c r="AI423" s="482">
        <f t="shared" si="573"/>
        <v>16800</v>
      </c>
      <c r="AJ423" s="482">
        <f t="shared" si="586"/>
        <v>0</v>
      </c>
      <c r="AK423" s="482">
        <f t="shared" si="614"/>
        <v>0</v>
      </c>
      <c r="AL423" s="482">
        <f t="shared" si="560"/>
        <v>16800</v>
      </c>
      <c r="AM423" s="314">
        <f t="shared" si="597"/>
        <v>8400</v>
      </c>
      <c r="AN423" s="314">
        <f t="shared" si="598"/>
        <v>0</v>
      </c>
      <c r="AO423" s="314">
        <f t="shared" si="599"/>
        <v>8400</v>
      </c>
      <c r="AP423" s="314">
        <f t="shared" si="600"/>
        <v>0</v>
      </c>
      <c r="AR423" s="169" t="s">
        <v>516</v>
      </c>
    </row>
    <row r="424" spans="1:44" s="186" customFormat="1" x14ac:dyDescent="0.3">
      <c r="A424" s="561">
        <v>1</v>
      </c>
      <c r="B424" s="562" t="s">
        <v>1471</v>
      </c>
      <c r="C424" s="562" t="s">
        <v>103</v>
      </c>
      <c r="D424" s="410">
        <v>80</v>
      </c>
      <c r="E424" s="411">
        <v>5</v>
      </c>
      <c r="F424" s="412">
        <v>1</v>
      </c>
      <c r="G424" s="486">
        <v>1</v>
      </c>
      <c r="H424" s="486">
        <f>100%-G424</f>
        <v>0</v>
      </c>
      <c r="I424" s="416">
        <f t="shared" ref="I424:I426" si="635">D424*E424*F424*G424</f>
        <v>400</v>
      </c>
      <c r="J424" s="487">
        <f>D424*E424*F424*H424</f>
        <v>0</v>
      </c>
      <c r="K424" s="487">
        <f>I424</f>
        <v>400</v>
      </c>
      <c r="L424" s="487"/>
      <c r="M424" s="487"/>
      <c r="N424" s="416">
        <v>0</v>
      </c>
      <c r="O424" s="417" t="s">
        <v>1472</v>
      </c>
      <c r="Q424" s="562" t="s">
        <v>103</v>
      </c>
      <c r="R424" s="418">
        <v>80</v>
      </c>
      <c r="S424" s="411">
        <v>5</v>
      </c>
      <c r="T424" s="411">
        <v>1</v>
      </c>
      <c r="U424" s="486">
        <v>1</v>
      </c>
      <c r="V424" s="486">
        <f t="shared" ref="V424:V426" si="636">100%-U424</f>
        <v>0</v>
      </c>
      <c r="W424" s="506">
        <f>R424*S424*T424*U424</f>
        <v>400</v>
      </c>
      <c r="X424" s="487">
        <f t="shared" ref="X424:X426" si="637">R424*S424*T424*V424</f>
        <v>0</v>
      </c>
      <c r="Y424" s="487">
        <f t="shared" ref="Y424:Y426" si="638">W424</f>
        <v>400</v>
      </c>
      <c r="Z424" s="487"/>
      <c r="AA424" s="487"/>
      <c r="AB424" s="416">
        <v>0</v>
      </c>
      <c r="AC424" s="417" t="s">
        <v>1472</v>
      </c>
      <c r="AD424" s="227"/>
      <c r="AE424" s="241">
        <v>1</v>
      </c>
      <c r="AF424" s="204" t="str">
        <f t="shared" si="601"/>
        <v>Production des spots en langue locale</v>
      </c>
      <c r="AG424" s="486">
        <f t="shared" si="608"/>
        <v>1</v>
      </c>
      <c r="AH424" s="486">
        <f t="shared" si="609"/>
        <v>0</v>
      </c>
      <c r="AI424" s="506">
        <v>8</v>
      </c>
      <c r="AJ424" s="506">
        <f t="shared" si="586"/>
        <v>0</v>
      </c>
      <c r="AK424" s="487">
        <f t="shared" si="614"/>
        <v>0</v>
      </c>
      <c r="AL424" s="487">
        <f t="shared" si="560"/>
        <v>8</v>
      </c>
      <c r="AM424" s="316">
        <f t="shared" si="597"/>
        <v>400</v>
      </c>
      <c r="AN424" s="316">
        <f t="shared" si="598"/>
        <v>0</v>
      </c>
      <c r="AO424" s="316">
        <f t="shared" si="599"/>
        <v>400</v>
      </c>
      <c r="AP424" s="316">
        <f t="shared" si="600"/>
        <v>0</v>
      </c>
      <c r="AQ424" s="186" t="s">
        <v>898</v>
      </c>
      <c r="AR424" s="169" t="s">
        <v>516</v>
      </c>
    </row>
    <row r="425" spans="1:44" s="186" customFormat="1" x14ac:dyDescent="0.3">
      <c r="A425" s="561">
        <v>2</v>
      </c>
      <c r="B425" s="562" t="s">
        <v>1473</v>
      </c>
      <c r="C425" s="562" t="s">
        <v>124</v>
      </c>
      <c r="D425" s="410">
        <v>250</v>
      </c>
      <c r="E425" s="411">
        <v>2</v>
      </c>
      <c r="F425" s="412">
        <v>8</v>
      </c>
      <c r="G425" s="486">
        <v>1</v>
      </c>
      <c r="H425" s="486">
        <f>100%-G425</f>
        <v>0</v>
      </c>
      <c r="I425" s="416">
        <f t="shared" si="635"/>
        <v>4000</v>
      </c>
      <c r="J425" s="487">
        <f>D425*E425*F425*H425</f>
        <v>0</v>
      </c>
      <c r="K425" s="487">
        <f>I425</f>
        <v>4000</v>
      </c>
      <c r="L425" s="487"/>
      <c r="M425" s="487"/>
      <c r="N425" s="416">
        <v>0</v>
      </c>
      <c r="O425" s="417" t="s">
        <v>1474</v>
      </c>
      <c r="Q425" s="562" t="s">
        <v>124</v>
      </c>
      <c r="R425" s="418">
        <v>250</v>
      </c>
      <c r="S425" s="411">
        <v>2</v>
      </c>
      <c r="T425" s="411">
        <v>8</v>
      </c>
      <c r="U425" s="486">
        <v>1</v>
      </c>
      <c r="V425" s="486">
        <f t="shared" si="636"/>
        <v>0</v>
      </c>
      <c r="W425" s="506">
        <f t="shared" ref="W425:W426" si="639">R425*S425*T425*U425</f>
        <v>4000</v>
      </c>
      <c r="X425" s="487">
        <f t="shared" si="637"/>
        <v>0</v>
      </c>
      <c r="Y425" s="487">
        <f t="shared" si="638"/>
        <v>4000</v>
      </c>
      <c r="Z425" s="487"/>
      <c r="AA425" s="487"/>
      <c r="AB425" s="416">
        <v>0</v>
      </c>
      <c r="AC425" s="417" t="s">
        <v>1474</v>
      </c>
      <c r="AD425" s="227"/>
      <c r="AE425" s="241">
        <v>2</v>
      </c>
      <c r="AF425" s="204" t="str">
        <f t="shared" si="601"/>
        <v>Diffusion des spots</v>
      </c>
      <c r="AG425" s="486">
        <f t="shared" si="608"/>
        <v>1</v>
      </c>
      <c r="AH425" s="486">
        <f t="shared" si="609"/>
        <v>0</v>
      </c>
      <c r="AI425" s="506">
        <f>I425+W425</f>
        <v>8000</v>
      </c>
      <c r="AJ425" s="506">
        <f t="shared" si="586"/>
        <v>0</v>
      </c>
      <c r="AK425" s="487">
        <f t="shared" si="614"/>
        <v>0</v>
      </c>
      <c r="AL425" s="487">
        <f t="shared" si="560"/>
        <v>8000</v>
      </c>
      <c r="AM425" s="316">
        <f t="shared" si="597"/>
        <v>4000</v>
      </c>
      <c r="AN425" s="316">
        <f t="shared" si="598"/>
        <v>0</v>
      </c>
      <c r="AO425" s="316">
        <f t="shared" si="599"/>
        <v>4000</v>
      </c>
      <c r="AP425" s="316">
        <f t="shared" si="600"/>
        <v>0</v>
      </c>
      <c r="AQ425" s="186" t="s">
        <v>898</v>
      </c>
      <c r="AR425" s="169" t="s">
        <v>516</v>
      </c>
    </row>
    <row r="426" spans="1:44" s="186" customFormat="1" x14ac:dyDescent="0.3">
      <c r="A426" s="561">
        <v>3</v>
      </c>
      <c r="B426" s="562" t="s">
        <v>1475</v>
      </c>
      <c r="C426" s="562" t="s">
        <v>103</v>
      </c>
      <c r="D426" s="541">
        <v>0.5</v>
      </c>
      <c r="E426" s="411">
        <v>8000</v>
      </c>
      <c r="F426" s="412">
        <v>1</v>
      </c>
      <c r="G426" s="486">
        <v>1</v>
      </c>
      <c r="H426" s="486">
        <f>100%-G426</f>
        <v>0</v>
      </c>
      <c r="I426" s="416">
        <f t="shared" si="635"/>
        <v>4000</v>
      </c>
      <c r="J426" s="487">
        <f>D426*E426*F426*H426</f>
        <v>0</v>
      </c>
      <c r="K426" s="487">
        <f>I426</f>
        <v>4000</v>
      </c>
      <c r="L426" s="487"/>
      <c r="M426" s="487"/>
      <c r="N426" s="416">
        <v>0</v>
      </c>
      <c r="O426" s="417" t="s">
        <v>1476</v>
      </c>
      <c r="Q426" s="562" t="s">
        <v>103</v>
      </c>
      <c r="R426" s="418">
        <v>0.5</v>
      </c>
      <c r="S426" s="411">
        <v>8000</v>
      </c>
      <c r="T426" s="411">
        <v>1</v>
      </c>
      <c r="U426" s="486">
        <v>1</v>
      </c>
      <c r="V426" s="486">
        <f t="shared" si="636"/>
        <v>0</v>
      </c>
      <c r="W426" s="506">
        <f t="shared" si="639"/>
        <v>4000</v>
      </c>
      <c r="X426" s="487">
        <f t="shared" si="637"/>
        <v>0</v>
      </c>
      <c r="Y426" s="487">
        <f t="shared" si="638"/>
        <v>4000</v>
      </c>
      <c r="Z426" s="487"/>
      <c r="AA426" s="487"/>
      <c r="AB426" s="416">
        <v>0</v>
      </c>
      <c r="AC426" s="417" t="s">
        <v>1476</v>
      </c>
      <c r="AD426" s="227"/>
      <c r="AE426" s="241">
        <v>3</v>
      </c>
      <c r="AF426" s="204" t="str">
        <f t="shared" si="601"/>
        <v>Production des depliants en langue locale</v>
      </c>
      <c r="AG426" s="486">
        <f t="shared" si="608"/>
        <v>1</v>
      </c>
      <c r="AH426" s="486">
        <f t="shared" si="609"/>
        <v>0</v>
      </c>
      <c r="AI426" s="506">
        <f>I426+W426</f>
        <v>8000</v>
      </c>
      <c r="AJ426" s="506">
        <f t="shared" si="586"/>
        <v>0</v>
      </c>
      <c r="AK426" s="487">
        <f t="shared" si="614"/>
        <v>0</v>
      </c>
      <c r="AL426" s="487">
        <f t="shared" si="560"/>
        <v>8000</v>
      </c>
      <c r="AM426" s="316">
        <f t="shared" si="597"/>
        <v>4000</v>
      </c>
      <c r="AN426" s="316">
        <f t="shared" si="598"/>
        <v>0</v>
      </c>
      <c r="AO426" s="316">
        <f t="shared" si="599"/>
        <v>4000</v>
      </c>
      <c r="AP426" s="316">
        <f t="shared" si="600"/>
        <v>0</v>
      </c>
      <c r="AQ426" s="186" t="s">
        <v>898</v>
      </c>
      <c r="AR426" s="169" t="s">
        <v>516</v>
      </c>
    </row>
    <row r="427" spans="1:44" s="182" customFormat="1" ht="12.75" customHeight="1" x14ac:dyDescent="0.3">
      <c r="A427" s="480" t="s">
        <v>1477</v>
      </c>
      <c r="B427" s="861" t="s">
        <v>1478</v>
      </c>
      <c r="C427" s="862"/>
      <c r="D427" s="862"/>
      <c r="E427" s="862"/>
      <c r="F427" s="862"/>
      <c r="G427" s="862"/>
      <c r="H427" s="863"/>
      <c r="I427" s="481">
        <f>SUM(I428:I433)</f>
        <v>4224</v>
      </c>
      <c r="J427" s="482">
        <f t="shared" ref="J427:N427" si="640">SUM(J428:J433)</f>
        <v>0</v>
      </c>
      <c r="K427" s="482">
        <f>SUM(K428:K433)</f>
        <v>4224</v>
      </c>
      <c r="L427" s="482">
        <f t="shared" si="640"/>
        <v>0</v>
      </c>
      <c r="M427" s="482">
        <f>SUM(M428:M433)</f>
        <v>0</v>
      </c>
      <c r="N427" s="481">
        <f t="shared" si="640"/>
        <v>0</v>
      </c>
      <c r="O427" s="508"/>
      <c r="Q427" s="538"/>
      <c r="R427" s="538"/>
      <c r="S427" s="538"/>
      <c r="T427" s="538"/>
      <c r="U427" s="538"/>
      <c r="V427" s="484"/>
      <c r="W427" s="482">
        <f>SUM(W428:W433)</f>
        <v>4224</v>
      </c>
      <c r="X427" s="482">
        <f t="shared" ref="X427:AB427" si="641">SUM(X428:X433)</f>
        <v>0</v>
      </c>
      <c r="Y427" s="482">
        <f t="shared" si="641"/>
        <v>4224</v>
      </c>
      <c r="Z427" s="482">
        <f t="shared" si="641"/>
        <v>0</v>
      </c>
      <c r="AA427" s="482">
        <f t="shared" si="641"/>
        <v>0</v>
      </c>
      <c r="AB427" s="481">
        <f t="shared" si="641"/>
        <v>0</v>
      </c>
      <c r="AC427" s="508"/>
      <c r="AD427" s="234"/>
      <c r="AE427" s="247" t="str">
        <f t="shared" ref="AE427:AE458" si="642">A427</f>
        <v>4.8.1</v>
      </c>
      <c r="AF427" s="204" t="str">
        <f t="shared" si="601"/>
        <v>Organiser une évaluation de base dans les aires de santé ciblées par le projet pour la mise en place de l'approche Washindi</v>
      </c>
      <c r="AG427" s="485"/>
      <c r="AH427" s="485"/>
      <c r="AI427" s="482">
        <f>I427+W427</f>
        <v>8448</v>
      </c>
      <c r="AJ427" s="482">
        <f t="shared" si="586"/>
        <v>0</v>
      </c>
      <c r="AK427" s="482">
        <f t="shared" si="614"/>
        <v>0</v>
      </c>
      <c r="AL427" s="482">
        <f t="shared" ref="AL427:AL430" si="643">AI427+AJ427+AK427</f>
        <v>8448</v>
      </c>
      <c r="AM427" s="314">
        <f t="shared" si="597"/>
        <v>4224</v>
      </c>
      <c r="AN427" s="314">
        <f t="shared" si="598"/>
        <v>0</v>
      </c>
      <c r="AO427" s="314">
        <f t="shared" si="599"/>
        <v>4224</v>
      </c>
      <c r="AP427" s="314">
        <f t="shared" si="600"/>
        <v>0</v>
      </c>
      <c r="AR427" s="169" t="s">
        <v>516</v>
      </c>
    </row>
    <row r="428" spans="1:44" s="186" customFormat="1" x14ac:dyDescent="0.3">
      <c r="A428" s="561">
        <v>1</v>
      </c>
      <c r="B428" s="562" t="s">
        <v>1479</v>
      </c>
      <c r="C428" s="562" t="s">
        <v>90</v>
      </c>
      <c r="D428" s="410">
        <v>30</v>
      </c>
      <c r="E428" s="411">
        <v>8</v>
      </c>
      <c r="F428" s="412">
        <v>6</v>
      </c>
      <c r="G428" s="486">
        <v>1</v>
      </c>
      <c r="H428" s="486">
        <f t="shared" ref="H428:H490" si="644">100%-G428</f>
        <v>0</v>
      </c>
      <c r="I428" s="416">
        <f t="shared" ref="I428:I430" si="645">D428*E428*F428*G428</f>
        <v>1440</v>
      </c>
      <c r="J428" s="487">
        <f t="shared" ref="J428:J433" si="646">D428*E428*F428*H428</f>
        <v>0</v>
      </c>
      <c r="K428" s="487">
        <f t="shared" ref="K428:K433" si="647">I428</f>
        <v>1440</v>
      </c>
      <c r="L428" s="487"/>
      <c r="M428" s="487"/>
      <c r="N428" s="416">
        <v>0</v>
      </c>
      <c r="O428" s="417" t="s">
        <v>1480</v>
      </c>
      <c r="Q428" s="562" t="s">
        <v>90</v>
      </c>
      <c r="R428" s="410">
        <v>30</v>
      </c>
      <c r="S428" s="411">
        <v>8</v>
      </c>
      <c r="T428" s="412">
        <v>6</v>
      </c>
      <c r="U428" s="486">
        <v>1</v>
      </c>
      <c r="V428" s="486">
        <f t="shared" ref="V428:V433" si="648">100%-U428</f>
        <v>0</v>
      </c>
      <c r="W428" s="416">
        <f t="shared" ref="W428:W433" si="649">R428*S428*T428*U428</f>
        <v>1440</v>
      </c>
      <c r="X428" s="487">
        <f t="shared" ref="X428:X433" si="650">R428*S428*T428*V428</f>
        <v>0</v>
      </c>
      <c r="Y428" s="487">
        <f t="shared" ref="Y428:Y433" si="651">W428</f>
        <v>1440</v>
      </c>
      <c r="Z428" s="487"/>
      <c r="AA428" s="487"/>
      <c r="AB428" s="416">
        <v>0</v>
      </c>
      <c r="AC428" s="417" t="s">
        <v>1480</v>
      </c>
      <c r="AD428" s="227"/>
      <c r="AE428" s="241">
        <f t="shared" si="642"/>
        <v>1</v>
      </c>
      <c r="AF428" s="204" t="str">
        <f t="shared" si="601"/>
        <v xml:space="preserve">Perdiem  des enquêteurs </v>
      </c>
      <c r="AG428" s="486">
        <f t="shared" ref="AG428:AG430" si="652">AI428/($AI428+$AK428)</f>
        <v>1</v>
      </c>
      <c r="AH428" s="486">
        <f t="shared" ref="AH428:AH430" si="653">AK428/($AI428+$AK428)</f>
        <v>0</v>
      </c>
      <c r="AI428" s="506">
        <v>8</v>
      </c>
      <c r="AJ428" s="506">
        <f t="shared" si="586"/>
        <v>0</v>
      </c>
      <c r="AK428" s="487">
        <f t="shared" si="614"/>
        <v>0</v>
      </c>
      <c r="AL428" s="487">
        <f t="shared" si="643"/>
        <v>8</v>
      </c>
      <c r="AM428" s="316">
        <f t="shared" si="597"/>
        <v>1440</v>
      </c>
      <c r="AN428" s="316">
        <f t="shared" si="598"/>
        <v>0</v>
      </c>
      <c r="AO428" s="316">
        <f t="shared" si="599"/>
        <v>1440</v>
      </c>
      <c r="AP428" s="316">
        <f t="shared" si="600"/>
        <v>0</v>
      </c>
      <c r="AQ428" s="186" t="s">
        <v>898</v>
      </c>
      <c r="AR428" s="169" t="s">
        <v>516</v>
      </c>
    </row>
    <row r="429" spans="1:44" s="186" customFormat="1" x14ac:dyDescent="0.3">
      <c r="A429" s="561">
        <v>2</v>
      </c>
      <c r="B429" s="562" t="s">
        <v>517</v>
      </c>
      <c r="C429" s="562" t="s">
        <v>90</v>
      </c>
      <c r="D429" s="410">
        <v>35</v>
      </c>
      <c r="E429" s="411">
        <v>8</v>
      </c>
      <c r="F429" s="412">
        <v>6</v>
      </c>
      <c r="G429" s="486">
        <v>1</v>
      </c>
      <c r="H429" s="486">
        <f t="shared" si="644"/>
        <v>0</v>
      </c>
      <c r="I429" s="416">
        <f t="shared" si="645"/>
        <v>1680</v>
      </c>
      <c r="J429" s="487">
        <f t="shared" si="646"/>
        <v>0</v>
      </c>
      <c r="K429" s="487">
        <f t="shared" si="647"/>
        <v>1680</v>
      </c>
      <c r="L429" s="487"/>
      <c r="M429" s="487"/>
      <c r="N429" s="416">
        <v>0</v>
      </c>
      <c r="O429" s="417" t="s">
        <v>1481</v>
      </c>
      <c r="Q429" s="562" t="s">
        <v>90</v>
      </c>
      <c r="R429" s="410">
        <v>35</v>
      </c>
      <c r="S429" s="411">
        <v>8</v>
      </c>
      <c r="T429" s="412">
        <v>6</v>
      </c>
      <c r="U429" s="486">
        <v>1</v>
      </c>
      <c r="V429" s="486">
        <f t="shared" si="648"/>
        <v>0</v>
      </c>
      <c r="W429" s="416">
        <f t="shared" si="649"/>
        <v>1680</v>
      </c>
      <c r="X429" s="487">
        <f t="shared" si="650"/>
        <v>0</v>
      </c>
      <c r="Y429" s="487">
        <f t="shared" si="651"/>
        <v>1680</v>
      </c>
      <c r="Z429" s="487"/>
      <c r="AA429" s="487"/>
      <c r="AB429" s="416">
        <v>0</v>
      </c>
      <c r="AC429" s="417" t="s">
        <v>1481</v>
      </c>
      <c r="AD429" s="227"/>
      <c r="AE429" s="241">
        <f t="shared" si="642"/>
        <v>2</v>
      </c>
      <c r="AF429" s="204" t="str">
        <f t="shared" si="601"/>
        <v xml:space="preserve">Honoraires des enquêteurs </v>
      </c>
      <c r="AG429" s="486">
        <f t="shared" si="652"/>
        <v>1</v>
      </c>
      <c r="AH429" s="486">
        <f t="shared" si="653"/>
        <v>0</v>
      </c>
      <c r="AI429" s="506">
        <f>I429+W429</f>
        <v>3360</v>
      </c>
      <c r="AJ429" s="506">
        <f t="shared" si="586"/>
        <v>0</v>
      </c>
      <c r="AK429" s="487">
        <f t="shared" si="614"/>
        <v>0</v>
      </c>
      <c r="AL429" s="487">
        <f t="shared" si="643"/>
        <v>3360</v>
      </c>
      <c r="AM429" s="316">
        <f t="shared" si="597"/>
        <v>1680</v>
      </c>
      <c r="AN429" s="316">
        <f t="shared" si="598"/>
        <v>0</v>
      </c>
      <c r="AO429" s="316">
        <f t="shared" si="599"/>
        <v>1680</v>
      </c>
      <c r="AP429" s="316">
        <f t="shared" si="600"/>
        <v>0</v>
      </c>
      <c r="AQ429" s="186" t="s">
        <v>898</v>
      </c>
      <c r="AR429" s="169" t="s">
        <v>516</v>
      </c>
    </row>
    <row r="430" spans="1:44" s="186" customFormat="1" x14ac:dyDescent="0.3">
      <c r="A430" s="561">
        <v>3</v>
      </c>
      <c r="B430" s="562" t="s">
        <v>518</v>
      </c>
      <c r="C430" s="562" t="s">
        <v>90</v>
      </c>
      <c r="D430" s="541">
        <v>20</v>
      </c>
      <c r="E430" s="411">
        <v>8</v>
      </c>
      <c r="F430" s="412">
        <v>6</v>
      </c>
      <c r="G430" s="486">
        <v>1</v>
      </c>
      <c r="H430" s="486">
        <f t="shared" si="644"/>
        <v>0</v>
      </c>
      <c r="I430" s="416">
        <f t="shared" si="645"/>
        <v>960</v>
      </c>
      <c r="J430" s="487">
        <f t="shared" si="646"/>
        <v>0</v>
      </c>
      <c r="K430" s="487">
        <f t="shared" si="647"/>
        <v>960</v>
      </c>
      <c r="L430" s="487"/>
      <c r="M430" s="487"/>
      <c r="N430" s="416">
        <v>0</v>
      </c>
      <c r="O430" s="417" t="s">
        <v>1482</v>
      </c>
      <c r="Q430" s="562" t="s">
        <v>90</v>
      </c>
      <c r="R430" s="541">
        <v>20</v>
      </c>
      <c r="S430" s="411">
        <v>8</v>
      </c>
      <c r="T430" s="412">
        <v>6</v>
      </c>
      <c r="U430" s="486">
        <v>1</v>
      </c>
      <c r="V430" s="486">
        <f t="shared" si="648"/>
        <v>0</v>
      </c>
      <c r="W430" s="416">
        <f t="shared" si="649"/>
        <v>960</v>
      </c>
      <c r="X430" s="487">
        <f t="shared" si="650"/>
        <v>0</v>
      </c>
      <c r="Y430" s="487">
        <f t="shared" si="651"/>
        <v>960</v>
      </c>
      <c r="Z430" s="487"/>
      <c r="AA430" s="487"/>
      <c r="AB430" s="416">
        <v>0</v>
      </c>
      <c r="AC430" s="417" t="s">
        <v>1482</v>
      </c>
      <c r="AD430" s="227"/>
      <c r="AE430" s="241">
        <f t="shared" si="642"/>
        <v>3</v>
      </c>
      <c r="AF430" s="204" t="str">
        <f t="shared" si="601"/>
        <v xml:space="preserve">Transport local sur le terrain des enquêteurs </v>
      </c>
      <c r="AG430" s="486">
        <f t="shared" si="652"/>
        <v>1</v>
      </c>
      <c r="AH430" s="486">
        <f t="shared" si="653"/>
        <v>0</v>
      </c>
      <c r="AI430" s="506">
        <f>I430+W430</f>
        <v>1920</v>
      </c>
      <c r="AJ430" s="506">
        <f t="shared" si="586"/>
        <v>0</v>
      </c>
      <c r="AK430" s="487">
        <f t="shared" si="614"/>
        <v>0</v>
      </c>
      <c r="AL430" s="487">
        <f t="shared" si="643"/>
        <v>1920</v>
      </c>
      <c r="AM430" s="316">
        <f t="shared" si="597"/>
        <v>960</v>
      </c>
      <c r="AN430" s="316">
        <f t="shared" si="598"/>
        <v>0</v>
      </c>
      <c r="AO430" s="316">
        <f t="shared" si="599"/>
        <v>960</v>
      </c>
      <c r="AP430" s="316">
        <f t="shared" si="600"/>
        <v>0</v>
      </c>
      <c r="AQ430" s="186" t="s">
        <v>898</v>
      </c>
      <c r="AR430" s="169" t="s">
        <v>516</v>
      </c>
    </row>
    <row r="431" spans="1:44" s="186" customFormat="1" ht="26" x14ac:dyDescent="0.3">
      <c r="A431" s="561">
        <v>4</v>
      </c>
      <c r="B431" s="562" t="s">
        <v>519</v>
      </c>
      <c r="C431" s="562" t="s">
        <v>520</v>
      </c>
      <c r="D431" s="410">
        <v>100</v>
      </c>
      <c r="E431" s="411">
        <v>1</v>
      </c>
      <c r="F431" s="412">
        <v>1</v>
      </c>
      <c r="G431" s="486">
        <v>1</v>
      </c>
      <c r="H431" s="486">
        <f t="shared" si="644"/>
        <v>0</v>
      </c>
      <c r="I431" s="416">
        <f t="shared" ref="I431:I433" si="654">D431*E431*F431*G431</f>
        <v>100</v>
      </c>
      <c r="J431" s="487">
        <f t="shared" si="646"/>
        <v>0</v>
      </c>
      <c r="K431" s="487">
        <f t="shared" si="647"/>
        <v>100</v>
      </c>
      <c r="L431" s="487"/>
      <c r="M431" s="487"/>
      <c r="N431" s="416">
        <v>0</v>
      </c>
      <c r="O431" s="417" t="s">
        <v>1483</v>
      </c>
      <c r="Q431" s="562" t="s">
        <v>520</v>
      </c>
      <c r="R431" s="410">
        <v>100</v>
      </c>
      <c r="S431" s="411">
        <v>1</v>
      </c>
      <c r="T431" s="412">
        <v>1</v>
      </c>
      <c r="U431" s="486">
        <v>1</v>
      </c>
      <c r="V431" s="486">
        <f t="shared" si="648"/>
        <v>0</v>
      </c>
      <c r="W431" s="416">
        <f t="shared" si="649"/>
        <v>100</v>
      </c>
      <c r="X431" s="487">
        <f t="shared" si="650"/>
        <v>0</v>
      </c>
      <c r="Y431" s="487">
        <f t="shared" si="651"/>
        <v>100</v>
      </c>
      <c r="Z431" s="487"/>
      <c r="AA431" s="487"/>
      <c r="AB431" s="416">
        <v>0</v>
      </c>
      <c r="AC431" s="417" t="s">
        <v>1483</v>
      </c>
      <c r="AD431" s="227"/>
      <c r="AE431" s="241">
        <f t="shared" si="642"/>
        <v>4</v>
      </c>
      <c r="AF431" s="204" t="str">
        <f t="shared" si="601"/>
        <v>Communication (crédits téléphoniques pour la coordination et unités Internet pour l'envoi des données)</v>
      </c>
      <c r="AG431" s="486">
        <f t="shared" ref="AG431:AG433" si="655">AI431/($AI431+$AK431)</f>
        <v>1</v>
      </c>
      <c r="AH431" s="486">
        <f t="shared" ref="AH431:AH433" si="656">AK431/($AI431+$AK431)</f>
        <v>0</v>
      </c>
      <c r="AI431" s="506">
        <v>8</v>
      </c>
      <c r="AJ431" s="506">
        <f t="shared" si="586"/>
        <v>0</v>
      </c>
      <c r="AK431" s="487">
        <f t="shared" si="614"/>
        <v>0</v>
      </c>
      <c r="AL431" s="487">
        <f t="shared" ref="AL431:AL441" si="657">AI431+AJ431+AK431</f>
        <v>8</v>
      </c>
      <c r="AM431" s="316">
        <f t="shared" si="597"/>
        <v>100</v>
      </c>
      <c r="AN431" s="316">
        <f t="shared" si="598"/>
        <v>0</v>
      </c>
      <c r="AO431" s="316">
        <f t="shared" si="599"/>
        <v>100</v>
      </c>
      <c r="AP431" s="316">
        <f t="shared" si="600"/>
        <v>0</v>
      </c>
      <c r="AQ431" s="186" t="s">
        <v>898</v>
      </c>
      <c r="AR431" s="169" t="s">
        <v>516</v>
      </c>
    </row>
    <row r="432" spans="1:44" s="186" customFormat="1" x14ac:dyDescent="0.3">
      <c r="A432" s="561">
        <v>5</v>
      </c>
      <c r="B432" s="562" t="s">
        <v>521</v>
      </c>
      <c r="C432" s="562" t="s">
        <v>522</v>
      </c>
      <c r="D432" s="410">
        <v>2.5</v>
      </c>
      <c r="E432" s="411">
        <v>8</v>
      </c>
      <c r="F432" s="412">
        <v>1</v>
      </c>
      <c r="G432" s="486">
        <v>1</v>
      </c>
      <c r="H432" s="486">
        <f t="shared" si="644"/>
        <v>0</v>
      </c>
      <c r="I432" s="416">
        <f t="shared" si="654"/>
        <v>20</v>
      </c>
      <c r="J432" s="487">
        <f t="shared" si="646"/>
        <v>0</v>
      </c>
      <c r="K432" s="487">
        <f t="shared" si="647"/>
        <v>20</v>
      </c>
      <c r="L432" s="487"/>
      <c r="M432" s="487"/>
      <c r="N432" s="416">
        <v>0</v>
      </c>
      <c r="O432" s="417" t="s">
        <v>530</v>
      </c>
      <c r="Q432" s="562" t="s">
        <v>522</v>
      </c>
      <c r="R432" s="410">
        <v>2.5</v>
      </c>
      <c r="S432" s="411">
        <v>8</v>
      </c>
      <c r="T432" s="412">
        <v>1</v>
      </c>
      <c r="U432" s="486">
        <v>1</v>
      </c>
      <c r="V432" s="486">
        <f t="shared" si="648"/>
        <v>0</v>
      </c>
      <c r="W432" s="416">
        <f t="shared" si="649"/>
        <v>20</v>
      </c>
      <c r="X432" s="487">
        <f t="shared" si="650"/>
        <v>0</v>
      </c>
      <c r="Y432" s="487">
        <f t="shared" si="651"/>
        <v>20</v>
      </c>
      <c r="Z432" s="487"/>
      <c r="AA432" s="487"/>
      <c r="AB432" s="416">
        <v>0</v>
      </c>
      <c r="AC432" s="417" t="s">
        <v>530</v>
      </c>
      <c r="AD432" s="227"/>
      <c r="AE432" s="241">
        <f t="shared" si="642"/>
        <v>5</v>
      </c>
      <c r="AF432" s="204" t="str">
        <f t="shared" si="601"/>
        <v xml:space="preserve">Fournitures pédagogiques </v>
      </c>
      <c r="AG432" s="486">
        <f t="shared" si="655"/>
        <v>1</v>
      </c>
      <c r="AH432" s="486">
        <f t="shared" si="656"/>
        <v>0</v>
      </c>
      <c r="AI432" s="506">
        <f>I432+W432</f>
        <v>40</v>
      </c>
      <c r="AJ432" s="506">
        <f t="shared" si="586"/>
        <v>0</v>
      </c>
      <c r="AK432" s="487">
        <f t="shared" si="614"/>
        <v>0</v>
      </c>
      <c r="AL432" s="487">
        <f t="shared" si="657"/>
        <v>40</v>
      </c>
      <c r="AM432" s="316">
        <f t="shared" si="597"/>
        <v>20</v>
      </c>
      <c r="AN432" s="316">
        <f t="shared" si="598"/>
        <v>0</v>
      </c>
      <c r="AO432" s="316">
        <f t="shared" si="599"/>
        <v>20</v>
      </c>
      <c r="AP432" s="316">
        <f t="shared" si="600"/>
        <v>0</v>
      </c>
      <c r="AQ432" s="186" t="s">
        <v>898</v>
      </c>
      <c r="AR432" s="169" t="s">
        <v>516</v>
      </c>
    </row>
    <row r="433" spans="1:44" s="186" customFormat="1" x14ac:dyDescent="0.3">
      <c r="A433" s="561">
        <v>6</v>
      </c>
      <c r="B433" s="562" t="s">
        <v>523</v>
      </c>
      <c r="C433" s="562" t="s">
        <v>522</v>
      </c>
      <c r="D433" s="541">
        <v>3</v>
      </c>
      <c r="E433" s="411">
        <v>8</v>
      </c>
      <c r="F433" s="412">
        <v>1</v>
      </c>
      <c r="G433" s="486">
        <v>1</v>
      </c>
      <c r="H433" s="486">
        <f t="shared" si="644"/>
        <v>0</v>
      </c>
      <c r="I433" s="416">
        <f t="shared" si="654"/>
        <v>24</v>
      </c>
      <c r="J433" s="487">
        <f t="shared" si="646"/>
        <v>0</v>
      </c>
      <c r="K433" s="487">
        <f t="shared" si="647"/>
        <v>24</v>
      </c>
      <c r="L433" s="487"/>
      <c r="M433" s="487"/>
      <c r="N433" s="416">
        <v>0</v>
      </c>
      <c r="O433" s="417" t="s">
        <v>1484</v>
      </c>
      <c r="Q433" s="562" t="s">
        <v>522</v>
      </c>
      <c r="R433" s="541">
        <v>3</v>
      </c>
      <c r="S433" s="411">
        <v>8</v>
      </c>
      <c r="T433" s="412">
        <v>1</v>
      </c>
      <c r="U433" s="486">
        <v>1</v>
      </c>
      <c r="V433" s="486">
        <f t="shared" si="648"/>
        <v>0</v>
      </c>
      <c r="W433" s="416">
        <f t="shared" si="649"/>
        <v>24</v>
      </c>
      <c r="X433" s="487">
        <f t="shared" si="650"/>
        <v>0</v>
      </c>
      <c r="Y433" s="487">
        <f t="shared" si="651"/>
        <v>24</v>
      </c>
      <c r="Z433" s="487"/>
      <c r="AA433" s="487"/>
      <c r="AB433" s="416">
        <v>0</v>
      </c>
      <c r="AC433" s="417" t="s">
        <v>1484</v>
      </c>
      <c r="AD433" s="227"/>
      <c r="AE433" s="241">
        <f t="shared" si="642"/>
        <v>6</v>
      </c>
      <c r="AF433" s="204" t="str">
        <f t="shared" si="601"/>
        <v>Reprographie des outils de formation et de l'enquête</v>
      </c>
      <c r="AG433" s="486">
        <f t="shared" si="655"/>
        <v>1</v>
      </c>
      <c r="AH433" s="486">
        <f t="shared" si="656"/>
        <v>0</v>
      </c>
      <c r="AI433" s="506">
        <f>I433+W433</f>
        <v>48</v>
      </c>
      <c r="AJ433" s="506">
        <f t="shared" si="586"/>
        <v>0</v>
      </c>
      <c r="AK433" s="487">
        <f t="shared" si="614"/>
        <v>0</v>
      </c>
      <c r="AL433" s="487">
        <f t="shared" si="657"/>
        <v>48</v>
      </c>
      <c r="AM433" s="316">
        <f t="shared" si="597"/>
        <v>24</v>
      </c>
      <c r="AN433" s="316">
        <f t="shared" si="598"/>
        <v>0</v>
      </c>
      <c r="AO433" s="316">
        <f t="shared" si="599"/>
        <v>24</v>
      </c>
      <c r="AP433" s="316">
        <f t="shared" si="600"/>
        <v>0</v>
      </c>
      <c r="AQ433" s="186" t="s">
        <v>898</v>
      </c>
      <c r="AR433" s="169" t="s">
        <v>516</v>
      </c>
    </row>
    <row r="434" spans="1:44" s="182" customFormat="1" ht="12.75" customHeight="1" x14ac:dyDescent="0.3">
      <c r="A434" s="480" t="s">
        <v>1485</v>
      </c>
      <c r="B434" s="861" t="s">
        <v>1486</v>
      </c>
      <c r="C434" s="862"/>
      <c r="D434" s="862"/>
      <c r="E434" s="862"/>
      <c r="F434" s="862"/>
      <c r="G434" s="862"/>
      <c r="H434" s="863"/>
      <c r="I434" s="481">
        <f t="shared" ref="I434:N434" si="658">SUM(I435:I437)</f>
        <v>2110</v>
      </c>
      <c r="J434" s="482">
        <f t="shared" si="658"/>
        <v>0</v>
      </c>
      <c r="K434" s="482">
        <f t="shared" si="658"/>
        <v>2110</v>
      </c>
      <c r="L434" s="482">
        <f t="shared" si="658"/>
        <v>0</v>
      </c>
      <c r="M434" s="482">
        <f t="shared" si="658"/>
        <v>0</v>
      </c>
      <c r="N434" s="481">
        <f t="shared" si="658"/>
        <v>0</v>
      </c>
      <c r="O434" s="508"/>
      <c r="Q434" s="538"/>
      <c r="R434" s="538"/>
      <c r="S434" s="538"/>
      <c r="T434" s="538"/>
      <c r="U434" s="538"/>
      <c r="V434" s="484"/>
      <c r="W434" s="482">
        <f>SUM(W435:W437)</f>
        <v>2110</v>
      </c>
      <c r="X434" s="482">
        <f t="shared" ref="X434:AA434" si="659">SUM(X435:X437)</f>
        <v>0</v>
      </c>
      <c r="Y434" s="482">
        <f>SUM(Y435:Y437)</f>
        <v>2110</v>
      </c>
      <c r="Z434" s="482">
        <f t="shared" si="659"/>
        <v>0</v>
      </c>
      <c r="AA434" s="482">
        <f t="shared" si="659"/>
        <v>0</v>
      </c>
      <c r="AB434" s="481">
        <f>SUM(AB435:AB437)</f>
        <v>0</v>
      </c>
      <c r="AC434" s="508"/>
      <c r="AD434" s="234"/>
      <c r="AE434" s="247" t="str">
        <f t="shared" si="642"/>
        <v>4.8.2</v>
      </c>
      <c r="AF434" s="204" t="str">
        <f t="shared" si="601"/>
        <v>Organiser des missions d'identification des facilitateurs communautaires  autour des formations sanitaires</v>
      </c>
      <c r="AG434" s="485"/>
      <c r="AH434" s="485"/>
      <c r="AI434" s="482">
        <f>I434+W434</f>
        <v>4220</v>
      </c>
      <c r="AJ434" s="482">
        <f t="shared" si="586"/>
        <v>0</v>
      </c>
      <c r="AK434" s="482">
        <f t="shared" si="614"/>
        <v>0</v>
      </c>
      <c r="AL434" s="482">
        <f t="shared" si="657"/>
        <v>4220</v>
      </c>
      <c r="AM434" s="314">
        <f t="shared" si="597"/>
        <v>2110</v>
      </c>
      <c r="AN434" s="314">
        <f t="shared" si="598"/>
        <v>0</v>
      </c>
      <c r="AO434" s="314">
        <f t="shared" si="599"/>
        <v>2110</v>
      </c>
      <c r="AP434" s="314">
        <f t="shared" si="600"/>
        <v>0</v>
      </c>
      <c r="AR434" s="169" t="s">
        <v>516</v>
      </c>
    </row>
    <row r="435" spans="1:44" s="186" customFormat="1" x14ac:dyDescent="0.3">
      <c r="A435" s="561">
        <v>1</v>
      </c>
      <c r="B435" s="562" t="s">
        <v>1487</v>
      </c>
      <c r="C435" s="562" t="s">
        <v>90</v>
      </c>
      <c r="D435" s="410">
        <v>55</v>
      </c>
      <c r="E435" s="411">
        <v>2</v>
      </c>
      <c r="F435" s="412">
        <v>16</v>
      </c>
      <c r="G435" s="486">
        <v>1</v>
      </c>
      <c r="H435" s="486">
        <f t="shared" si="644"/>
        <v>0</v>
      </c>
      <c r="I435" s="416">
        <f t="shared" ref="I435:I437" si="660">D435*E435*F435*G435</f>
        <v>1760</v>
      </c>
      <c r="J435" s="487">
        <f t="shared" ref="J435:J437" si="661">D435*E435*F435*H435</f>
        <v>0</v>
      </c>
      <c r="K435" s="487">
        <f t="shared" ref="K435:K437" si="662">I435</f>
        <v>1760</v>
      </c>
      <c r="L435" s="487"/>
      <c r="M435" s="487"/>
      <c r="N435" s="416">
        <v>0</v>
      </c>
      <c r="O435" s="417" t="s">
        <v>1488</v>
      </c>
      <c r="Q435" s="562" t="s">
        <v>90</v>
      </c>
      <c r="R435" s="410">
        <v>55</v>
      </c>
      <c r="S435" s="411">
        <v>2</v>
      </c>
      <c r="T435" s="412">
        <v>16</v>
      </c>
      <c r="U435" s="486">
        <v>1</v>
      </c>
      <c r="V435" s="486">
        <f t="shared" ref="V435:V437" si="663">100%-U435</f>
        <v>0</v>
      </c>
      <c r="W435" s="416">
        <f t="shared" ref="W435:W437" si="664">R435*S435*T435*U435</f>
        <v>1760</v>
      </c>
      <c r="X435" s="487">
        <f t="shared" ref="X435:X437" si="665">R435*S435*T435*V435</f>
        <v>0</v>
      </c>
      <c r="Y435" s="487">
        <f t="shared" ref="Y435:Y437" si="666">W435</f>
        <v>1760</v>
      </c>
      <c r="Z435" s="487"/>
      <c r="AA435" s="487"/>
      <c r="AB435" s="416">
        <v>0</v>
      </c>
      <c r="AC435" s="417" t="s">
        <v>1488</v>
      </c>
      <c r="AD435" s="227"/>
      <c r="AE435" s="241">
        <f t="shared" si="642"/>
        <v>1</v>
      </c>
      <c r="AF435" s="204" t="str">
        <f t="shared" si="601"/>
        <v xml:space="preserve">Perdiem équipe </v>
      </c>
      <c r="AG435" s="486">
        <f t="shared" ref="AG435:AG437" si="667">AI435/($AI435+$AK435)</f>
        <v>1</v>
      </c>
      <c r="AH435" s="486">
        <f t="shared" ref="AH435:AH437" si="668">AK435/($AI435+$AK435)</f>
        <v>0</v>
      </c>
      <c r="AI435" s="506">
        <v>8</v>
      </c>
      <c r="AJ435" s="506">
        <f t="shared" si="586"/>
        <v>0</v>
      </c>
      <c r="AK435" s="487">
        <f t="shared" si="614"/>
        <v>0</v>
      </c>
      <c r="AL435" s="487">
        <f t="shared" si="657"/>
        <v>8</v>
      </c>
      <c r="AM435" s="316">
        <f t="shared" si="597"/>
        <v>1760</v>
      </c>
      <c r="AN435" s="316">
        <f t="shared" si="598"/>
        <v>0</v>
      </c>
      <c r="AO435" s="316">
        <f t="shared" si="599"/>
        <v>1760</v>
      </c>
      <c r="AP435" s="316">
        <f t="shared" si="600"/>
        <v>0</v>
      </c>
      <c r="AQ435" s="186" t="s">
        <v>898</v>
      </c>
      <c r="AR435" s="169" t="s">
        <v>516</v>
      </c>
    </row>
    <row r="436" spans="1:44" s="186" customFormat="1" x14ac:dyDescent="0.3">
      <c r="A436" s="561">
        <v>2</v>
      </c>
      <c r="B436" s="562" t="s">
        <v>573</v>
      </c>
      <c r="C436" s="562" t="s">
        <v>1489</v>
      </c>
      <c r="D436" s="410">
        <v>10</v>
      </c>
      <c r="E436" s="411">
        <v>3</v>
      </c>
      <c r="F436" s="412">
        <v>5</v>
      </c>
      <c r="G436" s="486">
        <v>1</v>
      </c>
      <c r="H436" s="486">
        <f t="shared" si="644"/>
        <v>0</v>
      </c>
      <c r="I436" s="416">
        <f t="shared" si="660"/>
        <v>150</v>
      </c>
      <c r="J436" s="487">
        <f t="shared" si="661"/>
        <v>0</v>
      </c>
      <c r="K436" s="487">
        <f t="shared" si="662"/>
        <v>150</v>
      </c>
      <c r="L436" s="487"/>
      <c r="M436" s="487"/>
      <c r="N436" s="416">
        <v>0</v>
      </c>
      <c r="O436" s="417" t="s">
        <v>1490</v>
      </c>
      <c r="Q436" s="562" t="s">
        <v>1489</v>
      </c>
      <c r="R436" s="410">
        <v>10</v>
      </c>
      <c r="S436" s="411">
        <v>3</v>
      </c>
      <c r="T436" s="412">
        <v>5</v>
      </c>
      <c r="U436" s="486">
        <v>1</v>
      </c>
      <c r="V436" s="486">
        <f t="shared" si="663"/>
        <v>0</v>
      </c>
      <c r="W436" s="416">
        <f t="shared" si="664"/>
        <v>150</v>
      </c>
      <c r="X436" s="487">
        <f t="shared" si="665"/>
        <v>0</v>
      </c>
      <c r="Y436" s="487">
        <f t="shared" si="666"/>
        <v>150</v>
      </c>
      <c r="Z436" s="487"/>
      <c r="AA436" s="487"/>
      <c r="AB436" s="416">
        <v>0</v>
      </c>
      <c r="AC436" s="417" t="s">
        <v>1490</v>
      </c>
      <c r="AD436" s="227"/>
      <c r="AE436" s="241">
        <f t="shared" si="642"/>
        <v>2</v>
      </c>
      <c r="AF436" s="204" t="str">
        <f t="shared" si="601"/>
        <v xml:space="preserve">Communication </v>
      </c>
      <c r="AG436" s="486">
        <f t="shared" si="667"/>
        <v>1</v>
      </c>
      <c r="AH436" s="486">
        <f t="shared" si="668"/>
        <v>0</v>
      </c>
      <c r="AI436" s="506">
        <f>I436+W436</f>
        <v>300</v>
      </c>
      <c r="AJ436" s="506">
        <f t="shared" si="586"/>
        <v>0</v>
      </c>
      <c r="AK436" s="487">
        <f t="shared" si="614"/>
        <v>0</v>
      </c>
      <c r="AL436" s="487">
        <f t="shared" si="657"/>
        <v>300</v>
      </c>
      <c r="AM436" s="316">
        <f t="shared" si="597"/>
        <v>150</v>
      </c>
      <c r="AN436" s="316">
        <f t="shared" si="598"/>
        <v>0</v>
      </c>
      <c r="AO436" s="316">
        <f t="shared" si="599"/>
        <v>150</v>
      </c>
      <c r="AP436" s="316">
        <f t="shared" si="600"/>
        <v>0</v>
      </c>
      <c r="AQ436" s="186" t="s">
        <v>898</v>
      </c>
      <c r="AR436" s="169" t="s">
        <v>516</v>
      </c>
    </row>
    <row r="437" spans="1:44" s="186" customFormat="1" x14ac:dyDescent="0.3">
      <c r="A437" s="561">
        <v>3</v>
      </c>
      <c r="B437" s="562" t="s">
        <v>1491</v>
      </c>
      <c r="C437" s="562" t="s">
        <v>90</v>
      </c>
      <c r="D437" s="541">
        <v>100</v>
      </c>
      <c r="E437" s="411">
        <v>2</v>
      </c>
      <c r="F437" s="412">
        <v>1</v>
      </c>
      <c r="G437" s="486">
        <v>1</v>
      </c>
      <c r="H437" s="486">
        <f t="shared" si="644"/>
        <v>0</v>
      </c>
      <c r="I437" s="416">
        <f t="shared" si="660"/>
        <v>200</v>
      </c>
      <c r="J437" s="487">
        <f t="shared" si="661"/>
        <v>0</v>
      </c>
      <c r="K437" s="487">
        <f t="shared" si="662"/>
        <v>200</v>
      </c>
      <c r="L437" s="487"/>
      <c r="M437" s="487"/>
      <c r="N437" s="416">
        <v>0</v>
      </c>
      <c r="O437" s="417" t="s">
        <v>1492</v>
      </c>
      <c r="Q437" s="562" t="s">
        <v>90</v>
      </c>
      <c r="R437" s="541">
        <v>100</v>
      </c>
      <c r="S437" s="411">
        <v>2</v>
      </c>
      <c r="T437" s="412">
        <v>1</v>
      </c>
      <c r="U437" s="486">
        <v>1</v>
      </c>
      <c r="V437" s="486">
        <f t="shared" si="663"/>
        <v>0</v>
      </c>
      <c r="W437" s="416">
        <f t="shared" si="664"/>
        <v>200</v>
      </c>
      <c r="X437" s="487">
        <f t="shared" si="665"/>
        <v>0</v>
      </c>
      <c r="Y437" s="487">
        <f t="shared" si="666"/>
        <v>200</v>
      </c>
      <c r="Z437" s="487"/>
      <c r="AA437" s="487"/>
      <c r="AB437" s="416">
        <v>0</v>
      </c>
      <c r="AC437" s="417" t="s">
        <v>1492</v>
      </c>
      <c r="AD437" s="227"/>
      <c r="AE437" s="241">
        <f t="shared" si="642"/>
        <v>3</v>
      </c>
      <c r="AF437" s="204" t="str">
        <f t="shared" si="601"/>
        <v xml:space="preserve">Transport local </v>
      </c>
      <c r="AG437" s="486">
        <f t="shared" si="667"/>
        <v>1</v>
      </c>
      <c r="AH437" s="486">
        <f t="shared" si="668"/>
        <v>0</v>
      </c>
      <c r="AI437" s="506">
        <f>I437+W437</f>
        <v>400</v>
      </c>
      <c r="AJ437" s="506">
        <f t="shared" si="586"/>
        <v>0</v>
      </c>
      <c r="AK437" s="487">
        <f t="shared" si="614"/>
        <v>0</v>
      </c>
      <c r="AL437" s="487">
        <f t="shared" si="657"/>
        <v>400</v>
      </c>
      <c r="AM437" s="316">
        <f t="shared" si="597"/>
        <v>200</v>
      </c>
      <c r="AN437" s="316">
        <f t="shared" si="598"/>
        <v>0</v>
      </c>
      <c r="AO437" s="316">
        <f t="shared" si="599"/>
        <v>200</v>
      </c>
      <c r="AP437" s="316">
        <f t="shared" si="600"/>
        <v>0</v>
      </c>
      <c r="AQ437" s="186" t="s">
        <v>898</v>
      </c>
      <c r="AR437" s="169" t="s">
        <v>516</v>
      </c>
    </row>
    <row r="438" spans="1:44" s="182" customFormat="1" ht="12.75" customHeight="1" x14ac:dyDescent="0.3">
      <c r="A438" s="480" t="s">
        <v>1493</v>
      </c>
      <c r="B438" s="861" t="s">
        <v>320</v>
      </c>
      <c r="C438" s="862"/>
      <c r="D438" s="862"/>
      <c r="E438" s="862"/>
      <c r="F438" s="862"/>
      <c r="G438" s="862"/>
      <c r="H438" s="863"/>
      <c r="I438" s="481">
        <f t="shared" ref="I438:N438" si="669">SUM(I439:I444)</f>
        <v>3418.5</v>
      </c>
      <c r="J438" s="482">
        <f t="shared" si="669"/>
        <v>0</v>
      </c>
      <c r="K438" s="482">
        <f t="shared" si="669"/>
        <v>3418.5</v>
      </c>
      <c r="L438" s="482">
        <f t="shared" si="669"/>
        <v>0</v>
      </c>
      <c r="M438" s="482">
        <f t="shared" si="669"/>
        <v>0</v>
      </c>
      <c r="N438" s="481">
        <f t="shared" si="669"/>
        <v>0</v>
      </c>
      <c r="O438" s="508"/>
      <c r="Q438" s="538"/>
      <c r="R438" s="538"/>
      <c r="S438" s="538"/>
      <c r="T438" s="538"/>
      <c r="U438" s="538"/>
      <c r="V438" s="484"/>
      <c r="W438" s="482">
        <f>SUM(W439:W444)</f>
        <v>3418.5</v>
      </c>
      <c r="X438" s="482">
        <f t="shared" ref="X438:AB438" si="670">SUM(X439:X444)</f>
        <v>0</v>
      </c>
      <c r="Y438" s="482">
        <f t="shared" si="670"/>
        <v>3418.5</v>
      </c>
      <c r="Z438" s="482">
        <f t="shared" si="670"/>
        <v>0</v>
      </c>
      <c r="AA438" s="482">
        <f t="shared" si="670"/>
        <v>0</v>
      </c>
      <c r="AB438" s="481">
        <f t="shared" si="670"/>
        <v>0</v>
      </c>
      <c r="AC438" s="508"/>
      <c r="AD438" s="234"/>
      <c r="AE438" s="247" t="str">
        <f t="shared" si="642"/>
        <v>4.8.3</v>
      </c>
      <c r="AF438" s="204" t="str">
        <f t="shared" si="601"/>
        <v>Organiser  une session de formation des facilitateurs communautaires sur l'approche Washindi</v>
      </c>
      <c r="AG438" s="485"/>
      <c r="AH438" s="485"/>
      <c r="AI438" s="482">
        <f>I438+W438</f>
        <v>6837</v>
      </c>
      <c r="AJ438" s="482">
        <f t="shared" si="586"/>
        <v>0</v>
      </c>
      <c r="AK438" s="482">
        <f t="shared" si="614"/>
        <v>0</v>
      </c>
      <c r="AL438" s="482">
        <f t="shared" si="657"/>
        <v>6837</v>
      </c>
      <c r="AM438" s="314">
        <f t="shared" si="597"/>
        <v>3418.5</v>
      </c>
      <c r="AN438" s="314">
        <f t="shared" si="598"/>
        <v>0</v>
      </c>
      <c r="AO438" s="314">
        <f t="shared" si="599"/>
        <v>3418.5</v>
      </c>
      <c r="AP438" s="314">
        <f t="shared" si="600"/>
        <v>0</v>
      </c>
      <c r="AR438" s="169" t="s">
        <v>516</v>
      </c>
    </row>
    <row r="439" spans="1:44" s="186" customFormat="1" x14ac:dyDescent="0.3">
      <c r="A439" s="561">
        <v>1</v>
      </c>
      <c r="B439" s="562" t="s">
        <v>450</v>
      </c>
      <c r="C439" s="562" t="s">
        <v>524</v>
      </c>
      <c r="D439" s="410">
        <v>50</v>
      </c>
      <c r="E439" s="411">
        <v>1</v>
      </c>
      <c r="F439" s="412">
        <v>6</v>
      </c>
      <c r="G439" s="486">
        <v>1</v>
      </c>
      <c r="H439" s="486">
        <f t="shared" si="644"/>
        <v>0</v>
      </c>
      <c r="I439" s="416">
        <f t="shared" ref="I439:I444" si="671">D439*E439*F439*G439</f>
        <v>300</v>
      </c>
      <c r="J439" s="487">
        <f t="shared" ref="J439:J444" si="672">D439*E439*F439*H439</f>
        <v>0</v>
      </c>
      <c r="K439" s="487">
        <f t="shared" ref="K439:K444" si="673">I439</f>
        <v>300</v>
      </c>
      <c r="L439" s="487"/>
      <c r="M439" s="487"/>
      <c r="N439" s="416">
        <v>0</v>
      </c>
      <c r="O439" s="417" t="s">
        <v>1494</v>
      </c>
      <c r="Q439" s="562" t="s">
        <v>524</v>
      </c>
      <c r="R439" s="410">
        <v>50</v>
      </c>
      <c r="S439" s="411">
        <v>1</v>
      </c>
      <c r="T439" s="412">
        <v>6</v>
      </c>
      <c r="U439" s="486">
        <v>1</v>
      </c>
      <c r="V439" s="486">
        <f t="shared" ref="V439:V444" si="674">100%-U439</f>
        <v>0</v>
      </c>
      <c r="W439" s="416">
        <f t="shared" ref="W439:W444" si="675">R439*S439*T439*U439</f>
        <v>300</v>
      </c>
      <c r="X439" s="487">
        <f t="shared" ref="X439:X444" si="676">R439*S439*T439*V439</f>
        <v>0</v>
      </c>
      <c r="Y439" s="487">
        <f t="shared" ref="Y439:Y444" si="677">W439</f>
        <v>300</v>
      </c>
      <c r="Z439" s="487"/>
      <c r="AA439" s="487"/>
      <c r="AB439" s="416">
        <v>0</v>
      </c>
      <c r="AC439" s="417" t="s">
        <v>1494</v>
      </c>
      <c r="AD439" s="227"/>
      <c r="AE439" s="241">
        <f t="shared" si="642"/>
        <v>1</v>
      </c>
      <c r="AF439" s="204" t="str">
        <f t="shared" si="601"/>
        <v xml:space="preserve">Location salle </v>
      </c>
      <c r="AG439" s="486">
        <f t="shared" ref="AG439:AG444" si="678">AI439/($AI439+$AK439)</f>
        <v>1</v>
      </c>
      <c r="AH439" s="486">
        <f t="shared" ref="AH439:AH444" si="679">AK439/($AI439+$AK439)</f>
        <v>0</v>
      </c>
      <c r="AI439" s="506">
        <v>8</v>
      </c>
      <c r="AJ439" s="506">
        <f t="shared" si="586"/>
        <v>0</v>
      </c>
      <c r="AK439" s="487">
        <f t="shared" si="614"/>
        <v>0</v>
      </c>
      <c r="AL439" s="487">
        <f t="shared" si="657"/>
        <v>8</v>
      </c>
      <c r="AM439" s="316">
        <f t="shared" si="597"/>
        <v>300</v>
      </c>
      <c r="AN439" s="316">
        <f t="shared" si="598"/>
        <v>0</v>
      </c>
      <c r="AO439" s="316">
        <f t="shared" si="599"/>
        <v>300</v>
      </c>
      <c r="AP439" s="316">
        <f t="shared" si="600"/>
        <v>0</v>
      </c>
      <c r="AQ439" s="186" t="s">
        <v>898</v>
      </c>
      <c r="AR439" s="169" t="s">
        <v>516</v>
      </c>
    </row>
    <row r="440" spans="1:44" s="186" customFormat="1" x14ac:dyDescent="0.3">
      <c r="A440" s="561">
        <v>2</v>
      </c>
      <c r="B440" s="562" t="s">
        <v>525</v>
      </c>
      <c r="C440" s="562" t="s">
        <v>90</v>
      </c>
      <c r="D440" s="410">
        <v>2</v>
      </c>
      <c r="E440" s="411">
        <v>33</v>
      </c>
      <c r="F440" s="412">
        <v>6</v>
      </c>
      <c r="G440" s="486">
        <v>1</v>
      </c>
      <c r="H440" s="486">
        <f t="shared" si="644"/>
        <v>0</v>
      </c>
      <c r="I440" s="416">
        <f t="shared" si="671"/>
        <v>396</v>
      </c>
      <c r="J440" s="487">
        <f t="shared" si="672"/>
        <v>0</v>
      </c>
      <c r="K440" s="487">
        <f t="shared" si="673"/>
        <v>396</v>
      </c>
      <c r="L440" s="487"/>
      <c r="M440" s="487"/>
      <c r="N440" s="416">
        <v>0</v>
      </c>
      <c r="O440" s="417" t="s">
        <v>1495</v>
      </c>
      <c r="Q440" s="562" t="s">
        <v>90</v>
      </c>
      <c r="R440" s="410">
        <v>2</v>
      </c>
      <c r="S440" s="411">
        <v>33</v>
      </c>
      <c r="T440" s="412">
        <v>6</v>
      </c>
      <c r="U440" s="486">
        <v>1</v>
      </c>
      <c r="V440" s="486">
        <f t="shared" si="674"/>
        <v>0</v>
      </c>
      <c r="W440" s="416">
        <f t="shared" si="675"/>
        <v>396</v>
      </c>
      <c r="X440" s="487">
        <f t="shared" si="676"/>
        <v>0</v>
      </c>
      <c r="Y440" s="487">
        <f t="shared" si="677"/>
        <v>396</v>
      </c>
      <c r="Z440" s="487"/>
      <c r="AA440" s="487"/>
      <c r="AB440" s="416">
        <v>0</v>
      </c>
      <c r="AC440" s="417" t="s">
        <v>1495</v>
      </c>
      <c r="AD440" s="227"/>
      <c r="AE440" s="241">
        <f t="shared" si="642"/>
        <v>2</v>
      </c>
      <c r="AF440" s="204" t="str">
        <f t="shared" si="601"/>
        <v xml:space="preserve">Restauration Pause café </v>
      </c>
      <c r="AG440" s="486">
        <f t="shared" si="678"/>
        <v>1</v>
      </c>
      <c r="AH440" s="486">
        <f t="shared" si="679"/>
        <v>0</v>
      </c>
      <c r="AI440" s="506">
        <f>I440+W440</f>
        <v>792</v>
      </c>
      <c r="AJ440" s="506">
        <f t="shared" si="586"/>
        <v>0</v>
      </c>
      <c r="AK440" s="487">
        <f t="shared" si="614"/>
        <v>0</v>
      </c>
      <c r="AL440" s="487">
        <f t="shared" si="657"/>
        <v>792</v>
      </c>
      <c r="AM440" s="316">
        <f t="shared" si="597"/>
        <v>396</v>
      </c>
      <c r="AN440" s="316">
        <f t="shared" si="598"/>
        <v>0</v>
      </c>
      <c r="AO440" s="316">
        <f t="shared" si="599"/>
        <v>396</v>
      </c>
      <c r="AP440" s="316">
        <f t="shared" si="600"/>
        <v>0</v>
      </c>
      <c r="AQ440" s="186" t="s">
        <v>898</v>
      </c>
      <c r="AR440" s="169" t="s">
        <v>516</v>
      </c>
    </row>
    <row r="441" spans="1:44" s="186" customFormat="1" x14ac:dyDescent="0.3">
      <c r="A441" s="561">
        <v>3</v>
      </c>
      <c r="B441" s="562" t="s">
        <v>526</v>
      </c>
      <c r="C441" s="562" t="s">
        <v>90</v>
      </c>
      <c r="D441" s="541">
        <v>5</v>
      </c>
      <c r="E441" s="411">
        <v>33</v>
      </c>
      <c r="F441" s="412">
        <v>6</v>
      </c>
      <c r="G441" s="486">
        <v>1</v>
      </c>
      <c r="H441" s="486">
        <f t="shared" si="644"/>
        <v>0</v>
      </c>
      <c r="I441" s="416">
        <f t="shared" si="671"/>
        <v>990</v>
      </c>
      <c r="J441" s="487">
        <f t="shared" si="672"/>
        <v>0</v>
      </c>
      <c r="K441" s="487">
        <f t="shared" si="673"/>
        <v>990</v>
      </c>
      <c r="L441" s="487"/>
      <c r="M441" s="487"/>
      <c r="N441" s="416">
        <v>0</v>
      </c>
      <c r="O441" s="417" t="s">
        <v>1495</v>
      </c>
      <c r="Q441" s="562" t="s">
        <v>90</v>
      </c>
      <c r="R441" s="541">
        <v>5</v>
      </c>
      <c r="S441" s="411">
        <v>33</v>
      </c>
      <c r="T441" s="412">
        <v>6</v>
      </c>
      <c r="U441" s="486">
        <v>1</v>
      </c>
      <c r="V441" s="486">
        <f t="shared" si="674"/>
        <v>0</v>
      </c>
      <c r="W441" s="416">
        <f t="shared" si="675"/>
        <v>990</v>
      </c>
      <c r="X441" s="487">
        <f t="shared" si="676"/>
        <v>0</v>
      </c>
      <c r="Y441" s="487">
        <f t="shared" si="677"/>
        <v>990</v>
      </c>
      <c r="Z441" s="487"/>
      <c r="AA441" s="487"/>
      <c r="AB441" s="416">
        <v>0</v>
      </c>
      <c r="AC441" s="417" t="s">
        <v>1495</v>
      </c>
      <c r="AD441" s="227"/>
      <c r="AE441" s="241">
        <f t="shared" si="642"/>
        <v>3</v>
      </c>
      <c r="AF441" s="204" t="str">
        <f t="shared" si="601"/>
        <v>Pestauration repas midi</v>
      </c>
      <c r="AG441" s="486">
        <f t="shared" si="678"/>
        <v>1</v>
      </c>
      <c r="AH441" s="486">
        <f t="shared" si="679"/>
        <v>0</v>
      </c>
      <c r="AI441" s="506">
        <f>I441+W441</f>
        <v>1980</v>
      </c>
      <c r="AJ441" s="506">
        <f t="shared" si="586"/>
        <v>0</v>
      </c>
      <c r="AK441" s="487">
        <f t="shared" si="614"/>
        <v>0</v>
      </c>
      <c r="AL441" s="487">
        <f t="shared" si="657"/>
        <v>1980</v>
      </c>
      <c r="AM441" s="316">
        <f t="shared" si="597"/>
        <v>990</v>
      </c>
      <c r="AN441" s="316">
        <f t="shared" si="598"/>
        <v>0</v>
      </c>
      <c r="AO441" s="316">
        <f t="shared" si="599"/>
        <v>990</v>
      </c>
      <c r="AP441" s="316">
        <f t="shared" si="600"/>
        <v>0</v>
      </c>
      <c r="AQ441" s="186" t="s">
        <v>898</v>
      </c>
      <c r="AR441" s="169" t="s">
        <v>516</v>
      </c>
    </row>
    <row r="442" spans="1:44" s="186" customFormat="1" x14ac:dyDescent="0.3">
      <c r="A442" s="561">
        <v>4</v>
      </c>
      <c r="B442" s="562" t="s">
        <v>403</v>
      </c>
      <c r="C442" s="562" t="s">
        <v>90</v>
      </c>
      <c r="D442" s="410">
        <v>5</v>
      </c>
      <c r="E442" s="411">
        <v>33</v>
      </c>
      <c r="F442" s="412">
        <v>6</v>
      </c>
      <c r="G442" s="486">
        <v>1</v>
      </c>
      <c r="H442" s="486">
        <f t="shared" si="644"/>
        <v>0</v>
      </c>
      <c r="I442" s="416">
        <f t="shared" si="671"/>
        <v>990</v>
      </c>
      <c r="J442" s="487">
        <f t="shared" si="672"/>
        <v>0</v>
      </c>
      <c r="K442" s="487">
        <f t="shared" si="673"/>
        <v>990</v>
      </c>
      <c r="L442" s="487"/>
      <c r="M442" s="487"/>
      <c r="N442" s="416">
        <v>0</v>
      </c>
      <c r="O442" s="417" t="s">
        <v>1495</v>
      </c>
      <c r="Q442" s="562" t="s">
        <v>90</v>
      </c>
      <c r="R442" s="410">
        <v>5</v>
      </c>
      <c r="S442" s="411">
        <v>33</v>
      </c>
      <c r="T442" s="412">
        <v>6</v>
      </c>
      <c r="U442" s="486">
        <v>1</v>
      </c>
      <c r="V442" s="486">
        <f t="shared" si="674"/>
        <v>0</v>
      </c>
      <c r="W442" s="416">
        <f t="shared" si="675"/>
        <v>990</v>
      </c>
      <c r="X442" s="487">
        <f t="shared" si="676"/>
        <v>0</v>
      </c>
      <c r="Y442" s="487">
        <f t="shared" si="677"/>
        <v>990</v>
      </c>
      <c r="Z442" s="487"/>
      <c r="AA442" s="487"/>
      <c r="AB442" s="416">
        <v>0</v>
      </c>
      <c r="AC442" s="417" t="s">
        <v>1495</v>
      </c>
      <c r="AD442" s="227"/>
      <c r="AE442" s="241">
        <f t="shared" si="642"/>
        <v>4</v>
      </c>
      <c r="AF442" s="204" t="str">
        <f t="shared" si="601"/>
        <v xml:space="preserve">Transport des participants </v>
      </c>
      <c r="AG442" s="486">
        <f t="shared" si="678"/>
        <v>1</v>
      </c>
      <c r="AH442" s="486">
        <f t="shared" si="679"/>
        <v>0</v>
      </c>
      <c r="AI442" s="506">
        <v>8</v>
      </c>
      <c r="AJ442" s="506">
        <f t="shared" si="586"/>
        <v>0</v>
      </c>
      <c r="AK442" s="487">
        <f t="shared" si="614"/>
        <v>0</v>
      </c>
      <c r="AL442" s="487">
        <f t="shared" ref="AL442:AL448" si="680">AI442+AJ442+AK442</f>
        <v>8</v>
      </c>
      <c r="AM442" s="316">
        <f t="shared" si="597"/>
        <v>990</v>
      </c>
      <c r="AN442" s="316">
        <f t="shared" si="598"/>
        <v>0</v>
      </c>
      <c r="AO442" s="316">
        <f t="shared" si="599"/>
        <v>990</v>
      </c>
      <c r="AP442" s="316">
        <f t="shared" si="600"/>
        <v>0</v>
      </c>
      <c r="AQ442" s="186" t="s">
        <v>898</v>
      </c>
      <c r="AR442" s="169" t="s">
        <v>516</v>
      </c>
    </row>
    <row r="443" spans="1:44" s="186" customFormat="1" x14ac:dyDescent="0.3">
      <c r="A443" s="561">
        <v>5</v>
      </c>
      <c r="B443" s="562" t="s">
        <v>521</v>
      </c>
      <c r="C443" s="562" t="s">
        <v>466</v>
      </c>
      <c r="D443" s="410">
        <v>2.5</v>
      </c>
      <c r="E443" s="411">
        <v>33</v>
      </c>
      <c r="F443" s="412">
        <v>1</v>
      </c>
      <c r="G443" s="486">
        <v>1</v>
      </c>
      <c r="H443" s="486">
        <f t="shared" si="644"/>
        <v>0</v>
      </c>
      <c r="I443" s="416">
        <f t="shared" si="671"/>
        <v>82.5</v>
      </c>
      <c r="J443" s="487">
        <f t="shared" si="672"/>
        <v>0</v>
      </c>
      <c r="K443" s="487">
        <f t="shared" si="673"/>
        <v>82.5</v>
      </c>
      <c r="L443" s="487"/>
      <c r="M443" s="487"/>
      <c r="N443" s="416">
        <v>0</v>
      </c>
      <c r="O443" s="417" t="s">
        <v>530</v>
      </c>
      <c r="Q443" s="562" t="s">
        <v>466</v>
      </c>
      <c r="R443" s="410">
        <v>2.5</v>
      </c>
      <c r="S443" s="411">
        <v>33</v>
      </c>
      <c r="T443" s="412">
        <v>1</v>
      </c>
      <c r="U443" s="486">
        <v>1</v>
      </c>
      <c r="V443" s="486">
        <f t="shared" si="674"/>
        <v>0</v>
      </c>
      <c r="W443" s="416">
        <f t="shared" si="675"/>
        <v>82.5</v>
      </c>
      <c r="X443" s="487">
        <f t="shared" si="676"/>
        <v>0</v>
      </c>
      <c r="Y443" s="487">
        <f t="shared" si="677"/>
        <v>82.5</v>
      </c>
      <c r="Z443" s="487"/>
      <c r="AA443" s="487"/>
      <c r="AB443" s="416">
        <v>0</v>
      </c>
      <c r="AC443" s="417" t="s">
        <v>530</v>
      </c>
      <c r="AD443" s="227"/>
      <c r="AE443" s="241">
        <f t="shared" si="642"/>
        <v>5</v>
      </c>
      <c r="AF443" s="204" t="str">
        <f t="shared" si="601"/>
        <v xml:space="preserve">Fournitures pédagogiques </v>
      </c>
      <c r="AG443" s="486">
        <f t="shared" si="678"/>
        <v>1</v>
      </c>
      <c r="AH443" s="486">
        <f t="shared" si="679"/>
        <v>0</v>
      </c>
      <c r="AI443" s="506">
        <f>I443+W443</f>
        <v>165</v>
      </c>
      <c r="AJ443" s="506">
        <f t="shared" si="586"/>
        <v>0</v>
      </c>
      <c r="AK443" s="487">
        <f t="shared" ref="AK443:AK474" si="681">J443+X443</f>
        <v>0</v>
      </c>
      <c r="AL443" s="487">
        <f t="shared" si="680"/>
        <v>165</v>
      </c>
      <c r="AM443" s="316">
        <f t="shared" si="597"/>
        <v>82.5</v>
      </c>
      <c r="AN443" s="316">
        <f t="shared" si="598"/>
        <v>0</v>
      </c>
      <c r="AO443" s="316">
        <f t="shared" si="599"/>
        <v>82.5</v>
      </c>
      <c r="AP443" s="316">
        <f t="shared" si="600"/>
        <v>0</v>
      </c>
      <c r="AQ443" s="186" t="s">
        <v>898</v>
      </c>
      <c r="AR443" s="169" t="s">
        <v>516</v>
      </c>
    </row>
    <row r="444" spans="1:44" s="186" customFormat="1" x14ac:dyDescent="0.3">
      <c r="A444" s="561">
        <v>6</v>
      </c>
      <c r="B444" s="562" t="s">
        <v>527</v>
      </c>
      <c r="C444" s="562" t="s">
        <v>528</v>
      </c>
      <c r="D444" s="541">
        <v>55</v>
      </c>
      <c r="E444" s="411">
        <v>6</v>
      </c>
      <c r="F444" s="412">
        <v>2</v>
      </c>
      <c r="G444" s="486">
        <v>1</v>
      </c>
      <c r="H444" s="486">
        <f t="shared" si="644"/>
        <v>0</v>
      </c>
      <c r="I444" s="416">
        <f t="shared" si="671"/>
        <v>660</v>
      </c>
      <c r="J444" s="487">
        <f t="shared" si="672"/>
        <v>0</v>
      </c>
      <c r="K444" s="487">
        <f t="shared" si="673"/>
        <v>660</v>
      </c>
      <c r="L444" s="487"/>
      <c r="M444" s="487"/>
      <c r="N444" s="416">
        <v>0</v>
      </c>
      <c r="O444" s="417" t="s">
        <v>1496</v>
      </c>
      <c r="Q444" s="562" t="s">
        <v>528</v>
      </c>
      <c r="R444" s="541">
        <v>55</v>
      </c>
      <c r="S444" s="411">
        <v>6</v>
      </c>
      <c r="T444" s="412">
        <v>2</v>
      </c>
      <c r="U444" s="486">
        <v>1</v>
      </c>
      <c r="V444" s="486">
        <f t="shared" si="674"/>
        <v>0</v>
      </c>
      <c r="W444" s="416">
        <f t="shared" si="675"/>
        <v>660</v>
      </c>
      <c r="X444" s="487">
        <f t="shared" si="676"/>
        <v>0</v>
      </c>
      <c r="Y444" s="487">
        <f t="shared" si="677"/>
        <v>660</v>
      </c>
      <c r="Z444" s="487"/>
      <c r="AA444" s="487"/>
      <c r="AB444" s="416">
        <v>0</v>
      </c>
      <c r="AC444" s="417" t="s">
        <v>1496</v>
      </c>
      <c r="AD444" s="227"/>
      <c r="AE444" s="241">
        <f t="shared" si="642"/>
        <v>6</v>
      </c>
      <c r="AF444" s="204" t="str">
        <f t="shared" si="601"/>
        <v xml:space="preserve">Perdiem des formateurs </v>
      </c>
      <c r="AG444" s="486">
        <f t="shared" si="678"/>
        <v>1</v>
      </c>
      <c r="AH444" s="486">
        <f t="shared" si="679"/>
        <v>0</v>
      </c>
      <c r="AI444" s="506">
        <f>I444+W444</f>
        <v>1320</v>
      </c>
      <c r="AJ444" s="506">
        <f t="shared" si="586"/>
        <v>0</v>
      </c>
      <c r="AK444" s="487">
        <f t="shared" si="681"/>
        <v>0</v>
      </c>
      <c r="AL444" s="487">
        <f t="shared" si="680"/>
        <v>1320</v>
      </c>
      <c r="AM444" s="316">
        <f t="shared" si="597"/>
        <v>660</v>
      </c>
      <c r="AN444" s="316">
        <f t="shared" si="598"/>
        <v>0</v>
      </c>
      <c r="AO444" s="316">
        <f t="shared" si="599"/>
        <v>660</v>
      </c>
      <c r="AP444" s="316">
        <f t="shared" si="600"/>
        <v>0</v>
      </c>
      <c r="AQ444" s="186" t="s">
        <v>898</v>
      </c>
      <c r="AR444" s="169" t="s">
        <v>516</v>
      </c>
    </row>
    <row r="445" spans="1:44" s="182" customFormat="1" ht="12.75" customHeight="1" x14ac:dyDescent="0.3">
      <c r="A445" s="480" t="s">
        <v>1497</v>
      </c>
      <c r="B445" s="861" t="s">
        <v>321</v>
      </c>
      <c r="C445" s="862"/>
      <c r="D445" s="862"/>
      <c r="E445" s="862"/>
      <c r="F445" s="862"/>
      <c r="G445" s="862"/>
      <c r="H445" s="863"/>
      <c r="I445" s="481">
        <f t="shared" ref="I445:N445" si="682">SUM(I446:I451)</f>
        <v>1442.5</v>
      </c>
      <c r="J445" s="482">
        <f t="shared" si="682"/>
        <v>0</v>
      </c>
      <c r="K445" s="482">
        <f t="shared" si="682"/>
        <v>1442.5</v>
      </c>
      <c r="L445" s="482">
        <f t="shared" si="682"/>
        <v>0</v>
      </c>
      <c r="M445" s="482">
        <f t="shared" si="682"/>
        <v>0</v>
      </c>
      <c r="N445" s="481">
        <f t="shared" si="682"/>
        <v>0</v>
      </c>
      <c r="O445" s="508"/>
      <c r="Q445" s="538"/>
      <c r="R445" s="538"/>
      <c r="S445" s="538"/>
      <c r="T445" s="538"/>
      <c r="U445" s="538"/>
      <c r="V445" s="484"/>
      <c r="W445" s="482">
        <f>SUM(W446:W451)</f>
        <v>1442.5</v>
      </c>
      <c r="X445" s="482">
        <f t="shared" ref="X445:AB445" si="683">SUM(X446:X451)</f>
        <v>0</v>
      </c>
      <c r="Y445" s="482">
        <f t="shared" si="683"/>
        <v>1442.5</v>
      </c>
      <c r="Z445" s="482">
        <f t="shared" si="683"/>
        <v>0</v>
      </c>
      <c r="AA445" s="482">
        <f t="shared" si="683"/>
        <v>0</v>
      </c>
      <c r="AB445" s="481">
        <f t="shared" si="683"/>
        <v>0</v>
      </c>
      <c r="AC445" s="508"/>
      <c r="AD445" s="234"/>
      <c r="AE445" s="247" t="str">
        <f t="shared" si="642"/>
        <v>4.8.4</v>
      </c>
      <c r="AF445" s="204" t="str">
        <f t="shared" si="601"/>
        <v>Organiser la formation des prestataires au sein des FOSA sur l'approche Washindi</v>
      </c>
      <c r="AG445" s="485"/>
      <c r="AH445" s="485"/>
      <c r="AI445" s="482">
        <f>I445+W445</f>
        <v>2885</v>
      </c>
      <c r="AJ445" s="482">
        <f t="shared" si="586"/>
        <v>0</v>
      </c>
      <c r="AK445" s="482">
        <f t="shared" si="681"/>
        <v>0</v>
      </c>
      <c r="AL445" s="482">
        <f t="shared" si="680"/>
        <v>2885</v>
      </c>
      <c r="AM445" s="314">
        <f t="shared" si="597"/>
        <v>1442.5</v>
      </c>
      <c r="AN445" s="314">
        <f t="shared" si="598"/>
        <v>0</v>
      </c>
      <c r="AO445" s="314">
        <f t="shared" si="599"/>
        <v>1442.5</v>
      </c>
      <c r="AP445" s="314">
        <f t="shared" si="600"/>
        <v>0</v>
      </c>
      <c r="AR445" s="169" t="s">
        <v>516</v>
      </c>
    </row>
    <row r="446" spans="1:44" s="186" customFormat="1" x14ac:dyDescent="0.3">
      <c r="A446" s="561">
        <v>1</v>
      </c>
      <c r="B446" s="562" t="s">
        <v>450</v>
      </c>
      <c r="C446" s="562" t="s">
        <v>524</v>
      </c>
      <c r="D446" s="410">
        <v>50</v>
      </c>
      <c r="E446" s="411">
        <v>1</v>
      </c>
      <c r="F446" s="412">
        <v>3</v>
      </c>
      <c r="G446" s="486">
        <v>1</v>
      </c>
      <c r="H446" s="486">
        <f t="shared" si="644"/>
        <v>0</v>
      </c>
      <c r="I446" s="416">
        <f t="shared" ref="I446:I451" si="684">D446*E446*F446*G446</f>
        <v>150</v>
      </c>
      <c r="J446" s="487">
        <f t="shared" ref="J446:J451" si="685">D446*E446*F446*H446</f>
        <v>0</v>
      </c>
      <c r="K446" s="487">
        <f t="shared" ref="K446:K451" si="686">I446</f>
        <v>150</v>
      </c>
      <c r="L446" s="487"/>
      <c r="M446" s="487"/>
      <c r="N446" s="416">
        <v>0</v>
      </c>
      <c r="O446" s="417" t="s">
        <v>1498</v>
      </c>
      <c r="Q446" s="562" t="s">
        <v>524</v>
      </c>
      <c r="R446" s="410">
        <v>50</v>
      </c>
      <c r="S446" s="411">
        <v>1</v>
      </c>
      <c r="T446" s="412">
        <v>3</v>
      </c>
      <c r="U446" s="486">
        <v>1</v>
      </c>
      <c r="V446" s="486">
        <f t="shared" ref="V446:V451" si="687">100%-U446</f>
        <v>0</v>
      </c>
      <c r="W446" s="416">
        <f t="shared" ref="W446:W451" si="688">R446*S446*T446*U446</f>
        <v>150</v>
      </c>
      <c r="X446" s="487">
        <f t="shared" ref="X446:X451" si="689">R446*S446*T446*V446</f>
        <v>0</v>
      </c>
      <c r="Y446" s="487">
        <f t="shared" ref="Y446:Y451" si="690">W446</f>
        <v>150</v>
      </c>
      <c r="Z446" s="487"/>
      <c r="AA446" s="487"/>
      <c r="AB446" s="416">
        <v>0</v>
      </c>
      <c r="AC446" s="417" t="s">
        <v>1498</v>
      </c>
      <c r="AD446" s="227"/>
      <c r="AE446" s="241">
        <f t="shared" si="642"/>
        <v>1</v>
      </c>
      <c r="AF446" s="204" t="str">
        <f t="shared" si="601"/>
        <v xml:space="preserve">Location salle </v>
      </c>
      <c r="AG446" s="486">
        <f t="shared" ref="AG446:AG451" si="691">AI446/($AI446+$AK446)</f>
        <v>1</v>
      </c>
      <c r="AH446" s="486">
        <f t="shared" ref="AH446:AH451" si="692">AK446/($AI446+$AK446)</f>
        <v>0</v>
      </c>
      <c r="AI446" s="506">
        <v>8</v>
      </c>
      <c r="AJ446" s="506">
        <f t="shared" si="586"/>
        <v>0</v>
      </c>
      <c r="AK446" s="487">
        <f t="shared" si="681"/>
        <v>0</v>
      </c>
      <c r="AL446" s="487">
        <f t="shared" si="680"/>
        <v>8</v>
      </c>
      <c r="AM446" s="316">
        <f t="shared" si="597"/>
        <v>150</v>
      </c>
      <c r="AN446" s="316">
        <f t="shared" si="598"/>
        <v>0</v>
      </c>
      <c r="AO446" s="316">
        <f t="shared" si="599"/>
        <v>150</v>
      </c>
      <c r="AP446" s="316">
        <f t="shared" si="600"/>
        <v>0</v>
      </c>
      <c r="AQ446" s="186" t="s">
        <v>898</v>
      </c>
      <c r="AR446" s="169" t="s">
        <v>516</v>
      </c>
    </row>
    <row r="447" spans="1:44" s="186" customFormat="1" x14ac:dyDescent="0.3">
      <c r="A447" s="561">
        <v>2</v>
      </c>
      <c r="B447" s="562" t="s">
        <v>525</v>
      </c>
      <c r="C447" s="562" t="s">
        <v>90</v>
      </c>
      <c r="D447" s="410">
        <v>2</v>
      </c>
      <c r="E447" s="411">
        <v>25</v>
      </c>
      <c r="F447" s="412">
        <v>3</v>
      </c>
      <c r="G447" s="486">
        <v>1</v>
      </c>
      <c r="H447" s="486">
        <f t="shared" si="644"/>
        <v>0</v>
      </c>
      <c r="I447" s="416">
        <f t="shared" si="684"/>
        <v>150</v>
      </c>
      <c r="J447" s="487">
        <f t="shared" si="685"/>
        <v>0</v>
      </c>
      <c r="K447" s="487">
        <f t="shared" si="686"/>
        <v>150</v>
      </c>
      <c r="L447" s="487"/>
      <c r="M447" s="487"/>
      <c r="N447" s="416">
        <v>0</v>
      </c>
      <c r="O447" s="417" t="s">
        <v>1499</v>
      </c>
      <c r="Q447" s="562" t="s">
        <v>90</v>
      </c>
      <c r="R447" s="410">
        <v>2</v>
      </c>
      <c r="S447" s="411">
        <v>25</v>
      </c>
      <c r="T447" s="412">
        <v>3</v>
      </c>
      <c r="U447" s="486">
        <v>1</v>
      </c>
      <c r="V447" s="486">
        <f t="shared" si="687"/>
        <v>0</v>
      </c>
      <c r="W447" s="416">
        <f t="shared" si="688"/>
        <v>150</v>
      </c>
      <c r="X447" s="487">
        <f t="shared" si="689"/>
        <v>0</v>
      </c>
      <c r="Y447" s="487">
        <f t="shared" si="690"/>
        <v>150</v>
      </c>
      <c r="Z447" s="487"/>
      <c r="AA447" s="487"/>
      <c r="AB447" s="416">
        <v>0</v>
      </c>
      <c r="AC447" s="417" t="s">
        <v>1499</v>
      </c>
      <c r="AD447" s="227"/>
      <c r="AE447" s="241">
        <f t="shared" si="642"/>
        <v>2</v>
      </c>
      <c r="AF447" s="204" t="str">
        <f t="shared" si="601"/>
        <v xml:space="preserve">Restauration Pause café </v>
      </c>
      <c r="AG447" s="486">
        <f t="shared" si="691"/>
        <v>1</v>
      </c>
      <c r="AH447" s="486">
        <f t="shared" si="692"/>
        <v>0</v>
      </c>
      <c r="AI447" s="506">
        <f>I447+W447</f>
        <v>300</v>
      </c>
      <c r="AJ447" s="506">
        <f t="shared" si="586"/>
        <v>0</v>
      </c>
      <c r="AK447" s="487">
        <f t="shared" si="681"/>
        <v>0</v>
      </c>
      <c r="AL447" s="487">
        <f t="shared" si="680"/>
        <v>300</v>
      </c>
      <c r="AM447" s="316">
        <f t="shared" si="597"/>
        <v>150</v>
      </c>
      <c r="AN447" s="316">
        <f t="shared" si="598"/>
        <v>0</v>
      </c>
      <c r="AO447" s="316">
        <f t="shared" si="599"/>
        <v>150</v>
      </c>
      <c r="AP447" s="316">
        <f t="shared" si="600"/>
        <v>0</v>
      </c>
      <c r="AQ447" s="186" t="s">
        <v>898</v>
      </c>
      <c r="AR447" s="169" t="s">
        <v>516</v>
      </c>
    </row>
    <row r="448" spans="1:44" s="186" customFormat="1" x14ac:dyDescent="0.3">
      <c r="A448" s="561">
        <v>3</v>
      </c>
      <c r="B448" s="562" t="s">
        <v>529</v>
      </c>
      <c r="C448" s="562" t="s">
        <v>90</v>
      </c>
      <c r="D448" s="541">
        <v>5</v>
      </c>
      <c r="E448" s="411">
        <v>25</v>
      </c>
      <c r="F448" s="412">
        <v>3</v>
      </c>
      <c r="G448" s="486">
        <v>1</v>
      </c>
      <c r="H448" s="486">
        <f t="shared" si="644"/>
        <v>0</v>
      </c>
      <c r="I448" s="416">
        <f t="shared" si="684"/>
        <v>375</v>
      </c>
      <c r="J448" s="487">
        <f t="shared" si="685"/>
        <v>0</v>
      </c>
      <c r="K448" s="487">
        <f t="shared" si="686"/>
        <v>375</v>
      </c>
      <c r="L448" s="487"/>
      <c r="M448" s="487"/>
      <c r="N448" s="416">
        <v>0</v>
      </c>
      <c r="O448" s="417" t="s">
        <v>1499</v>
      </c>
      <c r="Q448" s="562" t="s">
        <v>90</v>
      </c>
      <c r="R448" s="541">
        <v>5</v>
      </c>
      <c r="S448" s="411">
        <v>25</v>
      </c>
      <c r="T448" s="412">
        <v>3</v>
      </c>
      <c r="U448" s="486">
        <v>1</v>
      </c>
      <c r="V448" s="486">
        <f t="shared" si="687"/>
        <v>0</v>
      </c>
      <c r="W448" s="416">
        <f t="shared" si="688"/>
        <v>375</v>
      </c>
      <c r="X448" s="487">
        <f t="shared" si="689"/>
        <v>0</v>
      </c>
      <c r="Y448" s="487">
        <f t="shared" si="690"/>
        <v>375</v>
      </c>
      <c r="Z448" s="487"/>
      <c r="AA448" s="487"/>
      <c r="AB448" s="416">
        <v>0</v>
      </c>
      <c r="AC448" s="417" t="s">
        <v>1499</v>
      </c>
      <c r="AD448" s="227"/>
      <c r="AE448" s="241">
        <f t="shared" si="642"/>
        <v>3</v>
      </c>
      <c r="AF448" s="204" t="str">
        <f t="shared" si="601"/>
        <v>Restauration repas midi</v>
      </c>
      <c r="AG448" s="486">
        <f t="shared" si="691"/>
        <v>1</v>
      </c>
      <c r="AH448" s="486">
        <f t="shared" si="692"/>
        <v>0</v>
      </c>
      <c r="AI448" s="506">
        <f>I448+W448</f>
        <v>750</v>
      </c>
      <c r="AJ448" s="506">
        <f t="shared" si="586"/>
        <v>0</v>
      </c>
      <c r="AK448" s="487">
        <f t="shared" si="681"/>
        <v>0</v>
      </c>
      <c r="AL448" s="487">
        <f t="shared" si="680"/>
        <v>750</v>
      </c>
      <c r="AM448" s="316">
        <f t="shared" si="597"/>
        <v>375</v>
      </c>
      <c r="AN448" s="316">
        <f t="shared" si="598"/>
        <v>0</v>
      </c>
      <c r="AO448" s="316">
        <f t="shared" si="599"/>
        <v>375</v>
      </c>
      <c r="AP448" s="316">
        <f t="shared" si="600"/>
        <v>0</v>
      </c>
      <c r="AQ448" s="186" t="s">
        <v>898</v>
      </c>
      <c r="AR448" s="169" t="s">
        <v>516</v>
      </c>
    </row>
    <row r="449" spans="1:44" s="186" customFormat="1" x14ac:dyDescent="0.3">
      <c r="A449" s="561">
        <v>4</v>
      </c>
      <c r="B449" s="562" t="s">
        <v>403</v>
      </c>
      <c r="C449" s="562" t="s">
        <v>90</v>
      </c>
      <c r="D449" s="410">
        <v>5</v>
      </c>
      <c r="E449" s="411">
        <v>25</v>
      </c>
      <c r="F449" s="412">
        <v>3</v>
      </c>
      <c r="G449" s="486">
        <v>1</v>
      </c>
      <c r="H449" s="486">
        <f t="shared" si="644"/>
        <v>0</v>
      </c>
      <c r="I449" s="416">
        <f t="shared" si="684"/>
        <v>375</v>
      </c>
      <c r="J449" s="487">
        <f t="shared" si="685"/>
        <v>0</v>
      </c>
      <c r="K449" s="487">
        <f t="shared" si="686"/>
        <v>375</v>
      </c>
      <c r="L449" s="487"/>
      <c r="M449" s="487"/>
      <c r="N449" s="416">
        <v>0</v>
      </c>
      <c r="O449" s="417" t="s">
        <v>1499</v>
      </c>
      <c r="Q449" s="562" t="s">
        <v>90</v>
      </c>
      <c r="R449" s="410">
        <v>5</v>
      </c>
      <c r="S449" s="411">
        <v>25</v>
      </c>
      <c r="T449" s="412">
        <v>3</v>
      </c>
      <c r="U449" s="486">
        <v>1</v>
      </c>
      <c r="V449" s="486">
        <f t="shared" si="687"/>
        <v>0</v>
      </c>
      <c r="W449" s="416">
        <f t="shared" si="688"/>
        <v>375</v>
      </c>
      <c r="X449" s="487">
        <f t="shared" si="689"/>
        <v>0</v>
      </c>
      <c r="Y449" s="487">
        <f t="shared" si="690"/>
        <v>375</v>
      </c>
      <c r="Z449" s="487"/>
      <c r="AA449" s="487"/>
      <c r="AB449" s="416">
        <v>0</v>
      </c>
      <c r="AC449" s="417" t="s">
        <v>1499</v>
      </c>
      <c r="AD449" s="227"/>
      <c r="AE449" s="241">
        <f t="shared" si="642"/>
        <v>4</v>
      </c>
      <c r="AF449" s="204" t="str">
        <f t="shared" si="601"/>
        <v xml:space="preserve">Transport des participants </v>
      </c>
      <c r="AG449" s="486">
        <f t="shared" si="691"/>
        <v>1</v>
      </c>
      <c r="AH449" s="486">
        <f t="shared" si="692"/>
        <v>0</v>
      </c>
      <c r="AI449" s="506">
        <v>8</v>
      </c>
      <c r="AJ449" s="506">
        <f t="shared" si="586"/>
        <v>0</v>
      </c>
      <c r="AK449" s="487">
        <f t="shared" si="681"/>
        <v>0</v>
      </c>
      <c r="AL449" s="487">
        <f t="shared" ref="AL449:AL451" si="693">AI449+AJ449+AK449</f>
        <v>8</v>
      </c>
      <c r="AM449" s="316">
        <f t="shared" si="597"/>
        <v>375</v>
      </c>
      <c r="AN449" s="316">
        <f t="shared" si="598"/>
        <v>0</v>
      </c>
      <c r="AO449" s="316">
        <f t="shared" si="599"/>
        <v>375</v>
      </c>
      <c r="AP449" s="316">
        <f t="shared" si="600"/>
        <v>0</v>
      </c>
      <c r="AQ449" s="186" t="s">
        <v>898</v>
      </c>
      <c r="AR449" s="169" t="s">
        <v>516</v>
      </c>
    </row>
    <row r="450" spans="1:44" s="186" customFormat="1" x14ac:dyDescent="0.3">
      <c r="A450" s="561">
        <v>5</v>
      </c>
      <c r="B450" s="562" t="s">
        <v>521</v>
      </c>
      <c r="C450" s="562" t="s">
        <v>466</v>
      </c>
      <c r="D450" s="410">
        <v>2.5</v>
      </c>
      <c r="E450" s="411">
        <v>25</v>
      </c>
      <c r="F450" s="412">
        <v>1</v>
      </c>
      <c r="G450" s="486">
        <v>1</v>
      </c>
      <c r="H450" s="486">
        <f t="shared" si="644"/>
        <v>0</v>
      </c>
      <c r="I450" s="416">
        <f t="shared" si="684"/>
        <v>62.5</v>
      </c>
      <c r="J450" s="487">
        <f t="shared" si="685"/>
        <v>0</v>
      </c>
      <c r="K450" s="487">
        <f t="shared" si="686"/>
        <v>62.5</v>
      </c>
      <c r="L450" s="487"/>
      <c r="M450" s="487"/>
      <c r="N450" s="416">
        <v>0</v>
      </c>
      <c r="O450" s="417" t="s">
        <v>530</v>
      </c>
      <c r="Q450" s="562" t="s">
        <v>466</v>
      </c>
      <c r="R450" s="410">
        <v>2.5</v>
      </c>
      <c r="S450" s="411">
        <v>25</v>
      </c>
      <c r="T450" s="412">
        <v>1</v>
      </c>
      <c r="U450" s="486">
        <v>1</v>
      </c>
      <c r="V450" s="486">
        <f t="shared" si="687"/>
        <v>0</v>
      </c>
      <c r="W450" s="416">
        <f t="shared" si="688"/>
        <v>62.5</v>
      </c>
      <c r="X450" s="487">
        <f t="shared" si="689"/>
        <v>0</v>
      </c>
      <c r="Y450" s="487">
        <f t="shared" si="690"/>
        <v>62.5</v>
      </c>
      <c r="Z450" s="487"/>
      <c r="AA450" s="487"/>
      <c r="AB450" s="416">
        <v>0</v>
      </c>
      <c r="AC450" s="417" t="s">
        <v>530</v>
      </c>
      <c r="AD450" s="227"/>
      <c r="AE450" s="241">
        <f t="shared" si="642"/>
        <v>5</v>
      </c>
      <c r="AF450" s="204" t="str">
        <f t="shared" si="601"/>
        <v xml:space="preserve">Fournitures pédagogiques </v>
      </c>
      <c r="AG450" s="486">
        <f t="shared" si="691"/>
        <v>1</v>
      </c>
      <c r="AH450" s="486">
        <f t="shared" si="692"/>
        <v>0</v>
      </c>
      <c r="AI450" s="506">
        <f>I450+W450</f>
        <v>125</v>
      </c>
      <c r="AJ450" s="506">
        <f t="shared" si="586"/>
        <v>0</v>
      </c>
      <c r="AK450" s="487">
        <f t="shared" si="681"/>
        <v>0</v>
      </c>
      <c r="AL450" s="487">
        <f t="shared" si="693"/>
        <v>125</v>
      </c>
      <c r="AM450" s="316">
        <f t="shared" si="597"/>
        <v>62.5</v>
      </c>
      <c r="AN450" s="316">
        <f t="shared" si="598"/>
        <v>0</v>
      </c>
      <c r="AO450" s="316">
        <f t="shared" si="599"/>
        <v>62.5</v>
      </c>
      <c r="AP450" s="316">
        <f t="shared" si="600"/>
        <v>0</v>
      </c>
      <c r="AQ450" s="186" t="s">
        <v>898</v>
      </c>
      <c r="AR450" s="169" t="s">
        <v>516</v>
      </c>
    </row>
    <row r="451" spans="1:44" s="186" customFormat="1" x14ac:dyDescent="0.3">
      <c r="A451" s="561">
        <v>6</v>
      </c>
      <c r="B451" s="562" t="s">
        <v>527</v>
      </c>
      <c r="C451" s="562" t="s">
        <v>90</v>
      </c>
      <c r="D451" s="541">
        <v>55</v>
      </c>
      <c r="E451" s="411">
        <v>2</v>
      </c>
      <c r="F451" s="412">
        <v>3</v>
      </c>
      <c r="G451" s="486">
        <v>1</v>
      </c>
      <c r="H451" s="486">
        <f t="shared" si="644"/>
        <v>0</v>
      </c>
      <c r="I451" s="416">
        <f t="shared" si="684"/>
        <v>330</v>
      </c>
      <c r="J451" s="487">
        <f t="shared" si="685"/>
        <v>0</v>
      </c>
      <c r="K451" s="487">
        <f t="shared" si="686"/>
        <v>330</v>
      </c>
      <c r="L451" s="487"/>
      <c r="M451" s="487"/>
      <c r="N451" s="416">
        <v>0</v>
      </c>
      <c r="O451" s="417" t="s">
        <v>1500</v>
      </c>
      <c r="Q451" s="562" t="s">
        <v>90</v>
      </c>
      <c r="R451" s="541">
        <v>55</v>
      </c>
      <c r="S451" s="411">
        <v>2</v>
      </c>
      <c r="T451" s="412">
        <v>3</v>
      </c>
      <c r="U451" s="486">
        <v>1</v>
      </c>
      <c r="V451" s="486">
        <f t="shared" si="687"/>
        <v>0</v>
      </c>
      <c r="W451" s="416">
        <f t="shared" si="688"/>
        <v>330</v>
      </c>
      <c r="X451" s="487">
        <f t="shared" si="689"/>
        <v>0</v>
      </c>
      <c r="Y451" s="487">
        <f t="shared" si="690"/>
        <v>330</v>
      </c>
      <c r="Z451" s="487"/>
      <c r="AA451" s="487"/>
      <c r="AB451" s="416">
        <v>0</v>
      </c>
      <c r="AC451" s="417" t="s">
        <v>1500</v>
      </c>
      <c r="AD451" s="227"/>
      <c r="AE451" s="241">
        <f t="shared" si="642"/>
        <v>6</v>
      </c>
      <c r="AF451" s="204" t="str">
        <f t="shared" si="601"/>
        <v xml:space="preserve">Perdiem des formateurs </v>
      </c>
      <c r="AG451" s="486">
        <f t="shared" si="691"/>
        <v>1</v>
      </c>
      <c r="AH451" s="486">
        <f t="shared" si="692"/>
        <v>0</v>
      </c>
      <c r="AI451" s="506">
        <f>I451+W451</f>
        <v>660</v>
      </c>
      <c r="AJ451" s="506">
        <f t="shared" ref="AJ451:AJ514" si="694">N451+AB451</f>
        <v>0</v>
      </c>
      <c r="AK451" s="487">
        <f t="shared" si="681"/>
        <v>0</v>
      </c>
      <c r="AL451" s="487">
        <f t="shared" si="693"/>
        <v>660</v>
      </c>
      <c r="AM451" s="316">
        <f t="shared" si="597"/>
        <v>330</v>
      </c>
      <c r="AN451" s="316">
        <f t="shared" si="598"/>
        <v>0</v>
      </c>
      <c r="AO451" s="316">
        <f t="shared" si="599"/>
        <v>330</v>
      </c>
      <c r="AP451" s="316">
        <f t="shared" si="600"/>
        <v>0</v>
      </c>
      <c r="AQ451" s="186" t="s">
        <v>898</v>
      </c>
      <c r="AR451" s="169" t="s">
        <v>516</v>
      </c>
    </row>
    <row r="452" spans="1:44" s="182" customFormat="1" ht="12.75" customHeight="1" x14ac:dyDescent="0.3">
      <c r="A452" s="480" t="s">
        <v>1501</v>
      </c>
      <c r="B452" s="861" t="s">
        <v>1502</v>
      </c>
      <c r="C452" s="862"/>
      <c r="D452" s="862"/>
      <c r="E452" s="862"/>
      <c r="F452" s="862"/>
      <c r="G452" s="862"/>
      <c r="H452" s="863"/>
      <c r="I452" s="481">
        <f t="shared" ref="I452:N452" si="695">SUM(I453:I455)</f>
        <v>880</v>
      </c>
      <c r="J452" s="482">
        <f t="shared" si="695"/>
        <v>0</v>
      </c>
      <c r="K452" s="482">
        <f t="shared" si="695"/>
        <v>880</v>
      </c>
      <c r="L452" s="482">
        <f t="shared" si="695"/>
        <v>0</v>
      </c>
      <c r="M452" s="482">
        <f t="shared" si="695"/>
        <v>0</v>
      </c>
      <c r="N452" s="481">
        <f t="shared" si="695"/>
        <v>0</v>
      </c>
      <c r="O452" s="508"/>
      <c r="Q452" s="538"/>
      <c r="R452" s="538"/>
      <c r="S452" s="538"/>
      <c r="T452" s="538"/>
      <c r="U452" s="538"/>
      <c r="V452" s="484"/>
      <c r="W452" s="482">
        <f>SUM(W453:W455)</f>
        <v>880</v>
      </c>
      <c r="X452" s="482">
        <f t="shared" ref="X452:AA452" si="696">SUM(X453:X455)</f>
        <v>0</v>
      </c>
      <c r="Y452" s="482">
        <f>SUM(Y453:Y455)</f>
        <v>880</v>
      </c>
      <c r="Z452" s="482">
        <f t="shared" si="696"/>
        <v>0</v>
      </c>
      <c r="AA452" s="482">
        <f t="shared" si="696"/>
        <v>0</v>
      </c>
      <c r="AB452" s="481">
        <f>SUM(AB453:AB455)</f>
        <v>0</v>
      </c>
      <c r="AC452" s="508"/>
      <c r="AD452" s="234"/>
      <c r="AE452" s="247" t="str">
        <f t="shared" si="642"/>
        <v>4.8.5</v>
      </c>
      <c r="AF452" s="204" t="str">
        <f t="shared" si="601"/>
        <v>Conduire 16 séances de sensibilisations communautaires sur l'approche WASHINDI pour la transformation des normes sociales</v>
      </c>
      <c r="AG452" s="485"/>
      <c r="AH452" s="485"/>
      <c r="AI452" s="482">
        <f>I452+W452</f>
        <v>1760</v>
      </c>
      <c r="AJ452" s="482">
        <f t="shared" si="694"/>
        <v>0</v>
      </c>
      <c r="AK452" s="482">
        <f t="shared" si="681"/>
        <v>0</v>
      </c>
      <c r="AL452" s="482">
        <f t="shared" ref="AL452:AL455" si="697">AI452+AJ452+AK452</f>
        <v>1760</v>
      </c>
      <c r="AM452" s="314">
        <f t="shared" si="597"/>
        <v>880</v>
      </c>
      <c r="AN452" s="314">
        <f t="shared" si="598"/>
        <v>0</v>
      </c>
      <c r="AO452" s="314">
        <f t="shared" si="599"/>
        <v>880</v>
      </c>
      <c r="AP452" s="314">
        <f t="shared" si="600"/>
        <v>0</v>
      </c>
      <c r="AR452" s="169" t="s">
        <v>516</v>
      </c>
    </row>
    <row r="453" spans="1:44" s="186" customFormat="1" x14ac:dyDescent="0.3">
      <c r="A453" s="561">
        <v>1</v>
      </c>
      <c r="B453" s="562" t="s">
        <v>539</v>
      </c>
      <c r="C453" s="562" t="s">
        <v>90</v>
      </c>
      <c r="D453" s="410">
        <v>1</v>
      </c>
      <c r="E453" s="411">
        <v>20</v>
      </c>
      <c r="F453" s="412">
        <v>16</v>
      </c>
      <c r="G453" s="486">
        <v>1</v>
      </c>
      <c r="H453" s="486">
        <f t="shared" si="644"/>
        <v>0</v>
      </c>
      <c r="I453" s="416">
        <f t="shared" ref="I453:I455" si="698">D453*E453*F453*G453</f>
        <v>320</v>
      </c>
      <c r="J453" s="487">
        <f t="shared" ref="J453:J455" si="699">D453*E453*F453*H453</f>
        <v>0</v>
      </c>
      <c r="K453" s="487">
        <f t="shared" ref="K453:K455" si="700">I453</f>
        <v>320</v>
      </c>
      <c r="L453" s="487"/>
      <c r="M453" s="487"/>
      <c r="N453" s="416">
        <v>0</v>
      </c>
      <c r="O453" s="417" t="s">
        <v>1503</v>
      </c>
      <c r="Q453" s="562" t="s">
        <v>90</v>
      </c>
      <c r="R453" s="410">
        <v>1</v>
      </c>
      <c r="S453" s="411">
        <v>20</v>
      </c>
      <c r="T453" s="412">
        <v>16</v>
      </c>
      <c r="U453" s="486">
        <v>1</v>
      </c>
      <c r="V453" s="486">
        <f t="shared" ref="V453:V455" si="701">100%-U453</f>
        <v>0</v>
      </c>
      <c r="W453" s="416">
        <f t="shared" ref="W453:W455" si="702">R453*S453*T453*U453</f>
        <v>320</v>
      </c>
      <c r="X453" s="487">
        <f t="shared" ref="X453:X455" si="703">R453*S453*T453*V453</f>
        <v>0</v>
      </c>
      <c r="Y453" s="487">
        <f t="shared" ref="Y453:Y455" si="704">W453</f>
        <v>320</v>
      </c>
      <c r="Z453" s="487"/>
      <c r="AA453" s="487"/>
      <c r="AB453" s="416">
        <v>0</v>
      </c>
      <c r="AC453" s="417" t="s">
        <v>1503</v>
      </c>
      <c r="AD453" s="227"/>
      <c r="AE453" s="241">
        <f t="shared" si="642"/>
        <v>1</v>
      </c>
      <c r="AF453" s="204" t="str">
        <f t="shared" si="601"/>
        <v xml:space="preserve">Casse croute des participants </v>
      </c>
      <c r="AG453" s="486">
        <f t="shared" ref="AG453:AG455" si="705">AI453/($AI453+$AK453)</f>
        <v>1</v>
      </c>
      <c r="AH453" s="486">
        <f t="shared" ref="AH453:AH455" si="706">AK453/($AI453+$AK453)</f>
        <v>0</v>
      </c>
      <c r="AI453" s="506">
        <v>8</v>
      </c>
      <c r="AJ453" s="506">
        <f t="shared" si="694"/>
        <v>0</v>
      </c>
      <c r="AK453" s="487">
        <f t="shared" si="681"/>
        <v>0</v>
      </c>
      <c r="AL453" s="487">
        <f t="shared" si="697"/>
        <v>8</v>
      </c>
      <c r="AM453" s="316">
        <f t="shared" si="597"/>
        <v>320</v>
      </c>
      <c r="AN453" s="316">
        <f t="shared" si="598"/>
        <v>0</v>
      </c>
      <c r="AO453" s="316">
        <f t="shared" si="599"/>
        <v>320</v>
      </c>
      <c r="AP453" s="316">
        <f t="shared" si="600"/>
        <v>0</v>
      </c>
      <c r="AQ453" s="186" t="s">
        <v>898</v>
      </c>
      <c r="AR453" s="169" t="s">
        <v>516</v>
      </c>
    </row>
    <row r="454" spans="1:44" s="186" customFormat="1" x14ac:dyDescent="0.3">
      <c r="A454" s="561">
        <v>2</v>
      </c>
      <c r="B454" s="562" t="s">
        <v>450</v>
      </c>
      <c r="C454" s="562" t="s">
        <v>524</v>
      </c>
      <c r="D454" s="410">
        <v>25</v>
      </c>
      <c r="E454" s="411">
        <v>1</v>
      </c>
      <c r="F454" s="412">
        <v>16</v>
      </c>
      <c r="G454" s="486">
        <v>1</v>
      </c>
      <c r="H454" s="486">
        <f t="shared" si="644"/>
        <v>0</v>
      </c>
      <c r="I454" s="416">
        <f t="shared" si="698"/>
        <v>400</v>
      </c>
      <c r="J454" s="487">
        <f t="shared" si="699"/>
        <v>0</v>
      </c>
      <c r="K454" s="487">
        <f t="shared" si="700"/>
        <v>400</v>
      </c>
      <c r="L454" s="487"/>
      <c r="M454" s="487"/>
      <c r="N454" s="416">
        <v>0</v>
      </c>
      <c r="O454" s="417" t="s">
        <v>1504</v>
      </c>
      <c r="Q454" s="562" t="s">
        <v>524</v>
      </c>
      <c r="R454" s="410">
        <v>25</v>
      </c>
      <c r="S454" s="411">
        <v>1</v>
      </c>
      <c r="T454" s="412">
        <v>16</v>
      </c>
      <c r="U454" s="486">
        <v>1</v>
      </c>
      <c r="V454" s="486">
        <f t="shared" si="701"/>
        <v>0</v>
      </c>
      <c r="W454" s="416">
        <f t="shared" si="702"/>
        <v>400</v>
      </c>
      <c r="X454" s="487">
        <f t="shared" si="703"/>
        <v>0</v>
      </c>
      <c r="Y454" s="487">
        <f t="shared" si="704"/>
        <v>400</v>
      </c>
      <c r="Z454" s="487"/>
      <c r="AA454" s="487"/>
      <c r="AB454" s="416">
        <v>0</v>
      </c>
      <c r="AC454" s="417" t="s">
        <v>1504</v>
      </c>
      <c r="AD454" s="227"/>
      <c r="AE454" s="241">
        <f t="shared" si="642"/>
        <v>2</v>
      </c>
      <c r="AF454" s="204" t="str">
        <f t="shared" si="601"/>
        <v xml:space="preserve">Location salle </v>
      </c>
      <c r="AG454" s="486">
        <f t="shared" si="705"/>
        <v>1</v>
      </c>
      <c r="AH454" s="486">
        <f t="shared" si="706"/>
        <v>0</v>
      </c>
      <c r="AI454" s="506">
        <f>I454+W454</f>
        <v>800</v>
      </c>
      <c r="AJ454" s="506">
        <f t="shared" si="694"/>
        <v>0</v>
      </c>
      <c r="AK454" s="487">
        <f t="shared" si="681"/>
        <v>0</v>
      </c>
      <c r="AL454" s="487">
        <f t="shared" si="697"/>
        <v>800</v>
      </c>
      <c r="AM454" s="316">
        <f t="shared" si="597"/>
        <v>400</v>
      </c>
      <c r="AN454" s="316">
        <f t="shared" si="598"/>
        <v>0</v>
      </c>
      <c r="AO454" s="316">
        <f t="shared" si="599"/>
        <v>400</v>
      </c>
      <c r="AP454" s="316">
        <f t="shared" si="600"/>
        <v>0</v>
      </c>
      <c r="AQ454" s="186" t="s">
        <v>898</v>
      </c>
      <c r="AR454" s="169" t="s">
        <v>516</v>
      </c>
    </row>
    <row r="455" spans="1:44" s="186" customFormat="1" x14ac:dyDescent="0.3">
      <c r="A455" s="561">
        <v>3</v>
      </c>
      <c r="B455" s="562" t="s">
        <v>531</v>
      </c>
      <c r="C455" s="562" t="s">
        <v>90</v>
      </c>
      <c r="D455" s="541">
        <v>5</v>
      </c>
      <c r="E455" s="411">
        <v>2</v>
      </c>
      <c r="F455" s="412">
        <v>16</v>
      </c>
      <c r="G455" s="486">
        <v>1</v>
      </c>
      <c r="H455" s="486">
        <f t="shared" si="644"/>
        <v>0</v>
      </c>
      <c r="I455" s="416">
        <f t="shared" si="698"/>
        <v>160</v>
      </c>
      <c r="J455" s="487">
        <f t="shared" si="699"/>
        <v>0</v>
      </c>
      <c r="K455" s="487">
        <f t="shared" si="700"/>
        <v>160</v>
      </c>
      <c r="L455" s="487"/>
      <c r="M455" s="487"/>
      <c r="N455" s="416">
        <v>0</v>
      </c>
      <c r="O455" s="417" t="s">
        <v>1505</v>
      </c>
      <c r="Q455" s="562" t="s">
        <v>90</v>
      </c>
      <c r="R455" s="541">
        <v>5</v>
      </c>
      <c r="S455" s="411">
        <v>2</v>
      </c>
      <c r="T455" s="412">
        <v>16</v>
      </c>
      <c r="U455" s="486">
        <v>1</v>
      </c>
      <c r="V455" s="486">
        <f t="shared" si="701"/>
        <v>0</v>
      </c>
      <c r="W455" s="416">
        <f t="shared" si="702"/>
        <v>160</v>
      </c>
      <c r="X455" s="487">
        <f t="shared" si="703"/>
        <v>0</v>
      </c>
      <c r="Y455" s="487">
        <f t="shared" si="704"/>
        <v>160</v>
      </c>
      <c r="Z455" s="487"/>
      <c r="AA455" s="487"/>
      <c r="AB455" s="416">
        <v>0</v>
      </c>
      <c r="AC455" s="417" t="s">
        <v>1505</v>
      </c>
      <c r="AD455" s="227"/>
      <c r="AE455" s="241">
        <f t="shared" si="642"/>
        <v>3</v>
      </c>
      <c r="AF455" s="204" t="str">
        <f t="shared" si="601"/>
        <v xml:space="preserve">Transport des facilitateurs </v>
      </c>
      <c r="AG455" s="486">
        <f t="shared" si="705"/>
        <v>1</v>
      </c>
      <c r="AH455" s="486">
        <f t="shared" si="706"/>
        <v>0</v>
      </c>
      <c r="AI455" s="506">
        <f>I455+W455</f>
        <v>320</v>
      </c>
      <c r="AJ455" s="506">
        <f t="shared" si="694"/>
        <v>0</v>
      </c>
      <c r="AK455" s="487">
        <f t="shared" si="681"/>
        <v>0</v>
      </c>
      <c r="AL455" s="487">
        <f t="shared" si="697"/>
        <v>320</v>
      </c>
      <c r="AM455" s="316">
        <f t="shared" si="597"/>
        <v>160</v>
      </c>
      <c r="AN455" s="316">
        <f t="shared" si="598"/>
        <v>0</v>
      </c>
      <c r="AO455" s="316">
        <f t="shared" si="599"/>
        <v>160</v>
      </c>
      <c r="AP455" s="316">
        <f t="shared" si="600"/>
        <v>0</v>
      </c>
      <c r="AQ455" s="186" t="s">
        <v>898</v>
      </c>
      <c r="AR455" s="169" t="s">
        <v>516</v>
      </c>
    </row>
    <row r="456" spans="1:44" s="182" customFormat="1" ht="12.75" customHeight="1" x14ac:dyDescent="0.3">
      <c r="A456" s="480" t="s">
        <v>1506</v>
      </c>
      <c r="B456" s="861" t="s">
        <v>322</v>
      </c>
      <c r="C456" s="862"/>
      <c r="D456" s="862"/>
      <c r="E456" s="862"/>
      <c r="F456" s="862"/>
      <c r="G456" s="862"/>
      <c r="H456" s="863"/>
      <c r="I456" s="481">
        <f t="shared" ref="I456:N456" si="707">SUM(I457)</f>
        <v>1600</v>
      </c>
      <c r="J456" s="482">
        <f t="shared" si="707"/>
        <v>0</v>
      </c>
      <c r="K456" s="482">
        <f t="shared" si="707"/>
        <v>1600</v>
      </c>
      <c r="L456" s="482">
        <f t="shared" si="707"/>
        <v>0</v>
      </c>
      <c r="M456" s="482">
        <f t="shared" si="707"/>
        <v>0</v>
      </c>
      <c r="N456" s="481">
        <f t="shared" si="707"/>
        <v>0</v>
      </c>
      <c r="O456" s="508"/>
      <c r="Q456" s="538"/>
      <c r="R456" s="538"/>
      <c r="S456" s="538"/>
      <c r="T456" s="538"/>
      <c r="U456" s="538"/>
      <c r="V456" s="484"/>
      <c r="W456" s="482">
        <f>SUM(W457)</f>
        <v>1600</v>
      </c>
      <c r="X456" s="482">
        <f t="shared" ref="X456:AB456" si="708">SUM(X457)</f>
        <v>0</v>
      </c>
      <c r="Y456" s="482">
        <f t="shared" si="708"/>
        <v>1600</v>
      </c>
      <c r="Z456" s="482">
        <f t="shared" si="708"/>
        <v>0</v>
      </c>
      <c r="AA456" s="482">
        <f t="shared" si="708"/>
        <v>0</v>
      </c>
      <c r="AB456" s="481">
        <f t="shared" si="708"/>
        <v>0</v>
      </c>
      <c r="AC456" s="508"/>
      <c r="AD456" s="234"/>
      <c r="AE456" s="247" t="str">
        <f t="shared" si="642"/>
        <v>4.8.6</v>
      </c>
      <c r="AF456" s="204" t="str">
        <f t="shared" si="601"/>
        <v>Identifier les participants et participantes aux groupes  de discussion et Mettre en place 16 groupes de discussions dont 8 pour les femmes et 8 pour les hommes</v>
      </c>
      <c r="AG456" s="485"/>
      <c r="AH456" s="485"/>
      <c r="AI456" s="482">
        <f>I456+W456</f>
        <v>3200</v>
      </c>
      <c r="AJ456" s="482">
        <f t="shared" si="694"/>
        <v>0</v>
      </c>
      <c r="AK456" s="482">
        <f t="shared" si="681"/>
        <v>0</v>
      </c>
      <c r="AL456" s="482">
        <f t="shared" ref="AL456:AL461" si="709">AI456+AJ456+AK456</f>
        <v>3200</v>
      </c>
      <c r="AM456" s="314">
        <f t="shared" si="597"/>
        <v>1600</v>
      </c>
      <c r="AN456" s="314">
        <f t="shared" si="598"/>
        <v>0</v>
      </c>
      <c r="AO456" s="314">
        <f t="shared" si="599"/>
        <v>1600</v>
      </c>
      <c r="AP456" s="314">
        <f t="shared" si="600"/>
        <v>0</v>
      </c>
      <c r="AR456" s="169" t="s">
        <v>516</v>
      </c>
    </row>
    <row r="457" spans="1:44" s="186" customFormat="1" ht="26" x14ac:dyDescent="0.3">
      <c r="A457" s="561">
        <v>1</v>
      </c>
      <c r="B457" s="562" t="s">
        <v>531</v>
      </c>
      <c r="C457" s="562" t="s">
        <v>90</v>
      </c>
      <c r="D457" s="410">
        <v>5</v>
      </c>
      <c r="E457" s="411">
        <v>32</v>
      </c>
      <c r="F457" s="412">
        <v>10</v>
      </c>
      <c r="G457" s="486">
        <v>1</v>
      </c>
      <c r="H457" s="486">
        <f t="shared" si="644"/>
        <v>0</v>
      </c>
      <c r="I457" s="416">
        <f t="shared" ref="I457" si="710">D457*E457*F457*G457</f>
        <v>1600</v>
      </c>
      <c r="J457" s="487">
        <f t="shared" ref="J457" si="711">D457*E457*F457*H457</f>
        <v>0</v>
      </c>
      <c r="K457" s="487">
        <f t="shared" ref="K457" si="712">I457</f>
        <v>1600</v>
      </c>
      <c r="L457" s="487"/>
      <c r="M457" s="487"/>
      <c r="N457" s="416">
        <v>0</v>
      </c>
      <c r="O457" s="417" t="s">
        <v>1507</v>
      </c>
      <c r="Q457" s="562" t="s">
        <v>90</v>
      </c>
      <c r="R457" s="410">
        <v>5</v>
      </c>
      <c r="S457" s="411">
        <v>32</v>
      </c>
      <c r="T457" s="412">
        <v>10</v>
      </c>
      <c r="U457" s="486">
        <v>1</v>
      </c>
      <c r="V457" s="486">
        <f t="shared" ref="V457" si="713">100%-U457</f>
        <v>0</v>
      </c>
      <c r="W457" s="416">
        <f t="shared" ref="W457" si="714">R457*S457*T457*U457</f>
        <v>1600</v>
      </c>
      <c r="X457" s="487">
        <f t="shared" ref="X457" si="715">R457*S457*T457*V457</f>
        <v>0</v>
      </c>
      <c r="Y457" s="487">
        <f t="shared" ref="Y457" si="716">W457</f>
        <v>1600</v>
      </c>
      <c r="Z457" s="487"/>
      <c r="AA457" s="487"/>
      <c r="AB457" s="416">
        <v>0</v>
      </c>
      <c r="AC457" s="417" t="s">
        <v>1507</v>
      </c>
      <c r="AD457" s="227"/>
      <c r="AE457" s="241">
        <f t="shared" si="642"/>
        <v>1</v>
      </c>
      <c r="AF457" s="204" t="str">
        <f t="shared" si="601"/>
        <v xml:space="preserve">Transport des facilitateurs </v>
      </c>
      <c r="AG457" s="486">
        <f t="shared" ref="AG457" si="717">AI457/($AI457+$AK457)</f>
        <v>1</v>
      </c>
      <c r="AH457" s="486">
        <f t="shared" ref="AH457" si="718">AK457/($AI457+$AK457)</f>
        <v>0</v>
      </c>
      <c r="AI457" s="506">
        <v>8</v>
      </c>
      <c r="AJ457" s="506">
        <f t="shared" si="694"/>
        <v>0</v>
      </c>
      <c r="AK457" s="487">
        <f t="shared" si="681"/>
        <v>0</v>
      </c>
      <c r="AL457" s="487">
        <f t="shared" si="709"/>
        <v>8</v>
      </c>
      <c r="AM457" s="316">
        <f t="shared" si="597"/>
        <v>1600</v>
      </c>
      <c r="AN457" s="316">
        <f t="shared" si="598"/>
        <v>0</v>
      </c>
      <c r="AO457" s="316">
        <f t="shared" si="599"/>
        <v>1600</v>
      </c>
      <c r="AP457" s="316">
        <f t="shared" si="600"/>
        <v>0</v>
      </c>
      <c r="AQ457" s="186" t="s">
        <v>898</v>
      </c>
      <c r="AR457" s="169" t="s">
        <v>516</v>
      </c>
    </row>
    <row r="458" spans="1:44" s="182" customFormat="1" ht="12.75" customHeight="1" x14ac:dyDescent="0.3">
      <c r="A458" s="480" t="s">
        <v>1508</v>
      </c>
      <c r="B458" s="861" t="s">
        <v>1509</v>
      </c>
      <c r="C458" s="862"/>
      <c r="D458" s="862"/>
      <c r="E458" s="862"/>
      <c r="F458" s="862"/>
      <c r="G458" s="862"/>
      <c r="H458" s="863"/>
      <c r="I458" s="481">
        <f t="shared" ref="I458:N458" si="719">SUM(I459:I461)</f>
        <v>2880</v>
      </c>
      <c r="J458" s="482">
        <f t="shared" si="719"/>
        <v>0</v>
      </c>
      <c r="K458" s="482">
        <f t="shared" si="719"/>
        <v>2880</v>
      </c>
      <c r="L458" s="482">
        <f t="shared" si="719"/>
        <v>0</v>
      </c>
      <c r="M458" s="482">
        <f t="shared" si="719"/>
        <v>0</v>
      </c>
      <c r="N458" s="481">
        <f t="shared" si="719"/>
        <v>0</v>
      </c>
      <c r="O458" s="508"/>
      <c r="Q458" s="538"/>
      <c r="R458" s="538"/>
      <c r="S458" s="538"/>
      <c r="T458" s="538"/>
      <c r="U458" s="538"/>
      <c r="V458" s="484"/>
      <c r="W458" s="482">
        <f>SUM(W459:W461)</f>
        <v>2880</v>
      </c>
      <c r="X458" s="482">
        <f t="shared" ref="X458:AA458" si="720">SUM(X459:X461)</f>
        <v>0</v>
      </c>
      <c r="Y458" s="482">
        <f t="shared" si="720"/>
        <v>2880</v>
      </c>
      <c r="Z458" s="482">
        <f t="shared" si="720"/>
        <v>0</v>
      </c>
      <c r="AA458" s="482">
        <f t="shared" si="720"/>
        <v>0</v>
      </c>
      <c r="AB458" s="481">
        <f>SUM(AB459:AB461)</f>
        <v>0</v>
      </c>
      <c r="AC458" s="508"/>
      <c r="AD458" s="234"/>
      <c r="AE458" s="247" t="str">
        <f t="shared" si="642"/>
        <v>4.8.7</v>
      </c>
      <c r="AF458" s="204" t="str">
        <f t="shared" si="601"/>
        <v>Organiser 48 séances de discussion à travers les groupes des femmes</v>
      </c>
      <c r="AG458" s="485"/>
      <c r="AH458" s="485"/>
      <c r="AI458" s="482">
        <f>I458+W458</f>
        <v>5760</v>
      </c>
      <c r="AJ458" s="482">
        <f t="shared" si="694"/>
        <v>0</v>
      </c>
      <c r="AK458" s="482">
        <f t="shared" si="681"/>
        <v>0</v>
      </c>
      <c r="AL458" s="482">
        <f t="shared" si="709"/>
        <v>5760</v>
      </c>
      <c r="AM458" s="314">
        <f t="shared" ref="AM458:AM521" si="721">I458</f>
        <v>2880</v>
      </c>
      <c r="AN458" s="314">
        <f t="shared" ref="AN458:AN521" si="722">N458</f>
        <v>0</v>
      </c>
      <c r="AO458" s="314">
        <f t="shared" ref="AO458:AO521" si="723">W458</f>
        <v>2880</v>
      </c>
      <c r="AP458" s="314">
        <f t="shared" ref="AP458:AP521" si="724">AB458</f>
        <v>0</v>
      </c>
      <c r="AR458" s="169" t="s">
        <v>516</v>
      </c>
    </row>
    <row r="459" spans="1:44" s="186" customFormat="1" x14ac:dyDescent="0.3">
      <c r="A459" s="561">
        <v>1</v>
      </c>
      <c r="B459" s="562" t="s">
        <v>1510</v>
      </c>
      <c r="C459" s="562" t="s">
        <v>90</v>
      </c>
      <c r="D459" s="410">
        <v>2</v>
      </c>
      <c r="E459" s="411">
        <v>15</v>
      </c>
      <c r="F459" s="412">
        <v>48</v>
      </c>
      <c r="G459" s="486">
        <v>1</v>
      </c>
      <c r="H459" s="486">
        <f t="shared" si="644"/>
        <v>0</v>
      </c>
      <c r="I459" s="416">
        <f t="shared" ref="I459:I461" si="725">D459*E459*F459*G459</f>
        <v>1440</v>
      </c>
      <c r="J459" s="487">
        <f t="shared" ref="J459:J461" si="726">D459*E459*F459*H459</f>
        <v>0</v>
      </c>
      <c r="K459" s="487">
        <f t="shared" ref="K459:K461" si="727">I459</f>
        <v>1440</v>
      </c>
      <c r="L459" s="487"/>
      <c r="M459" s="487"/>
      <c r="N459" s="416">
        <v>0</v>
      </c>
      <c r="O459" s="417" t="s">
        <v>1511</v>
      </c>
      <c r="Q459" s="562" t="s">
        <v>90</v>
      </c>
      <c r="R459" s="410">
        <v>2</v>
      </c>
      <c r="S459" s="411">
        <v>15</v>
      </c>
      <c r="T459" s="412">
        <v>48</v>
      </c>
      <c r="U459" s="486">
        <v>1</v>
      </c>
      <c r="V459" s="486">
        <f t="shared" ref="V459:V461" si="728">100%-U459</f>
        <v>0</v>
      </c>
      <c r="W459" s="416">
        <f t="shared" ref="W459:W461" si="729">R459*S459*T459*U459</f>
        <v>1440</v>
      </c>
      <c r="X459" s="487">
        <f t="shared" ref="X459:X461" si="730">R459*S459*T459*V459</f>
        <v>0</v>
      </c>
      <c r="Y459" s="487">
        <f t="shared" ref="Y459:Y461" si="731">W459</f>
        <v>1440</v>
      </c>
      <c r="Z459" s="487"/>
      <c r="AA459" s="487"/>
      <c r="AB459" s="416">
        <v>0</v>
      </c>
      <c r="AC459" s="417" t="s">
        <v>1511</v>
      </c>
      <c r="AD459" s="227"/>
      <c r="AE459" s="241">
        <f t="shared" ref="AE459:AE490" si="732">A459</f>
        <v>1</v>
      </c>
      <c r="AF459" s="204" t="str">
        <f t="shared" si="601"/>
        <v>Casse croute des participants</v>
      </c>
      <c r="AG459" s="486">
        <f t="shared" ref="AG459:AG461" si="733">AI459/($AI459+$AK459)</f>
        <v>1</v>
      </c>
      <c r="AH459" s="486">
        <f t="shared" ref="AH459:AH461" si="734">AK459/($AI459+$AK459)</f>
        <v>0</v>
      </c>
      <c r="AI459" s="506">
        <v>8</v>
      </c>
      <c r="AJ459" s="506">
        <f t="shared" si="694"/>
        <v>0</v>
      </c>
      <c r="AK459" s="487">
        <f t="shared" si="681"/>
        <v>0</v>
      </c>
      <c r="AL459" s="487">
        <f t="shared" si="709"/>
        <v>8</v>
      </c>
      <c r="AM459" s="316">
        <f t="shared" si="721"/>
        <v>1440</v>
      </c>
      <c r="AN459" s="316">
        <f t="shared" si="722"/>
        <v>0</v>
      </c>
      <c r="AO459" s="316">
        <f t="shared" si="723"/>
        <v>1440</v>
      </c>
      <c r="AP459" s="316">
        <f t="shared" si="724"/>
        <v>0</v>
      </c>
      <c r="AQ459" s="186" t="s">
        <v>898</v>
      </c>
      <c r="AR459" s="169" t="s">
        <v>516</v>
      </c>
    </row>
    <row r="460" spans="1:44" s="186" customFormat="1" ht="26" x14ac:dyDescent="0.3">
      <c r="A460" s="561">
        <v>2</v>
      </c>
      <c r="B460" s="562" t="s">
        <v>532</v>
      </c>
      <c r="C460" s="562" t="s">
        <v>90</v>
      </c>
      <c r="D460" s="410">
        <v>5</v>
      </c>
      <c r="E460" s="411">
        <v>2</v>
      </c>
      <c r="F460" s="412">
        <v>48</v>
      </c>
      <c r="G460" s="486">
        <v>1</v>
      </c>
      <c r="H460" s="486">
        <f t="shared" si="644"/>
        <v>0</v>
      </c>
      <c r="I460" s="416">
        <f t="shared" si="725"/>
        <v>480</v>
      </c>
      <c r="J460" s="487">
        <f t="shared" si="726"/>
        <v>0</v>
      </c>
      <c r="K460" s="487">
        <f t="shared" si="727"/>
        <v>480</v>
      </c>
      <c r="L460" s="487"/>
      <c r="M460" s="487"/>
      <c r="N460" s="416">
        <v>0</v>
      </c>
      <c r="O460" s="417" t="s">
        <v>1512</v>
      </c>
      <c r="Q460" s="562" t="s">
        <v>90</v>
      </c>
      <c r="R460" s="410">
        <v>5</v>
      </c>
      <c r="S460" s="411">
        <v>2</v>
      </c>
      <c r="T460" s="412">
        <v>48</v>
      </c>
      <c r="U460" s="486">
        <v>1</v>
      </c>
      <c r="V460" s="486">
        <f t="shared" si="728"/>
        <v>0</v>
      </c>
      <c r="W460" s="416">
        <f t="shared" si="729"/>
        <v>480</v>
      </c>
      <c r="X460" s="487">
        <f t="shared" si="730"/>
        <v>0</v>
      </c>
      <c r="Y460" s="487">
        <f t="shared" si="731"/>
        <v>480</v>
      </c>
      <c r="Z460" s="487"/>
      <c r="AA460" s="487"/>
      <c r="AB460" s="416">
        <v>0</v>
      </c>
      <c r="AC460" s="417" t="s">
        <v>1512</v>
      </c>
      <c r="AD460" s="227"/>
      <c r="AE460" s="241">
        <f t="shared" si="732"/>
        <v>2</v>
      </c>
      <c r="AF460" s="204" t="str">
        <f t="shared" ref="AF460:AF523" si="735">B460</f>
        <v>Transport des facilitatrices</v>
      </c>
      <c r="AG460" s="486">
        <f t="shared" si="733"/>
        <v>1</v>
      </c>
      <c r="AH460" s="486">
        <f t="shared" si="734"/>
        <v>0</v>
      </c>
      <c r="AI460" s="506">
        <f>I460+W460</f>
        <v>960</v>
      </c>
      <c r="AJ460" s="506">
        <f t="shared" si="694"/>
        <v>0</v>
      </c>
      <c r="AK460" s="487">
        <f t="shared" si="681"/>
        <v>0</v>
      </c>
      <c r="AL460" s="487">
        <f t="shared" si="709"/>
        <v>960</v>
      </c>
      <c r="AM460" s="316">
        <f t="shared" si="721"/>
        <v>480</v>
      </c>
      <c r="AN460" s="316">
        <f t="shared" si="722"/>
        <v>0</v>
      </c>
      <c r="AO460" s="316">
        <f t="shared" si="723"/>
        <v>480</v>
      </c>
      <c r="AP460" s="316">
        <f t="shared" si="724"/>
        <v>0</v>
      </c>
      <c r="AQ460" s="186" t="s">
        <v>898</v>
      </c>
      <c r="AR460" s="169" t="s">
        <v>516</v>
      </c>
    </row>
    <row r="461" spans="1:44" s="186" customFormat="1" ht="26" x14ac:dyDescent="0.3">
      <c r="A461" s="561">
        <v>3</v>
      </c>
      <c r="B461" s="562" t="s">
        <v>533</v>
      </c>
      <c r="C461" s="562" t="s">
        <v>90</v>
      </c>
      <c r="D461" s="541">
        <v>10</v>
      </c>
      <c r="E461" s="411">
        <v>2</v>
      </c>
      <c r="F461" s="412">
        <v>48</v>
      </c>
      <c r="G461" s="486">
        <v>1</v>
      </c>
      <c r="H461" s="486">
        <f t="shared" si="644"/>
        <v>0</v>
      </c>
      <c r="I461" s="416">
        <f t="shared" si="725"/>
        <v>960</v>
      </c>
      <c r="J461" s="487">
        <f t="shared" si="726"/>
        <v>0</v>
      </c>
      <c r="K461" s="487">
        <f t="shared" si="727"/>
        <v>960</v>
      </c>
      <c r="L461" s="487"/>
      <c r="M461" s="487"/>
      <c r="N461" s="416">
        <v>0</v>
      </c>
      <c r="O461" s="417" t="s">
        <v>1513</v>
      </c>
      <c r="Q461" s="562" t="s">
        <v>90</v>
      </c>
      <c r="R461" s="541">
        <v>10</v>
      </c>
      <c r="S461" s="411">
        <v>2</v>
      </c>
      <c r="T461" s="412">
        <v>48</v>
      </c>
      <c r="U461" s="486">
        <v>1</v>
      </c>
      <c r="V461" s="486">
        <f t="shared" si="728"/>
        <v>0</v>
      </c>
      <c r="W461" s="416">
        <f t="shared" si="729"/>
        <v>960</v>
      </c>
      <c r="X461" s="487">
        <f t="shared" si="730"/>
        <v>0</v>
      </c>
      <c r="Y461" s="487">
        <f t="shared" si="731"/>
        <v>960</v>
      </c>
      <c r="Z461" s="487"/>
      <c r="AA461" s="487"/>
      <c r="AB461" s="416">
        <v>0</v>
      </c>
      <c r="AC461" s="417" t="s">
        <v>1513</v>
      </c>
      <c r="AD461" s="227"/>
      <c r="AE461" s="241">
        <f t="shared" si="732"/>
        <v>3</v>
      </c>
      <c r="AF461" s="204" t="str">
        <f t="shared" si="735"/>
        <v>Frais de facilitation</v>
      </c>
      <c r="AG461" s="486">
        <f t="shared" si="733"/>
        <v>1</v>
      </c>
      <c r="AH461" s="486">
        <f t="shared" si="734"/>
        <v>0</v>
      </c>
      <c r="AI461" s="506">
        <f>I461+W461</f>
        <v>1920</v>
      </c>
      <c r="AJ461" s="506">
        <f t="shared" si="694"/>
        <v>0</v>
      </c>
      <c r="AK461" s="487">
        <f t="shared" si="681"/>
        <v>0</v>
      </c>
      <c r="AL461" s="487">
        <f t="shared" si="709"/>
        <v>1920</v>
      </c>
      <c r="AM461" s="316">
        <f t="shared" si="721"/>
        <v>960</v>
      </c>
      <c r="AN461" s="316">
        <f t="shared" si="722"/>
        <v>0</v>
      </c>
      <c r="AO461" s="316">
        <f t="shared" si="723"/>
        <v>960</v>
      </c>
      <c r="AP461" s="316">
        <f t="shared" si="724"/>
        <v>0</v>
      </c>
      <c r="AQ461" s="186" t="s">
        <v>898</v>
      </c>
      <c r="AR461" s="169" t="s">
        <v>516</v>
      </c>
    </row>
    <row r="462" spans="1:44" s="182" customFormat="1" ht="12.75" customHeight="1" x14ac:dyDescent="0.3">
      <c r="A462" s="480" t="s">
        <v>1514</v>
      </c>
      <c r="B462" s="861" t="s">
        <v>323</v>
      </c>
      <c r="C462" s="862"/>
      <c r="D462" s="862"/>
      <c r="E462" s="862"/>
      <c r="F462" s="862"/>
      <c r="G462" s="862"/>
      <c r="H462" s="863"/>
      <c r="I462" s="481">
        <f t="shared" ref="I462:N462" si="736">SUM(I463:I465)</f>
        <v>2880</v>
      </c>
      <c r="J462" s="482">
        <f t="shared" si="736"/>
        <v>0</v>
      </c>
      <c r="K462" s="482">
        <f t="shared" si="736"/>
        <v>2880</v>
      </c>
      <c r="L462" s="482">
        <f t="shared" si="736"/>
        <v>0</v>
      </c>
      <c r="M462" s="482">
        <f t="shared" si="736"/>
        <v>0</v>
      </c>
      <c r="N462" s="481">
        <f t="shared" si="736"/>
        <v>0</v>
      </c>
      <c r="O462" s="508"/>
      <c r="Q462" s="538"/>
      <c r="R462" s="538"/>
      <c r="S462" s="538"/>
      <c r="T462" s="538"/>
      <c r="U462" s="538"/>
      <c r="V462" s="484"/>
      <c r="W462" s="482">
        <f>SUM(W463:W465)</f>
        <v>2880</v>
      </c>
      <c r="X462" s="482">
        <f t="shared" ref="X462:AA462" si="737">SUM(X463:X465)</f>
        <v>0</v>
      </c>
      <c r="Y462" s="482">
        <f t="shared" si="737"/>
        <v>2880</v>
      </c>
      <c r="Z462" s="482">
        <f t="shared" si="737"/>
        <v>0</v>
      </c>
      <c r="AA462" s="482">
        <f t="shared" si="737"/>
        <v>0</v>
      </c>
      <c r="AB462" s="481">
        <f>SUM(AB463:AB465)</f>
        <v>0</v>
      </c>
      <c r="AC462" s="508"/>
      <c r="AD462" s="234"/>
      <c r="AE462" s="247" t="str">
        <f t="shared" si="732"/>
        <v>4.8.8</v>
      </c>
      <c r="AF462" s="204" t="str">
        <f t="shared" si="735"/>
        <v xml:space="preserve">Organiser 48  séances de discussion à travers les groupes des hommes </v>
      </c>
      <c r="AG462" s="485"/>
      <c r="AH462" s="485"/>
      <c r="AI462" s="482">
        <f>I462+W462</f>
        <v>5760</v>
      </c>
      <c r="AJ462" s="482">
        <f t="shared" si="694"/>
        <v>0</v>
      </c>
      <c r="AK462" s="482">
        <f t="shared" si="681"/>
        <v>0</v>
      </c>
      <c r="AL462" s="482">
        <f t="shared" ref="AL462:AL465" si="738">AI462+AJ462+AK462</f>
        <v>5760</v>
      </c>
      <c r="AM462" s="314">
        <f t="shared" si="721"/>
        <v>2880</v>
      </c>
      <c r="AN462" s="314">
        <f t="shared" si="722"/>
        <v>0</v>
      </c>
      <c r="AO462" s="314">
        <f t="shared" si="723"/>
        <v>2880</v>
      </c>
      <c r="AP462" s="314">
        <f t="shared" si="724"/>
        <v>0</v>
      </c>
      <c r="AR462" s="169" t="s">
        <v>516</v>
      </c>
    </row>
    <row r="463" spans="1:44" s="186" customFormat="1" x14ac:dyDescent="0.3">
      <c r="A463" s="561">
        <v>1</v>
      </c>
      <c r="B463" s="562" t="s">
        <v>1510</v>
      </c>
      <c r="C463" s="562" t="s">
        <v>90</v>
      </c>
      <c r="D463" s="410">
        <v>2</v>
      </c>
      <c r="E463" s="411">
        <v>15</v>
      </c>
      <c r="F463" s="412">
        <v>48</v>
      </c>
      <c r="G463" s="486">
        <v>1</v>
      </c>
      <c r="H463" s="486">
        <f t="shared" si="644"/>
        <v>0</v>
      </c>
      <c r="I463" s="416">
        <f t="shared" ref="I463:I465" si="739">D463*E463*F463*G463</f>
        <v>1440</v>
      </c>
      <c r="J463" s="487">
        <f t="shared" ref="J463:J465" si="740">D463*E463*F463*H463</f>
        <v>0</v>
      </c>
      <c r="K463" s="487">
        <f t="shared" ref="K463:K465" si="741">I463</f>
        <v>1440</v>
      </c>
      <c r="L463" s="487"/>
      <c r="M463" s="487"/>
      <c r="N463" s="416">
        <v>0</v>
      </c>
      <c r="O463" s="417" t="s">
        <v>1515</v>
      </c>
      <c r="Q463" s="562" t="s">
        <v>90</v>
      </c>
      <c r="R463" s="410">
        <v>2</v>
      </c>
      <c r="S463" s="411">
        <v>15</v>
      </c>
      <c r="T463" s="412">
        <v>48</v>
      </c>
      <c r="U463" s="486">
        <v>1</v>
      </c>
      <c r="V463" s="486">
        <f t="shared" ref="V463:V465" si="742">100%-U463</f>
        <v>0</v>
      </c>
      <c r="W463" s="416">
        <f t="shared" ref="W463:W465" si="743">R463*S463*T463*U463</f>
        <v>1440</v>
      </c>
      <c r="X463" s="487">
        <f t="shared" ref="X463:X465" si="744">R463*S463*T463*V463</f>
        <v>0</v>
      </c>
      <c r="Y463" s="487">
        <f t="shared" ref="Y463:Y465" si="745">W463</f>
        <v>1440</v>
      </c>
      <c r="Z463" s="487"/>
      <c r="AA463" s="487"/>
      <c r="AB463" s="416">
        <v>0</v>
      </c>
      <c r="AC463" s="417" t="s">
        <v>1515</v>
      </c>
      <c r="AD463" s="227"/>
      <c r="AE463" s="241">
        <f t="shared" si="732"/>
        <v>1</v>
      </c>
      <c r="AF463" s="204" t="str">
        <f t="shared" si="735"/>
        <v>Casse croute des participants</v>
      </c>
      <c r="AG463" s="486">
        <f t="shared" ref="AG463:AG465" si="746">AI463/($AI463+$AK463)</f>
        <v>1</v>
      </c>
      <c r="AH463" s="486">
        <f t="shared" ref="AH463:AH465" si="747">AK463/($AI463+$AK463)</f>
        <v>0</v>
      </c>
      <c r="AI463" s="506">
        <v>8</v>
      </c>
      <c r="AJ463" s="506">
        <f t="shared" si="694"/>
        <v>0</v>
      </c>
      <c r="AK463" s="487">
        <f t="shared" si="681"/>
        <v>0</v>
      </c>
      <c r="AL463" s="487">
        <f t="shared" si="738"/>
        <v>8</v>
      </c>
      <c r="AM463" s="316">
        <f t="shared" si="721"/>
        <v>1440</v>
      </c>
      <c r="AN463" s="316">
        <f t="shared" si="722"/>
        <v>0</v>
      </c>
      <c r="AO463" s="316">
        <f t="shared" si="723"/>
        <v>1440</v>
      </c>
      <c r="AP463" s="316">
        <f t="shared" si="724"/>
        <v>0</v>
      </c>
      <c r="AQ463" s="186" t="s">
        <v>898</v>
      </c>
      <c r="AR463" s="169" t="s">
        <v>516</v>
      </c>
    </row>
    <row r="464" spans="1:44" s="186" customFormat="1" ht="26" x14ac:dyDescent="0.3">
      <c r="A464" s="561">
        <v>2</v>
      </c>
      <c r="B464" s="562" t="s">
        <v>534</v>
      </c>
      <c r="C464" s="562" t="s">
        <v>90</v>
      </c>
      <c r="D464" s="410">
        <v>5</v>
      </c>
      <c r="E464" s="411">
        <v>2</v>
      </c>
      <c r="F464" s="412">
        <v>48</v>
      </c>
      <c r="G464" s="486">
        <v>1</v>
      </c>
      <c r="H464" s="486">
        <f t="shared" si="644"/>
        <v>0</v>
      </c>
      <c r="I464" s="416">
        <f t="shared" si="739"/>
        <v>480</v>
      </c>
      <c r="J464" s="487">
        <f t="shared" si="740"/>
        <v>0</v>
      </c>
      <c r="K464" s="487">
        <f t="shared" si="741"/>
        <v>480</v>
      </c>
      <c r="L464" s="487"/>
      <c r="M464" s="487"/>
      <c r="N464" s="416">
        <v>0</v>
      </c>
      <c r="O464" s="417" t="s">
        <v>1516</v>
      </c>
      <c r="Q464" s="562" t="s">
        <v>90</v>
      </c>
      <c r="R464" s="410">
        <v>5</v>
      </c>
      <c r="S464" s="411">
        <v>2</v>
      </c>
      <c r="T464" s="412">
        <v>48</v>
      </c>
      <c r="U464" s="486">
        <v>1</v>
      </c>
      <c r="V464" s="486">
        <f t="shared" si="742"/>
        <v>0</v>
      </c>
      <c r="W464" s="416">
        <f t="shared" si="743"/>
        <v>480</v>
      </c>
      <c r="X464" s="487">
        <f t="shared" si="744"/>
        <v>0</v>
      </c>
      <c r="Y464" s="487">
        <f t="shared" si="745"/>
        <v>480</v>
      </c>
      <c r="Z464" s="487"/>
      <c r="AA464" s="487"/>
      <c r="AB464" s="416">
        <v>0</v>
      </c>
      <c r="AC464" s="417" t="s">
        <v>1516</v>
      </c>
      <c r="AD464" s="227"/>
      <c r="AE464" s="241">
        <f t="shared" si="732"/>
        <v>2</v>
      </c>
      <c r="AF464" s="204" t="str">
        <f t="shared" si="735"/>
        <v>Transport des facilitateurs</v>
      </c>
      <c r="AG464" s="486">
        <f t="shared" si="746"/>
        <v>1</v>
      </c>
      <c r="AH464" s="486">
        <f t="shared" si="747"/>
        <v>0</v>
      </c>
      <c r="AI464" s="506">
        <f>I464+W464</f>
        <v>960</v>
      </c>
      <c r="AJ464" s="506">
        <f t="shared" si="694"/>
        <v>0</v>
      </c>
      <c r="AK464" s="487">
        <f t="shared" si="681"/>
        <v>0</v>
      </c>
      <c r="AL464" s="487">
        <f t="shared" si="738"/>
        <v>960</v>
      </c>
      <c r="AM464" s="316">
        <f t="shared" si="721"/>
        <v>480</v>
      </c>
      <c r="AN464" s="316">
        <f t="shared" si="722"/>
        <v>0</v>
      </c>
      <c r="AO464" s="316">
        <f t="shared" si="723"/>
        <v>480</v>
      </c>
      <c r="AP464" s="316">
        <f t="shared" si="724"/>
        <v>0</v>
      </c>
      <c r="AQ464" s="186" t="s">
        <v>898</v>
      </c>
      <c r="AR464" s="169" t="s">
        <v>516</v>
      </c>
    </row>
    <row r="465" spans="1:44" s="186" customFormat="1" ht="26" x14ac:dyDescent="0.3">
      <c r="A465" s="561">
        <v>3</v>
      </c>
      <c r="B465" s="562" t="s">
        <v>533</v>
      </c>
      <c r="C465" s="562" t="s">
        <v>90</v>
      </c>
      <c r="D465" s="541">
        <v>10</v>
      </c>
      <c r="E465" s="411">
        <v>2</v>
      </c>
      <c r="F465" s="412">
        <v>48</v>
      </c>
      <c r="G465" s="486">
        <v>1</v>
      </c>
      <c r="H465" s="486">
        <f t="shared" si="644"/>
        <v>0</v>
      </c>
      <c r="I465" s="416">
        <f t="shared" si="739"/>
        <v>960</v>
      </c>
      <c r="J465" s="487">
        <f t="shared" si="740"/>
        <v>0</v>
      </c>
      <c r="K465" s="487">
        <f t="shared" si="741"/>
        <v>960</v>
      </c>
      <c r="L465" s="487"/>
      <c r="M465" s="487"/>
      <c r="N465" s="416">
        <v>0</v>
      </c>
      <c r="O465" s="417" t="s">
        <v>1517</v>
      </c>
      <c r="Q465" s="562" t="s">
        <v>90</v>
      </c>
      <c r="R465" s="541">
        <v>10</v>
      </c>
      <c r="S465" s="411">
        <v>2</v>
      </c>
      <c r="T465" s="412">
        <v>48</v>
      </c>
      <c r="U465" s="486">
        <v>1</v>
      </c>
      <c r="V465" s="486">
        <f t="shared" si="742"/>
        <v>0</v>
      </c>
      <c r="W465" s="416">
        <f t="shared" si="743"/>
        <v>960</v>
      </c>
      <c r="X465" s="487">
        <f t="shared" si="744"/>
        <v>0</v>
      </c>
      <c r="Y465" s="487">
        <f t="shared" si="745"/>
        <v>960</v>
      </c>
      <c r="Z465" s="487"/>
      <c r="AA465" s="487"/>
      <c r="AB465" s="416">
        <v>0</v>
      </c>
      <c r="AC465" s="417" t="s">
        <v>1517</v>
      </c>
      <c r="AD465" s="227"/>
      <c r="AE465" s="241">
        <f t="shared" si="732"/>
        <v>3</v>
      </c>
      <c r="AF465" s="204" t="str">
        <f t="shared" si="735"/>
        <v>Frais de facilitation</v>
      </c>
      <c r="AG465" s="486">
        <f t="shared" si="746"/>
        <v>1</v>
      </c>
      <c r="AH465" s="486">
        <f t="shared" si="747"/>
        <v>0</v>
      </c>
      <c r="AI465" s="506">
        <f>I465+W465</f>
        <v>1920</v>
      </c>
      <c r="AJ465" s="506">
        <f t="shared" si="694"/>
        <v>0</v>
      </c>
      <c r="AK465" s="487">
        <f t="shared" si="681"/>
        <v>0</v>
      </c>
      <c r="AL465" s="487">
        <f t="shared" si="738"/>
        <v>1920</v>
      </c>
      <c r="AM465" s="316">
        <f t="shared" si="721"/>
        <v>960</v>
      </c>
      <c r="AN465" s="316">
        <f t="shared" si="722"/>
        <v>0</v>
      </c>
      <c r="AO465" s="316">
        <f t="shared" si="723"/>
        <v>960</v>
      </c>
      <c r="AP465" s="316">
        <f t="shared" si="724"/>
        <v>0</v>
      </c>
      <c r="AQ465" s="186" t="s">
        <v>898</v>
      </c>
      <c r="AR465" s="169" t="s">
        <v>516</v>
      </c>
    </row>
    <row r="466" spans="1:44" s="182" customFormat="1" ht="12.75" customHeight="1" x14ac:dyDescent="0.3">
      <c r="A466" s="480" t="s">
        <v>1518</v>
      </c>
      <c r="B466" s="861" t="s">
        <v>324</v>
      </c>
      <c r="C466" s="862"/>
      <c r="D466" s="862"/>
      <c r="E466" s="862"/>
      <c r="F466" s="862"/>
      <c r="G466" s="862"/>
      <c r="H466" s="863"/>
      <c r="I466" s="481">
        <f t="shared" ref="I466:N466" si="748">SUM(I467:I469)</f>
        <v>2880</v>
      </c>
      <c r="J466" s="482">
        <f t="shared" si="748"/>
        <v>0</v>
      </c>
      <c r="K466" s="482">
        <f t="shared" si="748"/>
        <v>2880</v>
      </c>
      <c r="L466" s="482">
        <f t="shared" si="748"/>
        <v>0</v>
      </c>
      <c r="M466" s="482">
        <f t="shared" si="748"/>
        <v>0</v>
      </c>
      <c r="N466" s="481">
        <f t="shared" si="748"/>
        <v>0</v>
      </c>
      <c r="O466" s="508"/>
      <c r="Q466" s="538"/>
      <c r="R466" s="538"/>
      <c r="S466" s="538"/>
      <c r="T466" s="538"/>
      <c r="U466" s="538"/>
      <c r="V466" s="484"/>
      <c r="W466" s="482">
        <f>SUM(W467:W469)</f>
        <v>2880</v>
      </c>
      <c r="X466" s="482">
        <f t="shared" ref="X466:AA466" si="749">SUM(X467:X469)</f>
        <v>0</v>
      </c>
      <c r="Y466" s="482">
        <f>SUM(Y467:Y469)</f>
        <v>2880</v>
      </c>
      <c r="Z466" s="482">
        <f t="shared" si="749"/>
        <v>0</v>
      </c>
      <c r="AA466" s="482">
        <f t="shared" si="749"/>
        <v>0</v>
      </c>
      <c r="AB466" s="481">
        <f>SUM(AB467:AB469)</f>
        <v>0</v>
      </c>
      <c r="AC466" s="508"/>
      <c r="AD466" s="234"/>
      <c r="AE466" s="247" t="str">
        <f t="shared" si="732"/>
        <v>4.8.9</v>
      </c>
      <c r="AF466" s="204" t="str">
        <f t="shared" si="735"/>
        <v>Organiser 32 séances mixtes entre les groupes des femmes et des hommes</v>
      </c>
      <c r="AG466" s="485"/>
      <c r="AH466" s="485"/>
      <c r="AI466" s="482">
        <f>I466+W466</f>
        <v>5760</v>
      </c>
      <c r="AJ466" s="482">
        <f t="shared" si="694"/>
        <v>0</v>
      </c>
      <c r="AK466" s="482">
        <f t="shared" si="681"/>
        <v>0</v>
      </c>
      <c r="AL466" s="482">
        <f t="shared" ref="AL466:AL469" si="750">AI466+AJ466+AK466</f>
        <v>5760</v>
      </c>
      <c r="AM466" s="314">
        <f t="shared" si="721"/>
        <v>2880</v>
      </c>
      <c r="AN466" s="314">
        <f t="shared" si="722"/>
        <v>0</v>
      </c>
      <c r="AO466" s="314">
        <f t="shared" si="723"/>
        <v>2880</v>
      </c>
      <c r="AP466" s="314">
        <f t="shared" si="724"/>
        <v>0</v>
      </c>
      <c r="AR466" s="169" t="s">
        <v>516</v>
      </c>
    </row>
    <row r="467" spans="1:44" s="186" customFormat="1" x14ac:dyDescent="0.3">
      <c r="A467" s="561">
        <v>1</v>
      </c>
      <c r="B467" s="562" t="s">
        <v>1510</v>
      </c>
      <c r="C467" s="562" t="s">
        <v>90</v>
      </c>
      <c r="D467" s="410">
        <v>2</v>
      </c>
      <c r="E467" s="411">
        <v>15</v>
      </c>
      <c r="F467" s="412">
        <v>48</v>
      </c>
      <c r="G467" s="486">
        <v>1</v>
      </c>
      <c r="H467" s="486">
        <f t="shared" si="644"/>
        <v>0</v>
      </c>
      <c r="I467" s="416">
        <f t="shared" ref="I467:I469" si="751">D467*E467*F467*G467</f>
        <v>1440</v>
      </c>
      <c r="J467" s="487">
        <f t="shared" ref="J467:J469" si="752">D467*E467*F467*H467</f>
        <v>0</v>
      </c>
      <c r="K467" s="487">
        <f t="shared" ref="K467:K469" si="753">I467</f>
        <v>1440</v>
      </c>
      <c r="L467" s="487"/>
      <c r="M467" s="487"/>
      <c r="N467" s="416">
        <v>0</v>
      </c>
      <c r="O467" s="417" t="s">
        <v>1515</v>
      </c>
      <c r="Q467" s="562" t="s">
        <v>90</v>
      </c>
      <c r="R467" s="410">
        <v>2</v>
      </c>
      <c r="S467" s="411">
        <v>15</v>
      </c>
      <c r="T467" s="412">
        <v>48</v>
      </c>
      <c r="U467" s="486">
        <v>1</v>
      </c>
      <c r="V467" s="486">
        <f t="shared" ref="V467:V469" si="754">100%-U467</f>
        <v>0</v>
      </c>
      <c r="W467" s="416">
        <f t="shared" ref="W467:W469" si="755">R467*S467*T467*U467</f>
        <v>1440</v>
      </c>
      <c r="X467" s="487">
        <f t="shared" ref="X467:X469" si="756">R467*S467*T467*V467</f>
        <v>0</v>
      </c>
      <c r="Y467" s="487">
        <f t="shared" ref="Y467:Y469" si="757">W467</f>
        <v>1440</v>
      </c>
      <c r="Z467" s="487"/>
      <c r="AA467" s="487"/>
      <c r="AB467" s="416">
        <v>0</v>
      </c>
      <c r="AC467" s="417" t="s">
        <v>1515</v>
      </c>
      <c r="AD467" s="227"/>
      <c r="AE467" s="241">
        <f t="shared" si="732"/>
        <v>1</v>
      </c>
      <c r="AF467" s="204" t="str">
        <f t="shared" si="735"/>
        <v>Casse croute des participants</v>
      </c>
      <c r="AG467" s="486">
        <f t="shared" ref="AG467:AG469" si="758">AI467/($AI467+$AK467)</f>
        <v>1</v>
      </c>
      <c r="AH467" s="486">
        <f t="shared" ref="AH467:AH469" si="759">AK467/($AI467+$AK467)</f>
        <v>0</v>
      </c>
      <c r="AI467" s="506">
        <v>8</v>
      </c>
      <c r="AJ467" s="506">
        <f t="shared" si="694"/>
        <v>0</v>
      </c>
      <c r="AK467" s="487">
        <f t="shared" si="681"/>
        <v>0</v>
      </c>
      <c r="AL467" s="487">
        <f t="shared" si="750"/>
        <v>8</v>
      </c>
      <c r="AM467" s="316">
        <f t="shared" si="721"/>
        <v>1440</v>
      </c>
      <c r="AN467" s="316">
        <f t="shared" si="722"/>
        <v>0</v>
      </c>
      <c r="AO467" s="316">
        <f t="shared" si="723"/>
        <v>1440</v>
      </c>
      <c r="AP467" s="316">
        <f t="shared" si="724"/>
        <v>0</v>
      </c>
      <c r="AQ467" s="186" t="s">
        <v>898</v>
      </c>
      <c r="AR467" s="169" t="s">
        <v>516</v>
      </c>
    </row>
    <row r="468" spans="1:44" s="186" customFormat="1" ht="26" x14ac:dyDescent="0.3">
      <c r="A468" s="561">
        <v>2</v>
      </c>
      <c r="B468" s="562" t="s">
        <v>535</v>
      </c>
      <c r="C468" s="562" t="s">
        <v>90</v>
      </c>
      <c r="D468" s="410">
        <v>5</v>
      </c>
      <c r="E468" s="411">
        <v>2</v>
      </c>
      <c r="F468" s="412">
        <v>48</v>
      </c>
      <c r="G468" s="486">
        <v>1</v>
      </c>
      <c r="H468" s="486">
        <f t="shared" si="644"/>
        <v>0</v>
      </c>
      <c r="I468" s="416">
        <f t="shared" si="751"/>
        <v>480</v>
      </c>
      <c r="J468" s="487">
        <f t="shared" si="752"/>
        <v>0</v>
      </c>
      <c r="K468" s="487">
        <f t="shared" si="753"/>
        <v>480</v>
      </c>
      <c r="L468" s="487"/>
      <c r="M468" s="487"/>
      <c r="N468" s="416">
        <v>0</v>
      </c>
      <c r="O468" s="417" t="s">
        <v>1519</v>
      </c>
      <c r="Q468" s="562" t="s">
        <v>90</v>
      </c>
      <c r="R468" s="410">
        <v>5</v>
      </c>
      <c r="S468" s="411">
        <v>2</v>
      </c>
      <c r="T468" s="412">
        <v>48</v>
      </c>
      <c r="U468" s="486">
        <v>1</v>
      </c>
      <c r="V468" s="486">
        <f t="shared" si="754"/>
        <v>0</v>
      </c>
      <c r="W468" s="416">
        <f t="shared" si="755"/>
        <v>480</v>
      </c>
      <c r="X468" s="487">
        <f t="shared" si="756"/>
        <v>0</v>
      </c>
      <c r="Y468" s="487">
        <f t="shared" si="757"/>
        <v>480</v>
      </c>
      <c r="Z468" s="487"/>
      <c r="AA468" s="487"/>
      <c r="AB468" s="416">
        <v>0</v>
      </c>
      <c r="AC468" s="417" t="s">
        <v>1519</v>
      </c>
      <c r="AD468" s="227"/>
      <c r="AE468" s="241">
        <f t="shared" si="732"/>
        <v>2</v>
      </c>
      <c r="AF468" s="204" t="str">
        <f t="shared" si="735"/>
        <v>Transport des facilitateurs/trices</v>
      </c>
      <c r="AG468" s="486">
        <f t="shared" si="758"/>
        <v>1</v>
      </c>
      <c r="AH468" s="486">
        <f t="shared" si="759"/>
        <v>0</v>
      </c>
      <c r="AI468" s="506">
        <f>I468+W468</f>
        <v>960</v>
      </c>
      <c r="AJ468" s="506">
        <f t="shared" si="694"/>
        <v>0</v>
      </c>
      <c r="AK468" s="487">
        <f t="shared" si="681"/>
        <v>0</v>
      </c>
      <c r="AL468" s="487">
        <f t="shared" si="750"/>
        <v>960</v>
      </c>
      <c r="AM468" s="316">
        <f t="shared" si="721"/>
        <v>480</v>
      </c>
      <c r="AN468" s="316">
        <f t="shared" si="722"/>
        <v>0</v>
      </c>
      <c r="AO468" s="316">
        <f t="shared" si="723"/>
        <v>480</v>
      </c>
      <c r="AP468" s="316">
        <f t="shared" si="724"/>
        <v>0</v>
      </c>
      <c r="AQ468" s="186" t="s">
        <v>898</v>
      </c>
      <c r="AR468" s="169" t="s">
        <v>516</v>
      </c>
    </row>
    <row r="469" spans="1:44" s="186" customFormat="1" ht="26" x14ac:dyDescent="0.3">
      <c r="A469" s="561">
        <v>3</v>
      </c>
      <c r="B469" s="562" t="s">
        <v>533</v>
      </c>
      <c r="C469" s="562" t="s">
        <v>90</v>
      </c>
      <c r="D469" s="541">
        <v>10</v>
      </c>
      <c r="E469" s="411">
        <v>2</v>
      </c>
      <c r="F469" s="412">
        <v>48</v>
      </c>
      <c r="G469" s="486">
        <v>1</v>
      </c>
      <c r="H469" s="486">
        <f t="shared" si="644"/>
        <v>0</v>
      </c>
      <c r="I469" s="416">
        <f t="shared" si="751"/>
        <v>960</v>
      </c>
      <c r="J469" s="487">
        <f t="shared" si="752"/>
        <v>0</v>
      </c>
      <c r="K469" s="487">
        <f t="shared" si="753"/>
        <v>960</v>
      </c>
      <c r="L469" s="487"/>
      <c r="M469" s="487"/>
      <c r="N469" s="416">
        <v>0</v>
      </c>
      <c r="O469" s="417" t="s">
        <v>1517</v>
      </c>
      <c r="Q469" s="562" t="s">
        <v>90</v>
      </c>
      <c r="R469" s="541">
        <v>10</v>
      </c>
      <c r="S469" s="411">
        <v>2</v>
      </c>
      <c r="T469" s="412">
        <v>48</v>
      </c>
      <c r="U469" s="486">
        <v>1</v>
      </c>
      <c r="V469" s="486">
        <f t="shared" si="754"/>
        <v>0</v>
      </c>
      <c r="W469" s="416">
        <f t="shared" si="755"/>
        <v>960</v>
      </c>
      <c r="X469" s="487">
        <f t="shared" si="756"/>
        <v>0</v>
      </c>
      <c r="Y469" s="487">
        <f t="shared" si="757"/>
        <v>960</v>
      </c>
      <c r="Z469" s="487"/>
      <c r="AA469" s="487"/>
      <c r="AB469" s="416">
        <v>0</v>
      </c>
      <c r="AC469" s="417" t="s">
        <v>1517</v>
      </c>
      <c r="AD469" s="227"/>
      <c r="AE469" s="241">
        <f t="shared" si="732"/>
        <v>3</v>
      </c>
      <c r="AF469" s="204" t="str">
        <f t="shared" si="735"/>
        <v>Frais de facilitation</v>
      </c>
      <c r="AG469" s="486">
        <f t="shared" si="758"/>
        <v>1</v>
      </c>
      <c r="AH469" s="486">
        <f t="shared" si="759"/>
        <v>0</v>
      </c>
      <c r="AI469" s="506">
        <f>I469+W469</f>
        <v>1920</v>
      </c>
      <c r="AJ469" s="506">
        <f t="shared" si="694"/>
        <v>0</v>
      </c>
      <c r="AK469" s="487">
        <f t="shared" si="681"/>
        <v>0</v>
      </c>
      <c r="AL469" s="487">
        <f t="shared" si="750"/>
        <v>1920</v>
      </c>
      <c r="AM469" s="316">
        <f t="shared" si="721"/>
        <v>960</v>
      </c>
      <c r="AN469" s="316">
        <f t="shared" si="722"/>
        <v>0</v>
      </c>
      <c r="AO469" s="316">
        <f t="shared" si="723"/>
        <v>960</v>
      </c>
      <c r="AP469" s="316">
        <f t="shared" si="724"/>
        <v>0</v>
      </c>
      <c r="AQ469" s="186" t="s">
        <v>898</v>
      </c>
      <c r="AR469" s="169" t="s">
        <v>516</v>
      </c>
    </row>
    <row r="470" spans="1:44" s="182" customFormat="1" ht="12.75" customHeight="1" x14ac:dyDescent="0.3">
      <c r="A470" s="480" t="s">
        <v>1520</v>
      </c>
      <c r="B470" s="861" t="s">
        <v>1521</v>
      </c>
      <c r="C470" s="862"/>
      <c r="D470" s="862"/>
      <c r="E470" s="862"/>
      <c r="F470" s="862"/>
      <c r="G470" s="862"/>
      <c r="H470" s="863"/>
      <c r="I470" s="481">
        <f t="shared" ref="I470:N470" si="760">SUM(I471)</f>
        <v>960</v>
      </c>
      <c r="J470" s="482">
        <f t="shared" si="760"/>
        <v>0</v>
      </c>
      <c r="K470" s="482">
        <f t="shared" si="760"/>
        <v>960</v>
      </c>
      <c r="L470" s="482">
        <f t="shared" si="760"/>
        <v>0</v>
      </c>
      <c r="M470" s="482">
        <f t="shared" si="760"/>
        <v>0</v>
      </c>
      <c r="N470" s="481">
        <f t="shared" si="760"/>
        <v>0</v>
      </c>
      <c r="O470" s="508"/>
      <c r="Q470" s="538"/>
      <c r="R470" s="538"/>
      <c r="S470" s="538"/>
      <c r="T470" s="538"/>
      <c r="U470" s="538"/>
      <c r="V470" s="484"/>
      <c r="W470" s="482">
        <f>SUM(W471)</f>
        <v>960</v>
      </c>
      <c r="X470" s="482">
        <f t="shared" ref="X470:AB470" si="761">SUM(X471)</f>
        <v>0</v>
      </c>
      <c r="Y470" s="482">
        <f t="shared" si="761"/>
        <v>960</v>
      </c>
      <c r="Z470" s="482">
        <f t="shared" si="761"/>
        <v>0</v>
      </c>
      <c r="AA470" s="482">
        <f t="shared" si="761"/>
        <v>0</v>
      </c>
      <c r="AB470" s="481">
        <f t="shared" si="761"/>
        <v>0</v>
      </c>
      <c r="AC470" s="508"/>
      <c r="AD470" s="234"/>
      <c r="AE470" s="247" t="str">
        <f t="shared" si="732"/>
        <v>4.8.10</v>
      </c>
      <c r="AF470" s="204" t="str">
        <f t="shared" si="735"/>
        <v>Appuyer  48 séances de discussion à travers les CPN, CPS</v>
      </c>
      <c r="AG470" s="485"/>
      <c r="AH470" s="485"/>
      <c r="AI470" s="482">
        <f>I470+W470</f>
        <v>1920</v>
      </c>
      <c r="AJ470" s="482">
        <f t="shared" si="694"/>
        <v>0</v>
      </c>
      <c r="AK470" s="482">
        <f t="shared" si="681"/>
        <v>0</v>
      </c>
      <c r="AL470" s="482">
        <f t="shared" ref="AL470:AL478" si="762">AI470+AJ470+AK470</f>
        <v>1920</v>
      </c>
      <c r="AM470" s="314">
        <f t="shared" si="721"/>
        <v>960</v>
      </c>
      <c r="AN470" s="314">
        <f t="shared" si="722"/>
        <v>0</v>
      </c>
      <c r="AO470" s="314">
        <f t="shared" si="723"/>
        <v>960</v>
      </c>
      <c r="AP470" s="314">
        <f t="shared" si="724"/>
        <v>0</v>
      </c>
      <c r="AR470" s="169" t="s">
        <v>516</v>
      </c>
    </row>
    <row r="471" spans="1:44" s="186" customFormat="1" x14ac:dyDescent="0.3">
      <c r="A471" s="561">
        <v>1</v>
      </c>
      <c r="B471" s="562" t="s">
        <v>1522</v>
      </c>
      <c r="C471" s="562" t="s">
        <v>90</v>
      </c>
      <c r="D471" s="410">
        <v>10</v>
      </c>
      <c r="E471" s="411">
        <v>16</v>
      </c>
      <c r="F471" s="412">
        <v>6</v>
      </c>
      <c r="G471" s="486">
        <v>1</v>
      </c>
      <c r="H471" s="486">
        <f t="shared" si="644"/>
        <v>0</v>
      </c>
      <c r="I471" s="416">
        <f t="shared" ref="I471" si="763">D471*E471*F471*G471</f>
        <v>960</v>
      </c>
      <c r="J471" s="487">
        <f t="shared" ref="J471" si="764">D471*E471*F471*H471</f>
        <v>0</v>
      </c>
      <c r="K471" s="487">
        <f t="shared" ref="K471" si="765">I471</f>
        <v>960</v>
      </c>
      <c r="L471" s="487"/>
      <c r="M471" s="487"/>
      <c r="N471" s="416">
        <v>0</v>
      </c>
      <c r="O471" s="417" t="s">
        <v>1515</v>
      </c>
      <c r="Q471" s="562" t="s">
        <v>90</v>
      </c>
      <c r="R471" s="410">
        <v>10</v>
      </c>
      <c r="S471" s="411">
        <v>16</v>
      </c>
      <c r="T471" s="412">
        <v>6</v>
      </c>
      <c r="U471" s="486">
        <v>1</v>
      </c>
      <c r="V471" s="486">
        <f t="shared" ref="V471" si="766">100%-U471</f>
        <v>0</v>
      </c>
      <c r="W471" s="416">
        <f t="shared" ref="W471" si="767">R471*S471*T471*U471</f>
        <v>960</v>
      </c>
      <c r="X471" s="487">
        <f t="shared" ref="X471" si="768">R471*S471*T471*V471</f>
        <v>0</v>
      </c>
      <c r="Y471" s="487">
        <f t="shared" ref="Y471" si="769">W471</f>
        <v>960</v>
      </c>
      <c r="Z471" s="487"/>
      <c r="AA471" s="487"/>
      <c r="AB471" s="416">
        <v>0</v>
      </c>
      <c r="AC471" s="417" t="s">
        <v>1515</v>
      </c>
      <c r="AD471" s="227"/>
      <c r="AE471" s="241">
        <f t="shared" si="732"/>
        <v>1</v>
      </c>
      <c r="AF471" s="204" t="str">
        <f t="shared" si="735"/>
        <v xml:space="preserve">Transport des facilitateurs et facilitatrices </v>
      </c>
      <c r="AG471" s="486">
        <f t="shared" ref="AG471" si="770">AI471/($AI471+$AK471)</f>
        <v>1</v>
      </c>
      <c r="AH471" s="486">
        <f t="shared" ref="AH471" si="771">AK471/($AI471+$AK471)</f>
        <v>0</v>
      </c>
      <c r="AI471" s="506">
        <v>8</v>
      </c>
      <c r="AJ471" s="506">
        <f t="shared" si="694"/>
        <v>0</v>
      </c>
      <c r="AK471" s="487">
        <f t="shared" si="681"/>
        <v>0</v>
      </c>
      <c r="AL471" s="487">
        <f t="shared" si="762"/>
        <v>8</v>
      </c>
      <c r="AM471" s="316">
        <f t="shared" si="721"/>
        <v>960</v>
      </c>
      <c r="AN471" s="316">
        <f t="shared" si="722"/>
        <v>0</v>
      </c>
      <c r="AO471" s="316">
        <f t="shared" si="723"/>
        <v>960</v>
      </c>
      <c r="AP471" s="316">
        <f t="shared" si="724"/>
        <v>0</v>
      </c>
      <c r="AQ471" s="186" t="s">
        <v>898</v>
      </c>
      <c r="AR471" s="169" t="s">
        <v>516</v>
      </c>
    </row>
    <row r="472" spans="1:44" s="182" customFormat="1" ht="25.5" customHeight="1" x14ac:dyDescent="0.3">
      <c r="A472" s="480" t="s">
        <v>1523</v>
      </c>
      <c r="B472" s="861" t="s">
        <v>1524</v>
      </c>
      <c r="C472" s="862"/>
      <c r="D472" s="862"/>
      <c r="E472" s="862"/>
      <c r="F472" s="862"/>
      <c r="G472" s="862"/>
      <c r="H472" s="863"/>
      <c r="I472" s="481">
        <f>SUM(I473:I480)</f>
        <v>9360</v>
      </c>
      <c r="J472" s="482">
        <f t="shared" ref="J472:N472" si="772">SUM(J473:J480)</f>
        <v>0</v>
      </c>
      <c r="K472" s="482">
        <f>SUM(K473:K480)</f>
        <v>9360</v>
      </c>
      <c r="L472" s="482">
        <f t="shared" si="772"/>
        <v>0</v>
      </c>
      <c r="M472" s="482">
        <f t="shared" si="772"/>
        <v>0</v>
      </c>
      <c r="N472" s="481">
        <f t="shared" si="772"/>
        <v>0</v>
      </c>
      <c r="O472" s="508"/>
      <c r="Q472" s="538"/>
      <c r="R472" s="538"/>
      <c r="S472" s="538"/>
      <c r="T472" s="538"/>
      <c r="U472" s="538"/>
      <c r="V472" s="484"/>
      <c r="W472" s="482">
        <f>SUM(W473:W480)</f>
        <v>9360</v>
      </c>
      <c r="X472" s="482">
        <f t="shared" ref="X472:AB472" si="773">SUM(X473:X480)</f>
        <v>0</v>
      </c>
      <c r="Y472" s="482">
        <f t="shared" si="773"/>
        <v>9360</v>
      </c>
      <c r="Z472" s="482">
        <f t="shared" si="773"/>
        <v>0</v>
      </c>
      <c r="AA472" s="482">
        <f t="shared" si="773"/>
        <v>0</v>
      </c>
      <c r="AB472" s="481">
        <f t="shared" si="773"/>
        <v>0</v>
      </c>
      <c r="AC472" s="508"/>
      <c r="AD472" s="234"/>
      <c r="AE472" s="247" t="str">
        <f t="shared" si="732"/>
        <v>4.8.11</v>
      </c>
      <c r="AF472" s="204" t="str">
        <f t="shared" si="735"/>
        <v>Organiser 8 ateliers de clôture des groupes de discussions communautaires/partage des témoignages de changement dans les relations hommes, femmes et socialisation des enfants filles et garçons dans les ménages bénéficiaires</v>
      </c>
      <c r="AG472" s="485"/>
      <c r="AH472" s="485"/>
      <c r="AI472" s="482">
        <f>I472+W472</f>
        <v>18720</v>
      </c>
      <c r="AJ472" s="482">
        <f t="shared" si="694"/>
        <v>0</v>
      </c>
      <c r="AK472" s="482">
        <f t="shared" si="681"/>
        <v>0</v>
      </c>
      <c r="AL472" s="482">
        <f t="shared" si="762"/>
        <v>18720</v>
      </c>
      <c r="AM472" s="314">
        <f t="shared" si="721"/>
        <v>9360</v>
      </c>
      <c r="AN472" s="314">
        <f t="shared" si="722"/>
        <v>0</v>
      </c>
      <c r="AO472" s="314">
        <f t="shared" si="723"/>
        <v>9360</v>
      </c>
      <c r="AP472" s="314">
        <f t="shared" si="724"/>
        <v>0</v>
      </c>
      <c r="AR472" s="169" t="s">
        <v>516</v>
      </c>
    </row>
    <row r="473" spans="1:44" s="186" customFormat="1" x14ac:dyDescent="0.3">
      <c r="A473" s="561">
        <v>1</v>
      </c>
      <c r="B473" s="562" t="s">
        <v>450</v>
      </c>
      <c r="C473" s="562" t="s">
        <v>524</v>
      </c>
      <c r="D473" s="410">
        <v>50</v>
      </c>
      <c r="E473" s="411">
        <v>1</v>
      </c>
      <c r="F473" s="412">
        <v>8</v>
      </c>
      <c r="G473" s="486">
        <v>1</v>
      </c>
      <c r="H473" s="486">
        <f t="shared" si="644"/>
        <v>0</v>
      </c>
      <c r="I473" s="416">
        <f t="shared" ref="I473:I478" si="774">D473*E473*F473*G473</f>
        <v>400</v>
      </c>
      <c r="J473" s="487">
        <f t="shared" ref="J473:J478" si="775">D473*E473*F473*H473</f>
        <v>0</v>
      </c>
      <c r="K473" s="487">
        <f t="shared" ref="K473:K478" si="776">I473</f>
        <v>400</v>
      </c>
      <c r="L473" s="487"/>
      <c r="M473" s="487"/>
      <c r="N473" s="416">
        <v>0</v>
      </c>
      <c r="O473" s="417" t="s">
        <v>1525</v>
      </c>
      <c r="Q473" s="562" t="s">
        <v>524</v>
      </c>
      <c r="R473" s="410">
        <v>50</v>
      </c>
      <c r="S473" s="411">
        <v>1</v>
      </c>
      <c r="T473" s="412">
        <v>8</v>
      </c>
      <c r="U473" s="486">
        <v>1</v>
      </c>
      <c r="V473" s="486">
        <f t="shared" ref="V473:V480" si="777">100%-U473</f>
        <v>0</v>
      </c>
      <c r="W473" s="416">
        <f t="shared" ref="W473:W480" si="778">R473*S473*T473*U473</f>
        <v>400</v>
      </c>
      <c r="X473" s="487">
        <f t="shared" ref="X473:X480" si="779">R473*S473*T473*V473</f>
        <v>0</v>
      </c>
      <c r="Y473" s="487">
        <f t="shared" ref="Y473:Y480" si="780">W473</f>
        <v>400</v>
      </c>
      <c r="Z473" s="487"/>
      <c r="AA473" s="487"/>
      <c r="AB473" s="416">
        <v>0</v>
      </c>
      <c r="AC473" s="417" t="s">
        <v>1525</v>
      </c>
      <c r="AD473" s="227"/>
      <c r="AE473" s="241">
        <f t="shared" si="732"/>
        <v>1</v>
      </c>
      <c r="AF473" s="204" t="str">
        <f t="shared" si="735"/>
        <v xml:space="preserve">Location salle </v>
      </c>
      <c r="AG473" s="486">
        <f t="shared" ref="AG473:AG478" si="781">AI473/($AI473+$AK473)</f>
        <v>1</v>
      </c>
      <c r="AH473" s="486">
        <f t="shared" ref="AH473:AH478" si="782">AK473/($AI473+$AK473)</f>
        <v>0</v>
      </c>
      <c r="AI473" s="506">
        <v>8</v>
      </c>
      <c r="AJ473" s="506">
        <f t="shared" si="694"/>
        <v>0</v>
      </c>
      <c r="AK473" s="487">
        <f t="shared" si="681"/>
        <v>0</v>
      </c>
      <c r="AL473" s="487">
        <f t="shared" si="762"/>
        <v>8</v>
      </c>
      <c r="AM473" s="316">
        <f t="shared" si="721"/>
        <v>400</v>
      </c>
      <c r="AN473" s="316">
        <f t="shared" si="722"/>
        <v>0</v>
      </c>
      <c r="AO473" s="316">
        <f t="shared" si="723"/>
        <v>400</v>
      </c>
      <c r="AP473" s="316">
        <f t="shared" si="724"/>
        <v>0</v>
      </c>
      <c r="AQ473" s="186" t="s">
        <v>898</v>
      </c>
      <c r="AR473" s="169" t="s">
        <v>516</v>
      </c>
    </row>
    <row r="474" spans="1:44" s="186" customFormat="1" x14ac:dyDescent="0.3">
      <c r="A474" s="561">
        <v>2</v>
      </c>
      <c r="B474" s="562" t="s">
        <v>539</v>
      </c>
      <c r="C474" s="562" t="s">
        <v>90</v>
      </c>
      <c r="D474" s="410">
        <v>2</v>
      </c>
      <c r="E474" s="411">
        <v>50</v>
      </c>
      <c r="F474" s="412">
        <v>8</v>
      </c>
      <c r="G474" s="486">
        <v>1</v>
      </c>
      <c r="H474" s="486">
        <f t="shared" si="644"/>
        <v>0</v>
      </c>
      <c r="I474" s="416">
        <f t="shared" si="774"/>
        <v>800</v>
      </c>
      <c r="J474" s="487">
        <f t="shared" si="775"/>
        <v>0</v>
      </c>
      <c r="K474" s="487">
        <f t="shared" si="776"/>
        <v>800</v>
      </c>
      <c r="L474" s="487"/>
      <c r="M474" s="487"/>
      <c r="N474" s="416">
        <v>0</v>
      </c>
      <c r="O474" s="417" t="s">
        <v>1525</v>
      </c>
      <c r="Q474" s="562" t="s">
        <v>90</v>
      </c>
      <c r="R474" s="410">
        <v>2</v>
      </c>
      <c r="S474" s="411">
        <v>50</v>
      </c>
      <c r="T474" s="412">
        <v>8</v>
      </c>
      <c r="U474" s="486">
        <v>1</v>
      </c>
      <c r="V474" s="486">
        <f t="shared" si="777"/>
        <v>0</v>
      </c>
      <c r="W474" s="416">
        <f t="shared" si="778"/>
        <v>800</v>
      </c>
      <c r="X474" s="487">
        <f t="shared" si="779"/>
        <v>0</v>
      </c>
      <c r="Y474" s="487">
        <f t="shared" si="780"/>
        <v>800</v>
      </c>
      <c r="Z474" s="487"/>
      <c r="AA474" s="487"/>
      <c r="AB474" s="416">
        <v>0</v>
      </c>
      <c r="AC474" s="417" t="s">
        <v>1525</v>
      </c>
      <c r="AD474" s="227"/>
      <c r="AE474" s="241">
        <f t="shared" si="732"/>
        <v>2</v>
      </c>
      <c r="AF474" s="204" t="str">
        <f t="shared" si="735"/>
        <v xml:space="preserve">Casse croute des participants </v>
      </c>
      <c r="AG474" s="486">
        <f t="shared" si="781"/>
        <v>1</v>
      </c>
      <c r="AH474" s="486">
        <f t="shared" si="782"/>
        <v>0</v>
      </c>
      <c r="AI474" s="506">
        <f>I474+W474</f>
        <v>1600</v>
      </c>
      <c r="AJ474" s="506">
        <f t="shared" si="694"/>
        <v>0</v>
      </c>
      <c r="AK474" s="487">
        <f t="shared" si="681"/>
        <v>0</v>
      </c>
      <c r="AL474" s="487">
        <f t="shared" si="762"/>
        <v>1600</v>
      </c>
      <c r="AM474" s="316">
        <f t="shared" si="721"/>
        <v>800</v>
      </c>
      <c r="AN474" s="316">
        <f t="shared" si="722"/>
        <v>0</v>
      </c>
      <c r="AO474" s="316">
        <f t="shared" si="723"/>
        <v>800</v>
      </c>
      <c r="AP474" s="316">
        <f t="shared" si="724"/>
        <v>0</v>
      </c>
      <c r="AQ474" s="186" t="s">
        <v>898</v>
      </c>
      <c r="AR474" s="169" t="s">
        <v>516</v>
      </c>
    </row>
    <row r="475" spans="1:44" s="186" customFormat="1" x14ac:dyDescent="0.3">
      <c r="A475" s="561">
        <v>3</v>
      </c>
      <c r="B475" s="562" t="s">
        <v>540</v>
      </c>
      <c r="C475" s="562" t="s">
        <v>466</v>
      </c>
      <c r="D475" s="541">
        <v>80</v>
      </c>
      <c r="E475" s="411">
        <v>1</v>
      </c>
      <c r="F475" s="412">
        <v>8</v>
      </c>
      <c r="G475" s="486">
        <v>1</v>
      </c>
      <c r="H475" s="486">
        <f t="shared" si="644"/>
        <v>0</v>
      </c>
      <c r="I475" s="416">
        <f t="shared" si="774"/>
        <v>640</v>
      </c>
      <c r="J475" s="487">
        <f t="shared" si="775"/>
        <v>0</v>
      </c>
      <c r="K475" s="487">
        <f t="shared" si="776"/>
        <v>640</v>
      </c>
      <c r="L475" s="487"/>
      <c r="M475" s="487"/>
      <c r="N475" s="416">
        <v>0</v>
      </c>
      <c r="O475" s="417" t="s">
        <v>1525</v>
      </c>
      <c r="Q475" s="562" t="s">
        <v>466</v>
      </c>
      <c r="R475" s="541">
        <v>80</v>
      </c>
      <c r="S475" s="411">
        <v>1</v>
      </c>
      <c r="T475" s="412">
        <v>8</v>
      </c>
      <c r="U475" s="486">
        <v>1</v>
      </c>
      <c r="V475" s="486">
        <f t="shared" si="777"/>
        <v>0</v>
      </c>
      <c r="W475" s="416">
        <f t="shared" si="778"/>
        <v>640</v>
      </c>
      <c r="X475" s="487">
        <f t="shared" si="779"/>
        <v>0</v>
      </c>
      <c r="Y475" s="487">
        <f t="shared" si="780"/>
        <v>640</v>
      </c>
      <c r="Z475" s="487"/>
      <c r="AA475" s="487"/>
      <c r="AB475" s="416">
        <v>0</v>
      </c>
      <c r="AC475" s="417" t="s">
        <v>1525</v>
      </c>
      <c r="AD475" s="227"/>
      <c r="AE475" s="241">
        <f t="shared" si="732"/>
        <v>3</v>
      </c>
      <c r="AF475" s="204" t="str">
        <f t="shared" si="735"/>
        <v xml:space="preserve">Sonorisation </v>
      </c>
      <c r="AG475" s="486">
        <f t="shared" si="781"/>
        <v>1</v>
      </c>
      <c r="AH475" s="486">
        <f t="shared" si="782"/>
        <v>0</v>
      </c>
      <c r="AI475" s="506">
        <f>I475+W475</f>
        <v>1280</v>
      </c>
      <c r="AJ475" s="506">
        <f t="shared" si="694"/>
        <v>0</v>
      </c>
      <c r="AK475" s="487">
        <f t="shared" ref="AK475:AK506" si="783">J475+X475</f>
        <v>0</v>
      </c>
      <c r="AL475" s="487">
        <f t="shared" si="762"/>
        <v>1280</v>
      </c>
      <c r="AM475" s="316">
        <f t="shared" si="721"/>
        <v>640</v>
      </c>
      <c r="AN475" s="316">
        <f t="shared" si="722"/>
        <v>0</v>
      </c>
      <c r="AO475" s="316">
        <f t="shared" si="723"/>
        <v>640</v>
      </c>
      <c r="AP475" s="316">
        <f t="shared" si="724"/>
        <v>0</v>
      </c>
      <c r="AQ475" s="186" t="s">
        <v>898</v>
      </c>
      <c r="AR475" s="169" t="s">
        <v>516</v>
      </c>
    </row>
    <row r="476" spans="1:44" s="186" customFormat="1" x14ac:dyDescent="0.3">
      <c r="A476" s="561">
        <v>4</v>
      </c>
      <c r="B476" s="562" t="s">
        <v>541</v>
      </c>
      <c r="C476" s="562" t="s">
        <v>90</v>
      </c>
      <c r="D476" s="410">
        <v>5</v>
      </c>
      <c r="E476" s="411">
        <v>20</v>
      </c>
      <c r="F476" s="412">
        <v>8</v>
      </c>
      <c r="G476" s="486">
        <v>1</v>
      </c>
      <c r="H476" s="486">
        <f t="shared" si="644"/>
        <v>0</v>
      </c>
      <c r="I476" s="416">
        <f t="shared" si="774"/>
        <v>800</v>
      </c>
      <c r="J476" s="487">
        <f t="shared" si="775"/>
        <v>0</v>
      </c>
      <c r="K476" s="487">
        <f t="shared" si="776"/>
        <v>800</v>
      </c>
      <c r="L476" s="487"/>
      <c r="M476" s="487"/>
      <c r="N476" s="416">
        <v>0</v>
      </c>
      <c r="O476" s="417" t="s">
        <v>542</v>
      </c>
      <c r="Q476" s="562" t="s">
        <v>90</v>
      </c>
      <c r="R476" s="410">
        <v>5</v>
      </c>
      <c r="S476" s="411">
        <v>20</v>
      </c>
      <c r="T476" s="412">
        <v>8</v>
      </c>
      <c r="U476" s="486">
        <v>1</v>
      </c>
      <c r="V476" s="486">
        <f t="shared" si="777"/>
        <v>0</v>
      </c>
      <c r="W476" s="416">
        <f t="shared" si="778"/>
        <v>800</v>
      </c>
      <c r="X476" s="487">
        <f t="shared" si="779"/>
        <v>0</v>
      </c>
      <c r="Y476" s="487">
        <f t="shared" si="780"/>
        <v>800</v>
      </c>
      <c r="Z476" s="487"/>
      <c r="AA476" s="487"/>
      <c r="AB476" s="416">
        <v>0</v>
      </c>
      <c r="AC476" s="417" t="s">
        <v>542</v>
      </c>
      <c r="AD476" s="227"/>
      <c r="AE476" s="241">
        <f t="shared" si="732"/>
        <v>4</v>
      </c>
      <c r="AF476" s="204" t="str">
        <f t="shared" si="735"/>
        <v xml:space="preserve">Transport des autorités locales </v>
      </c>
      <c r="AG476" s="486">
        <f t="shared" si="781"/>
        <v>1</v>
      </c>
      <c r="AH476" s="486">
        <f t="shared" si="782"/>
        <v>0</v>
      </c>
      <c r="AI476" s="506">
        <v>8</v>
      </c>
      <c r="AJ476" s="506">
        <f t="shared" si="694"/>
        <v>0</v>
      </c>
      <c r="AK476" s="487">
        <f t="shared" si="783"/>
        <v>0</v>
      </c>
      <c r="AL476" s="487">
        <f t="shared" si="762"/>
        <v>8</v>
      </c>
      <c r="AM476" s="316">
        <f t="shared" si="721"/>
        <v>800</v>
      </c>
      <c r="AN476" s="316">
        <f t="shared" si="722"/>
        <v>0</v>
      </c>
      <c r="AO476" s="316">
        <f t="shared" si="723"/>
        <v>800</v>
      </c>
      <c r="AP476" s="316">
        <f t="shared" si="724"/>
        <v>0</v>
      </c>
      <c r="AQ476" s="186" t="s">
        <v>898</v>
      </c>
      <c r="AR476" s="169" t="s">
        <v>516</v>
      </c>
    </row>
    <row r="477" spans="1:44" s="186" customFormat="1" x14ac:dyDescent="0.3">
      <c r="A477" s="561">
        <v>5</v>
      </c>
      <c r="B477" s="562" t="s">
        <v>543</v>
      </c>
      <c r="C477" s="562" t="s">
        <v>544</v>
      </c>
      <c r="D477" s="410">
        <v>10</v>
      </c>
      <c r="E477" s="411">
        <v>1</v>
      </c>
      <c r="F477" s="412">
        <v>8</v>
      </c>
      <c r="G477" s="486">
        <v>1</v>
      </c>
      <c r="H477" s="486">
        <f t="shared" si="644"/>
        <v>0</v>
      </c>
      <c r="I477" s="416">
        <f t="shared" si="774"/>
        <v>80</v>
      </c>
      <c r="J477" s="487">
        <f t="shared" si="775"/>
        <v>0</v>
      </c>
      <c r="K477" s="487">
        <f t="shared" si="776"/>
        <v>80</v>
      </c>
      <c r="L477" s="487"/>
      <c r="M477" s="487"/>
      <c r="N477" s="416">
        <v>0</v>
      </c>
      <c r="O477" s="417" t="s">
        <v>1526</v>
      </c>
      <c r="Q477" s="562" t="s">
        <v>544</v>
      </c>
      <c r="R477" s="410">
        <v>10</v>
      </c>
      <c r="S477" s="411">
        <v>1</v>
      </c>
      <c r="T477" s="412">
        <v>8</v>
      </c>
      <c r="U477" s="486">
        <v>1</v>
      </c>
      <c r="V477" s="486">
        <f t="shared" si="777"/>
        <v>0</v>
      </c>
      <c r="W477" s="416">
        <f t="shared" si="778"/>
        <v>80</v>
      </c>
      <c r="X477" s="487">
        <f t="shared" si="779"/>
        <v>0</v>
      </c>
      <c r="Y477" s="487">
        <f t="shared" si="780"/>
        <v>80</v>
      </c>
      <c r="Z477" s="487"/>
      <c r="AA477" s="487"/>
      <c r="AB477" s="416">
        <v>0</v>
      </c>
      <c r="AC477" s="417" t="s">
        <v>1526</v>
      </c>
      <c r="AD477" s="227"/>
      <c r="AE477" s="241">
        <f t="shared" si="732"/>
        <v>5</v>
      </c>
      <c r="AF477" s="204" t="str">
        <f t="shared" si="735"/>
        <v>Communication</v>
      </c>
      <c r="AG477" s="486">
        <f t="shared" si="781"/>
        <v>1</v>
      </c>
      <c r="AH477" s="486">
        <f t="shared" si="782"/>
        <v>0</v>
      </c>
      <c r="AI477" s="506">
        <f>I477+W477</f>
        <v>160</v>
      </c>
      <c r="AJ477" s="506">
        <f t="shared" si="694"/>
        <v>0</v>
      </c>
      <c r="AK477" s="487">
        <f t="shared" si="783"/>
        <v>0</v>
      </c>
      <c r="AL477" s="487">
        <f t="shared" si="762"/>
        <v>160</v>
      </c>
      <c r="AM477" s="316">
        <f t="shared" si="721"/>
        <v>80</v>
      </c>
      <c r="AN477" s="316">
        <f t="shared" si="722"/>
        <v>0</v>
      </c>
      <c r="AO477" s="316">
        <f t="shared" si="723"/>
        <v>80</v>
      </c>
      <c r="AP477" s="316">
        <f t="shared" si="724"/>
        <v>0</v>
      </c>
      <c r="AQ477" s="186" t="s">
        <v>898</v>
      </c>
      <c r="AR477" s="169" t="s">
        <v>516</v>
      </c>
    </row>
    <row r="478" spans="1:44" s="186" customFormat="1" x14ac:dyDescent="0.3">
      <c r="A478" s="561">
        <v>6</v>
      </c>
      <c r="B478" s="562" t="s">
        <v>1527</v>
      </c>
      <c r="C478" s="562" t="s">
        <v>360</v>
      </c>
      <c r="D478" s="541">
        <v>30</v>
      </c>
      <c r="E478" s="411">
        <v>1</v>
      </c>
      <c r="F478" s="412">
        <v>8</v>
      </c>
      <c r="G478" s="486">
        <v>1</v>
      </c>
      <c r="H478" s="486">
        <f t="shared" si="644"/>
        <v>0</v>
      </c>
      <c r="I478" s="416">
        <f t="shared" si="774"/>
        <v>240</v>
      </c>
      <c r="J478" s="487">
        <f t="shared" si="775"/>
        <v>0</v>
      </c>
      <c r="K478" s="487">
        <f t="shared" si="776"/>
        <v>240</v>
      </c>
      <c r="L478" s="487"/>
      <c r="M478" s="487"/>
      <c r="N478" s="416">
        <v>0</v>
      </c>
      <c r="O478" s="417" t="s">
        <v>1528</v>
      </c>
      <c r="Q478" s="562" t="s">
        <v>360</v>
      </c>
      <c r="R478" s="541">
        <v>30</v>
      </c>
      <c r="S478" s="411">
        <v>1</v>
      </c>
      <c r="T478" s="412">
        <v>8</v>
      </c>
      <c r="U478" s="486">
        <v>1</v>
      </c>
      <c r="V478" s="486">
        <f t="shared" si="777"/>
        <v>0</v>
      </c>
      <c r="W478" s="416">
        <f t="shared" si="778"/>
        <v>240</v>
      </c>
      <c r="X478" s="487">
        <f t="shared" si="779"/>
        <v>0</v>
      </c>
      <c r="Y478" s="487">
        <f t="shared" si="780"/>
        <v>240</v>
      </c>
      <c r="Z478" s="487"/>
      <c r="AA478" s="487"/>
      <c r="AB478" s="416">
        <v>0</v>
      </c>
      <c r="AC478" s="417" t="s">
        <v>1528</v>
      </c>
      <c r="AD478" s="227"/>
      <c r="AE478" s="241">
        <f t="shared" si="732"/>
        <v>6</v>
      </c>
      <c r="AF478" s="204" t="str">
        <f t="shared" si="735"/>
        <v xml:space="preserve">Distribution des invitations </v>
      </c>
      <c r="AG478" s="486">
        <f t="shared" si="781"/>
        <v>1</v>
      </c>
      <c r="AH478" s="486">
        <f t="shared" si="782"/>
        <v>0</v>
      </c>
      <c r="AI478" s="506">
        <f>I478+W478</f>
        <v>480</v>
      </c>
      <c r="AJ478" s="506">
        <f t="shared" si="694"/>
        <v>0</v>
      </c>
      <c r="AK478" s="487">
        <f t="shared" si="783"/>
        <v>0</v>
      </c>
      <c r="AL478" s="487">
        <f t="shared" si="762"/>
        <v>480</v>
      </c>
      <c r="AM478" s="316">
        <f t="shared" si="721"/>
        <v>240</v>
      </c>
      <c r="AN478" s="316">
        <f t="shared" si="722"/>
        <v>0</v>
      </c>
      <c r="AO478" s="316">
        <f t="shared" si="723"/>
        <v>240</v>
      </c>
      <c r="AP478" s="316">
        <f t="shared" si="724"/>
        <v>0</v>
      </c>
      <c r="AQ478" s="186" t="s">
        <v>898</v>
      </c>
      <c r="AR478" s="169" t="s">
        <v>516</v>
      </c>
    </row>
    <row r="479" spans="1:44" s="186" customFormat="1" x14ac:dyDescent="0.3">
      <c r="A479" s="561">
        <v>7</v>
      </c>
      <c r="B479" s="562" t="s">
        <v>545</v>
      </c>
      <c r="C479" s="562" t="s">
        <v>480</v>
      </c>
      <c r="D479" s="410">
        <v>7</v>
      </c>
      <c r="E479" s="411">
        <v>50</v>
      </c>
      <c r="F479" s="412">
        <v>8</v>
      </c>
      <c r="G479" s="486">
        <v>1</v>
      </c>
      <c r="H479" s="486">
        <f t="shared" si="644"/>
        <v>0</v>
      </c>
      <c r="I479" s="416">
        <f t="shared" ref="I479:I480" si="784">D479*E479*F479*G479</f>
        <v>2800</v>
      </c>
      <c r="J479" s="487">
        <f t="shared" ref="J479:J480" si="785">D479*E479*F479*H479</f>
        <v>0</v>
      </c>
      <c r="K479" s="487">
        <f t="shared" ref="K479:K480" si="786">I479</f>
        <v>2800</v>
      </c>
      <c r="L479" s="487"/>
      <c r="M479" s="487"/>
      <c r="N479" s="416">
        <v>0</v>
      </c>
      <c r="O479" s="417" t="s">
        <v>1529</v>
      </c>
      <c r="Q479" s="562" t="s">
        <v>480</v>
      </c>
      <c r="R479" s="410">
        <v>7</v>
      </c>
      <c r="S479" s="411">
        <v>50</v>
      </c>
      <c r="T479" s="412">
        <v>8</v>
      </c>
      <c r="U479" s="486">
        <v>1</v>
      </c>
      <c r="V479" s="486">
        <f t="shared" si="777"/>
        <v>0</v>
      </c>
      <c r="W479" s="416">
        <f t="shared" si="778"/>
        <v>2800</v>
      </c>
      <c r="X479" s="487">
        <f t="shared" si="779"/>
        <v>0</v>
      </c>
      <c r="Y479" s="487">
        <f t="shared" si="780"/>
        <v>2800</v>
      </c>
      <c r="Z479" s="487"/>
      <c r="AA479" s="487"/>
      <c r="AB479" s="416">
        <v>0</v>
      </c>
      <c r="AC479" s="417" t="s">
        <v>1529</v>
      </c>
      <c r="AD479" s="227"/>
      <c r="AE479" s="241">
        <f t="shared" si="732"/>
        <v>7</v>
      </c>
      <c r="AF479" s="204" t="str">
        <f t="shared" si="735"/>
        <v>Production des t-shirts pour les participants</v>
      </c>
      <c r="AG479" s="486">
        <f t="shared" ref="AG479:AG480" si="787">AI479/($AI479+$AK479)</f>
        <v>1</v>
      </c>
      <c r="AH479" s="486">
        <f t="shared" ref="AH479:AH480" si="788">AK479/($AI479+$AK479)</f>
        <v>0</v>
      </c>
      <c r="AI479" s="506">
        <f>I479+W479</f>
        <v>5600</v>
      </c>
      <c r="AJ479" s="506">
        <f t="shared" si="694"/>
        <v>0</v>
      </c>
      <c r="AK479" s="487">
        <f t="shared" si="783"/>
        <v>0</v>
      </c>
      <c r="AL479" s="487">
        <f t="shared" ref="AL479:AL490" si="789">AI479+AJ479+AK479</f>
        <v>5600</v>
      </c>
      <c r="AM479" s="316">
        <f t="shared" si="721"/>
        <v>2800</v>
      </c>
      <c r="AN479" s="316">
        <f t="shared" si="722"/>
        <v>0</v>
      </c>
      <c r="AO479" s="316">
        <f t="shared" si="723"/>
        <v>2800</v>
      </c>
      <c r="AP479" s="316">
        <f t="shared" si="724"/>
        <v>0</v>
      </c>
      <c r="AQ479" s="186" t="s">
        <v>898</v>
      </c>
      <c r="AR479" s="169" t="s">
        <v>516</v>
      </c>
    </row>
    <row r="480" spans="1:44" s="186" customFormat="1" x14ac:dyDescent="0.3">
      <c r="A480" s="561">
        <v>8</v>
      </c>
      <c r="B480" s="562" t="s">
        <v>546</v>
      </c>
      <c r="C480" s="562" t="s">
        <v>466</v>
      </c>
      <c r="D480" s="541">
        <v>15</v>
      </c>
      <c r="E480" s="411">
        <v>30</v>
      </c>
      <c r="F480" s="412">
        <v>8</v>
      </c>
      <c r="G480" s="486">
        <v>1</v>
      </c>
      <c r="H480" s="486">
        <f t="shared" si="644"/>
        <v>0</v>
      </c>
      <c r="I480" s="416">
        <f t="shared" si="784"/>
        <v>3600</v>
      </c>
      <c r="J480" s="487">
        <f t="shared" si="785"/>
        <v>0</v>
      </c>
      <c r="K480" s="487">
        <f t="shared" si="786"/>
        <v>3600</v>
      </c>
      <c r="L480" s="487"/>
      <c r="M480" s="487"/>
      <c r="N480" s="416">
        <v>0</v>
      </c>
      <c r="O480" s="417" t="s">
        <v>547</v>
      </c>
      <c r="Q480" s="562" t="s">
        <v>466</v>
      </c>
      <c r="R480" s="541">
        <v>15</v>
      </c>
      <c r="S480" s="411">
        <v>30</v>
      </c>
      <c r="T480" s="412">
        <v>8</v>
      </c>
      <c r="U480" s="486">
        <v>1</v>
      </c>
      <c r="V480" s="486">
        <f t="shared" si="777"/>
        <v>0</v>
      </c>
      <c r="W480" s="416">
        <f t="shared" si="778"/>
        <v>3600</v>
      </c>
      <c r="X480" s="487">
        <f t="shared" si="779"/>
        <v>0</v>
      </c>
      <c r="Y480" s="487">
        <f t="shared" si="780"/>
        <v>3600</v>
      </c>
      <c r="Z480" s="487"/>
      <c r="AA480" s="487"/>
      <c r="AB480" s="416">
        <v>0</v>
      </c>
      <c r="AC480" s="417" t="s">
        <v>547</v>
      </c>
      <c r="AD480" s="227"/>
      <c r="AE480" s="241">
        <f t="shared" si="732"/>
        <v>8</v>
      </c>
      <c r="AF480" s="204" t="str">
        <f t="shared" si="735"/>
        <v xml:space="preserve">Kits pour  les champions  et championnes </v>
      </c>
      <c r="AG480" s="486">
        <f t="shared" si="787"/>
        <v>1</v>
      </c>
      <c r="AH480" s="486">
        <f t="shared" si="788"/>
        <v>0</v>
      </c>
      <c r="AI480" s="506">
        <f>I480+W480</f>
        <v>7200</v>
      </c>
      <c r="AJ480" s="506">
        <f t="shared" si="694"/>
        <v>0</v>
      </c>
      <c r="AK480" s="487">
        <f t="shared" si="783"/>
        <v>0</v>
      </c>
      <c r="AL480" s="487">
        <f t="shared" si="789"/>
        <v>7200</v>
      </c>
      <c r="AM480" s="316">
        <f t="shared" si="721"/>
        <v>3600</v>
      </c>
      <c r="AN480" s="316">
        <f t="shared" si="722"/>
        <v>0</v>
      </c>
      <c r="AO480" s="316">
        <f t="shared" si="723"/>
        <v>3600</v>
      </c>
      <c r="AP480" s="316">
        <f t="shared" si="724"/>
        <v>0</v>
      </c>
      <c r="AQ480" s="186" t="s">
        <v>898</v>
      </c>
      <c r="AR480" s="169" t="s">
        <v>516</v>
      </c>
    </row>
    <row r="481" spans="1:47" s="182" customFormat="1" ht="13.5" customHeight="1" x14ac:dyDescent="0.3">
      <c r="A481" s="480" t="s">
        <v>1530</v>
      </c>
      <c r="B481" s="861" t="s">
        <v>325</v>
      </c>
      <c r="C481" s="862"/>
      <c r="D481" s="862"/>
      <c r="E481" s="862"/>
      <c r="F481" s="862"/>
      <c r="G481" s="862"/>
      <c r="H481" s="863"/>
      <c r="I481" s="481">
        <f t="shared" ref="I481:N481" si="790">SUM(I482:I487)</f>
        <v>3550</v>
      </c>
      <c r="J481" s="482">
        <f t="shared" si="790"/>
        <v>0</v>
      </c>
      <c r="K481" s="482">
        <f t="shared" si="790"/>
        <v>3550</v>
      </c>
      <c r="L481" s="482">
        <f t="shared" si="790"/>
        <v>0</v>
      </c>
      <c r="M481" s="482">
        <f t="shared" si="790"/>
        <v>0</v>
      </c>
      <c r="N481" s="481">
        <f t="shared" si="790"/>
        <v>0</v>
      </c>
      <c r="O481" s="508"/>
      <c r="Q481" s="538"/>
      <c r="R481" s="538"/>
      <c r="S481" s="538"/>
      <c r="T481" s="538"/>
      <c r="U481" s="538"/>
      <c r="V481" s="484"/>
      <c r="W481" s="482">
        <f>SUM(W482:W487)</f>
        <v>3550</v>
      </c>
      <c r="X481" s="482">
        <f t="shared" ref="X481:AB481" si="791">SUM(X482:X487)</f>
        <v>0</v>
      </c>
      <c r="Y481" s="482">
        <f t="shared" si="791"/>
        <v>3550</v>
      </c>
      <c r="Z481" s="482">
        <f t="shared" si="791"/>
        <v>0</v>
      </c>
      <c r="AA481" s="482">
        <f t="shared" si="791"/>
        <v>0</v>
      </c>
      <c r="AB481" s="481">
        <f t="shared" si="791"/>
        <v>0</v>
      </c>
      <c r="AC481" s="508"/>
      <c r="AD481" s="234"/>
      <c r="AE481" s="247" t="str">
        <f t="shared" si="732"/>
        <v>4.8.12</v>
      </c>
      <c r="AF481" s="204" t="str">
        <f t="shared" si="735"/>
        <v>Suivi, évaluation et Apprentissage de l'approche Washindi</v>
      </c>
      <c r="AG481" s="485"/>
      <c r="AH481" s="485"/>
      <c r="AI481" s="482">
        <f>I481+W481</f>
        <v>7100</v>
      </c>
      <c r="AJ481" s="482">
        <f t="shared" si="694"/>
        <v>0</v>
      </c>
      <c r="AK481" s="482">
        <f t="shared" si="783"/>
        <v>0</v>
      </c>
      <c r="AL481" s="482">
        <f t="shared" ref="AL481:AL487" si="792">AI481+AJ481+AK481</f>
        <v>7100</v>
      </c>
      <c r="AM481" s="314">
        <f t="shared" si="721"/>
        <v>3550</v>
      </c>
      <c r="AN481" s="314">
        <f t="shared" si="722"/>
        <v>0</v>
      </c>
      <c r="AO481" s="314">
        <f t="shared" si="723"/>
        <v>3550</v>
      </c>
      <c r="AP481" s="314">
        <f t="shared" si="724"/>
        <v>0</v>
      </c>
      <c r="AR481" s="169" t="s">
        <v>516</v>
      </c>
    </row>
    <row r="482" spans="1:47" s="186" customFormat="1" ht="26" x14ac:dyDescent="0.3">
      <c r="A482" s="561">
        <v>1</v>
      </c>
      <c r="B482" s="562" t="s">
        <v>1531</v>
      </c>
      <c r="C482" s="562" t="s">
        <v>90</v>
      </c>
      <c r="D482" s="410">
        <v>5</v>
      </c>
      <c r="E482" s="411">
        <v>8</v>
      </c>
      <c r="F482" s="412">
        <v>4</v>
      </c>
      <c r="G482" s="486">
        <v>1</v>
      </c>
      <c r="H482" s="486">
        <f t="shared" ref="H482:H487" si="793">100%-G482</f>
        <v>0</v>
      </c>
      <c r="I482" s="416">
        <f t="shared" ref="I482:I487" si="794">D482*E482*F482*G482</f>
        <v>160</v>
      </c>
      <c r="J482" s="487">
        <f t="shared" ref="J482:J487" si="795">D482*E482*F482*H482</f>
        <v>0</v>
      </c>
      <c r="K482" s="487">
        <f t="shared" ref="K482:K487" si="796">I482</f>
        <v>160</v>
      </c>
      <c r="L482" s="487"/>
      <c r="M482" s="487"/>
      <c r="N482" s="416">
        <v>0</v>
      </c>
      <c r="O482" s="417" t="s">
        <v>1532</v>
      </c>
      <c r="Q482" s="562" t="s">
        <v>90</v>
      </c>
      <c r="R482" s="410">
        <v>5</v>
      </c>
      <c r="S482" s="411">
        <v>8</v>
      </c>
      <c r="T482" s="412">
        <v>4</v>
      </c>
      <c r="U482" s="486">
        <v>1</v>
      </c>
      <c r="V482" s="486">
        <f t="shared" ref="V482:V487" si="797">100%-U482</f>
        <v>0</v>
      </c>
      <c r="W482" s="416">
        <f t="shared" ref="W482:W487" si="798">R482*S482*T482*U482</f>
        <v>160</v>
      </c>
      <c r="X482" s="487">
        <f t="shared" ref="X482:X487" si="799">R482*S482*T482*V482</f>
        <v>0</v>
      </c>
      <c r="Y482" s="487">
        <f t="shared" ref="Y482:Y487" si="800">W482</f>
        <v>160</v>
      </c>
      <c r="Z482" s="487"/>
      <c r="AA482" s="487"/>
      <c r="AB482" s="416">
        <v>0</v>
      </c>
      <c r="AC482" s="417" t="s">
        <v>1532</v>
      </c>
      <c r="AD482" s="227"/>
      <c r="AE482" s="241">
        <f t="shared" si="732"/>
        <v>1</v>
      </c>
      <c r="AF482" s="204" t="str">
        <f t="shared" si="735"/>
        <v xml:space="preserve">Transport des participants lors réunions d'apprentissage  coordination </v>
      </c>
      <c r="AG482" s="486">
        <f t="shared" ref="AG482:AG487" si="801">AI482/($AI482+$AK482)</f>
        <v>1</v>
      </c>
      <c r="AH482" s="486">
        <f t="shared" ref="AH482:AH487" si="802">AK482/($AI482+$AK482)</f>
        <v>0</v>
      </c>
      <c r="AI482" s="506">
        <v>8</v>
      </c>
      <c r="AJ482" s="506">
        <f t="shared" si="694"/>
        <v>0</v>
      </c>
      <c r="AK482" s="487">
        <f t="shared" si="783"/>
        <v>0</v>
      </c>
      <c r="AL482" s="487">
        <f t="shared" si="792"/>
        <v>8</v>
      </c>
      <c r="AM482" s="316">
        <f t="shared" si="721"/>
        <v>160</v>
      </c>
      <c r="AN482" s="316">
        <f t="shared" si="722"/>
        <v>0</v>
      </c>
      <c r="AO482" s="316">
        <f t="shared" si="723"/>
        <v>160</v>
      </c>
      <c r="AP482" s="316">
        <f t="shared" si="724"/>
        <v>0</v>
      </c>
      <c r="AQ482" s="186" t="s">
        <v>898</v>
      </c>
      <c r="AR482" s="169" t="s">
        <v>516</v>
      </c>
    </row>
    <row r="483" spans="1:47" s="186" customFormat="1" x14ac:dyDescent="0.3">
      <c r="A483" s="561">
        <v>2</v>
      </c>
      <c r="B483" s="562" t="s">
        <v>1533</v>
      </c>
      <c r="C483" s="562" t="s">
        <v>1534</v>
      </c>
      <c r="D483" s="410">
        <v>5</v>
      </c>
      <c r="E483" s="411">
        <v>2</v>
      </c>
      <c r="F483" s="412">
        <v>4</v>
      </c>
      <c r="G483" s="486">
        <v>1</v>
      </c>
      <c r="H483" s="486">
        <f t="shared" si="793"/>
        <v>0</v>
      </c>
      <c r="I483" s="416">
        <f t="shared" si="794"/>
        <v>40</v>
      </c>
      <c r="J483" s="487">
        <f t="shared" si="795"/>
        <v>0</v>
      </c>
      <c r="K483" s="487">
        <f t="shared" si="796"/>
        <v>40</v>
      </c>
      <c r="L483" s="487"/>
      <c r="M483" s="487"/>
      <c r="N483" s="416">
        <v>0</v>
      </c>
      <c r="O483" s="417"/>
      <c r="Q483" s="562" t="s">
        <v>1534</v>
      </c>
      <c r="R483" s="410">
        <v>5</v>
      </c>
      <c r="S483" s="411">
        <v>2</v>
      </c>
      <c r="T483" s="412">
        <v>4</v>
      </c>
      <c r="U483" s="486">
        <v>1</v>
      </c>
      <c r="V483" s="486">
        <f t="shared" si="797"/>
        <v>0</v>
      </c>
      <c r="W483" s="416">
        <f t="shared" si="798"/>
        <v>40</v>
      </c>
      <c r="X483" s="487">
        <f t="shared" si="799"/>
        <v>0</v>
      </c>
      <c r="Y483" s="487">
        <f t="shared" si="800"/>
        <v>40</v>
      </c>
      <c r="Z483" s="487"/>
      <c r="AA483" s="487"/>
      <c r="AB483" s="416">
        <v>0</v>
      </c>
      <c r="AC483" s="417"/>
      <c r="AD483" s="227"/>
      <c r="AE483" s="241">
        <f t="shared" si="732"/>
        <v>2</v>
      </c>
      <c r="AF483" s="204" t="str">
        <f t="shared" si="735"/>
        <v xml:space="preserve">Eau pour les participants lors réuions d'apprentissage  coordination </v>
      </c>
      <c r="AG483" s="486">
        <f t="shared" si="801"/>
        <v>1</v>
      </c>
      <c r="AH483" s="486">
        <f t="shared" si="802"/>
        <v>0</v>
      </c>
      <c r="AI483" s="506">
        <f>I483+W483</f>
        <v>80</v>
      </c>
      <c r="AJ483" s="506">
        <f t="shared" si="694"/>
        <v>0</v>
      </c>
      <c r="AK483" s="487">
        <f t="shared" si="783"/>
        <v>0</v>
      </c>
      <c r="AL483" s="487">
        <f t="shared" si="792"/>
        <v>80</v>
      </c>
      <c r="AM483" s="316">
        <f t="shared" si="721"/>
        <v>40</v>
      </c>
      <c r="AN483" s="316">
        <f t="shared" si="722"/>
        <v>0</v>
      </c>
      <c r="AO483" s="316">
        <f t="shared" si="723"/>
        <v>40</v>
      </c>
      <c r="AP483" s="316">
        <f t="shared" si="724"/>
        <v>0</v>
      </c>
      <c r="AQ483" s="186" t="s">
        <v>898</v>
      </c>
      <c r="AR483" s="169" t="s">
        <v>516</v>
      </c>
    </row>
    <row r="484" spans="1:47" s="186" customFormat="1" x14ac:dyDescent="0.3">
      <c r="A484" s="561">
        <v>3</v>
      </c>
      <c r="B484" s="562" t="s">
        <v>1535</v>
      </c>
      <c r="C484" s="562" t="s">
        <v>90</v>
      </c>
      <c r="D484" s="541">
        <v>5</v>
      </c>
      <c r="E484" s="411">
        <v>32</v>
      </c>
      <c r="F484" s="412">
        <v>4</v>
      </c>
      <c r="G484" s="486">
        <v>1</v>
      </c>
      <c r="H484" s="486">
        <f t="shared" si="793"/>
        <v>0</v>
      </c>
      <c r="I484" s="416">
        <f t="shared" si="794"/>
        <v>640</v>
      </c>
      <c r="J484" s="487">
        <f t="shared" si="795"/>
        <v>0</v>
      </c>
      <c r="K484" s="487">
        <f t="shared" si="796"/>
        <v>640</v>
      </c>
      <c r="L484" s="487"/>
      <c r="M484" s="487"/>
      <c r="N484" s="416">
        <v>0</v>
      </c>
      <c r="O484" s="417" t="s">
        <v>1536</v>
      </c>
      <c r="Q484" s="562" t="s">
        <v>90</v>
      </c>
      <c r="R484" s="541">
        <v>5</v>
      </c>
      <c r="S484" s="411">
        <v>32</v>
      </c>
      <c r="T484" s="412">
        <v>4</v>
      </c>
      <c r="U484" s="486">
        <v>1</v>
      </c>
      <c r="V484" s="486">
        <f t="shared" si="797"/>
        <v>0</v>
      </c>
      <c r="W484" s="416">
        <f t="shared" si="798"/>
        <v>640</v>
      </c>
      <c r="X484" s="487">
        <f t="shared" si="799"/>
        <v>0</v>
      </c>
      <c r="Y484" s="487">
        <f t="shared" si="800"/>
        <v>640</v>
      </c>
      <c r="Z484" s="487"/>
      <c r="AA484" s="487"/>
      <c r="AB484" s="416">
        <v>0</v>
      </c>
      <c r="AC484" s="417" t="s">
        <v>1536</v>
      </c>
      <c r="AD484" s="227"/>
      <c r="AE484" s="241">
        <f t="shared" si="732"/>
        <v>3</v>
      </c>
      <c r="AF484" s="204" t="str">
        <f t="shared" si="735"/>
        <v xml:space="preserve">Transport des participants sessions d'apprentissage  communautaire </v>
      </c>
      <c r="AG484" s="486">
        <f t="shared" si="801"/>
        <v>1</v>
      </c>
      <c r="AH484" s="486">
        <f t="shared" si="802"/>
        <v>0</v>
      </c>
      <c r="AI484" s="506">
        <f>I484+W484</f>
        <v>1280</v>
      </c>
      <c r="AJ484" s="506">
        <f t="shared" si="694"/>
        <v>0</v>
      </c>
      <c r="AK484" s="487">
        <f t="shared" si="783"/>
        <v>0</v>
      </c>
      <c r="AL484" s="487">
        <f t="shared" si="792"/>
        <v>1280</v>
      </c>
      <c r="AM484" s="316">
        <f t="shared" si="721"/>
        <v>640</v>
      </c>
      <c r="AN484" s="316">
        <f t="shared" si="722"/>
        <v>0</v>
      </c>
      <c r="AO484" s="316">
        <f t="shared" si="723"/>
        <v>640</v>
      </c>
      <c r="AP484" s="316">
        <f t="shared" si="724"/>
        <v>0</v>
      </c>
      <c r="AQ484" s="186" t="s">
        <v>898</v>
      </c>
      <c r="AR484" s="169" t="s">
        <v>516</v>
      </c>
    </row>
    <row r="485" spans="1:47" s="186" customFormat="1" ht="26" x14ac:dyDescent="0.3">
      <c r="A485" s="561">
        <v>4</v>
      </c>
      <c r="B485" s="562" t="s">
        <v>548</v>
      </c>
      <c r="C485" s="562" t="s">
        <v>549</v>
      </c>
      <c r="D485" s="410">
        <v>5</v>
      </c>
      <c r="E485" s="411">
        <v>32</v>
      </c>
      <c r="F485" s="412">
        <v>8</v>
      </c>
      <c r="G485" s="486">
        <v>1</v>
      </c>
      <c r="H485" s="486">
        <f t="shared" si="793"/>
        <v>0</v>
      </c>
      <c r="I485" s="416">
        <f t="shared" si="794"/>
        <v>1280</v>
      </c>
      <c r="J485" s="487">
        <f t="shared" si="795"/>
        <v>0</v>
      </c>
      <c r="K485" s="487">
        <f t="shared" si="796"/>
        <v>1280</v>
      </c>
      <c r="L485" s="487"/>
      <c r="M485" s="487"/>
      <c r="N485" s="416">
        <v>0</v>
      </c>
      <c r="O485" s="417" t="s">
        <v>550</v>
      </c>
      <c r="Q485" s="562" t="s">
        <v>549</v>
      </c>
      <c r="R485" s="410">
        <v>5</v>
      </c>
      <c r="S485" s="411">
        <v>32</v>
      </c>
      <c r="T485" s="412">
        <v>8</v>
      </c>
      <c r="U485" s="486">
        <v>1</v>
      </c>
      <c r="V485" s="486">
        <f t="shared" si="797"/>
        <v>0</v>
      </c>
      <c r="W485" s="416">
        <f t="shared" si="798"/>
        <v>1280</v>
      </c>
      <c r="X485" s="487">
        <f t="shared" si="799"/>
        <v>0</v>
      </c>
      <c r="Y485" s="487">
        <f t="shared" si="800"/>
        <v>1280</v>
      </c>
      <c r="Z485" s="487"/>
      <c r="AA485" s="487"/>
      <c r="AB485" s="416">
        <v>0</v>
      </c>
      <c r="AC485" s="417" t="s">
        <v>550</v>
      </c>
      <c r="AD485" s="227"/>
      <c r="AE485" s="241">
        <f t="shared" si="732"/>
        <v>4</v>
      </c>
      <c r="AF485" s="204" t="str">
        <f t="shared" si="735"/>
        <v xml:space="preserve">Monitoring communautaire </v>
      </c>
      <c r="AG485" s="486">
        <f t="shared" si="801"/>
        <v>1</v>
      </c>
      <c r="AH485" s="486">
        <f t="shared" si="802"/>
        <v>0</v>
      </c>
      <c r="AI485" s="506">
        <v>8</v>
      </c>
      <c r="AJ485" s="506">
        <f t="shared" si="694"/>
        <v>0</v>
      </c>
      <c r="AK485" s="487">
        <f t="shared" si="783"/>
        <v>0</v>
      </c>
      <c r="AL485" s="487">
        <f t="shared" si="792"/>
        <v>8</v>
      </c>
      <c r="AM485" s="316">
        <f t="shared" si="721"/>
        <v>1280</v>
      </c>
      <c r="AN485" s="316">
        <f t="shared" si="722"/>
        <v>0</v>
      </c>
      <c r="AO485" s="316">
        <f t="shared" si="723"/>
        <v>1280</v>
      </c>
      <c r="AP485" s="316">
        <f t="shared" si="724"/>
        <v>0</v>
      </c>
      <c r="AQ485" s="186" t="s">
        <v>898</v>
      </c>
      <c r="AR485" s="169" t="s">
        <v>516</v>
      </c>
    </row>
    <row r="486" spans="1:47" s="186" customFormat="1" x14ac:dyDescent="0.3">
      <c r="A486" s="561">
        <v>5</v>
      </c>
      <c r="B486" s="562" t="s">
        <v>551</v>
      </c>
      <c r="C486" s="562" t="s">
        <v>552</v>
      </c>
      <c r="D486" s="410">
        <v>55</v>
      </c>
      <c r="E486" s="411">
        <v>6</v>
      </c>
      <c r="F486" s="412">
        <v>3</v>
      </c>
      <c r="G486" s="486">
        <v>1</v>
      </c>
      <c r="H486" s="486">
        <f t="shared" si="793"/>
        <v>0</v>
      </c>
      <c r="I486" s="416">
        <f t="shared" si="794"/>
        <v>990</v>
      </c>
      <c r="J486" s="487">
        <f t="shared" si="795"/>
        <v>0</v>
      </c>
      <c r="K486" s="487">
        <f t="shared" si="796"/>
        <v>990</v>
      </c>
      <c r="L486" s="487"/>
      <c r="M486" s="487"/>
      <c r="N486" s="416">
        <v>0</v>
      </c>
      <c r="O486" s="417" t="s">
        <v>1537</v>
      </c>
      <c r="Q486" s="562" t="s">
        <v>552</v>
      </c>
      <c r="R486" s="410">
        <v>55</v>
      </c>
      <c r="S486" s="411">
        <v>6</v>
      </c>
      <c r="T486" s="412">
        <v>3</v>
      </c>
      <c r="U486" s="486">
        <v>1</v>
      </c>
      <c r="V486" s="486">
        <f t="shared" si="797"/>
        <v>0</v>
      </c>
      <c r="W486" s="416">
        <f t="shared" si="798"/>
        <v>990</v>
      </c>
      <c r="X486" s="487">
        <f t="shared" si="799"/>
        <v>0</v>
      </c>
      <c r="Y486" s="487">
        <f t="shared" si="800"/>
        <v>990</v>
      </c>
      <c r="Z486" s="487"/>
      <c r="AA486" s="487"/>
      <c r="AB486" s="416">
        <v>0</v>
      </c>
      <c r="AC486" s="417" t="s">
        <v>1537</v>
      </c>
      <c r="AD486" s="227"/>
      <c r="AE486" s="241">
        <f t="shared" si="732"/>
        <v>5</v>
      </c>
      <c r="AF486" s="204" t="str">
        <f t="shared" si="735"/>
        <v xml:space="preserve">Perdiem équipe pour les missions de suivi et évaluation </v>
      </c>
      <c r="AG486" s="486">
        <f t="shared" si="801"/>
        <v>1</v>
      </c>
      <c r="AH486" s="486">
        <f t="shared" si="802"/>
        <v>0</v>
      </c>
      <c r="AI486" s="506">
        <f>I486+W486</f>
        <v>1980</v>
      </c>
      <c r="AJ486" s="506">
        <f t="shared" si="694"/>
        <v>0</v>
      </c>
      <c r="AK486" s="487">
        <f t="shared" si="783"/>
        <v>0</v>
      </c>
      <c r="AL486" s="487">
        <f t="shared" si="792"/>
        <v>1980</v>
      </c>
      <c r="AM486" s="316">
        <f t="shared" si="721"/>
        <v>990</v>
      </c>
      <c r="AN486" s="316">
        <f t="shared" si="722"/>
        <v>0</v>
      </c>
      <c r="AO486" s="316">
        <f t="shared" si="723"/>
        <v>990</v>
      </c>
      <c r="AP486" s="316">
        <f t="shared" si="724"/>
        <v>0</v>
      </c>
      <c r="AQ486" s="186" t="s">
        <v>898</v>
      </c>
      <c r="AR486" s="169" t="s">
        <v>516</v>
      </c>
    </row>
    <row r="487" spans="1:47" s="186" customFormat="1" ht="39" x14ac:dyDescent="0.3">
      <c r="A487" s="561">
        <v>6</v>
      </c>
      <c r="B487" s="562" t="s">
        <v>553</v>
      </c>
      <c r="C487" s="562" t="s">
        <v>554</v>
      </c>
      <c r="D487" s="541">
        <v>55</v>
      </c>
      <c r="E487" s="411">
        <v>8</v>
      </c>
      <c r="F487" s="412">
        <v>1</v>
      </c>
      <c r="G487" s="486">
        <v>1</v>
      </c>
      <c r="H487" s="486">
        <f t="shared" si="793"/>
        <v>0</v>
      </c>
      <c r="I487" s="416">
        <f t="shared" si="794"/>
        <v>440</v>
      </c>
      <c r="J487" s="487">
        <f t="shared" si="795"/>
        <v>0</v>
      </c>
      <c r="K487" s="487">
        <f t="shared" si="796"/>
        <v>440</v>
      </c>
      <c r="L487" s="487"/>
      <c r="M487" s="487"/>
      <c r="N487" s="416">
        <v>0</v>
      </c>
      <c r="O487" s="417" t="s">
        <v>1538</v>
      </c>
      <c r="Q487" s="562" t="s">
        <v>554</v>
      </c>
      <c r="R487" s="541">
        <v>55</v>
      </c>
      <c r="S487" s="411">
        <v>8</v>
      </c>
      <c r="T487" s="412">
        <v>1</v>
      </c>
      <c r="U487" s="486">
        <v>1</v>
      </c>
      <c r="V487" s="486">
        <f t="shared" si="797"/>
        <v>0</v>
      </c>
      <c r="W487" s="416">
        <f t="shared" si="798"/>
        <v>440</v>
      </c>
      <c r="X487" s="487">
        <f t="shared" si="799"/>
        <v>0</v>
      </c>
      <c r="Y487" s="487">
        <f t="shared" si="800"/>
        <v>440</v>
      </c>
      <c r="Z487" s="487"/>
      <c r="AA487" s="487"/>
      <c r="AB487" s="416">
        <v>0</v>
      </c>
      <c r="AC487" s="417" t="s">
        <v>1538</v>
      </c>
      <c r="AD487" s="227"/>
      <c r="AE487" s="241">
        <f t="shared" si="732"/>
        <v>6</v>
      </c>
      <c r="AF487" s="204" t="str">
        <f t="shared" si="735"/>
        <v xml:space="preserve">Perdiem pour la collecte des données pour la production du Learning brief </v>
      </c>
      <c r="AG487" s="486">
        <f t="shared" si="801"/>
        <v>1</v>
      </c>
      <c r="AH487" s="486">
        <f t="shared" si="802"/>
        <v>0</v>
      </c>
      <c r="AI487" s="506">
        <f>I487+W487</f>
        <v>880</v>
      </c>
      <c r="AJ487" s="506">
        <f t="shared" si="694"/>
        <v>0</v>
      </c>
      <c r="AK487" s="487">
        <f t="shared" si="783"/>
        <v>0</v>
      </c>
      <c r="AL487" s="487">
        <f t="shared" si="792"/>
        <v>880</v>
      </c>
      <c r="AM487" s="316">
        <f t="shared" si="721"/>
        <v>440</v>
      </c>
      <c r="AN487" s="316">
        <f t="shared" si="722"/>
        <v>0</v>
      </c>
      <c r="AO487" s="316">
        <f t="shared" si="723"/>
        <v>440</v>
      </c>
      <c r="AP487" s="316">
        <f t="shared" si="724"/>
        <v>0</v>
      </c>
      <c r="AQ487" s="186" t="s">
        <v>898</v>
      </c>
      <c r="AR487" s="169" t="s">
        <v>516</v>
      </c>
    </row>
    <row r="488" spans="1:47" s="182" customFormat="1" ht="19.5" customHeight="1" x14ac:dyDescent="0.3">
      <c r="A488" s="480" t="s">
        <v>1539</v>
      </c>
      <c r="B488" s="861" t="s">
        <v>555</v>
      </c>
      <c r="C488" s="862"/>
      <c r="D488" s="862"/>
      <c r="E488" s="862"/>
      <c r="F488" s="862"/>
      <c r="G488" s="862"/>
      <c r="H488" s="863"/>
      <c r="I488" s="481">
        <f>SUM(I489:I490)</f>
        <v>15300</v>
      </c>
      <c r="J488" s="482">
        <f t="shared" ref="J488:N488" si="803">SUM(J489:J490)</f>
        <v>0</v>
      </c>
      <c r="K488" s="482">
        <f>SUM(K489:K490)</f>
        <v>15300</v>
      </c>
      <c r="L488" s="482">
        <f t="shared" si="803"/>
        <v>0</v>
      </c>
      <c r="M488" s="482">
        <f t="shared" si="803"/>
        <v>0</v>
      </c>
      <c r="N488" s="481">
        <f t="shared" si="803"/>
        <v>0</v>
      </c>
      <c r="O488" s="508"/>
      <c r="Q488" s="538"/>
      <c r="R488" s="538"/>
      <c r="S488" s="538"/>
      <c r="T488" s="538"/>
      <c r="U488" s="538"/>
      <c r="V488" s="484"/>
      <c r="W488" s="482">
        <f>SUM(W489:W490)</f>
        <v>15300</v>
      </c>
      <c r="X488" s="482">
        <f t="shared" ref="X488:AB488" si="804">SUM(X489:X490)</f>
        <v>0</v>
      </c>
      <c r="Y488" s="482">
        <f t="shared" si="804"/>
        <v>15300</v>
      </c>
      <c r="Z488" s="482">
        <f t="shared" si="804"/>
        <v>0</v>
      </c>
      <c r="AA488" s="482">
        <f t="shared" si="804"/>
        <v>0</v>
      </c>
      <c r="AB488" s="481">
        <f t="shared" si="804"/>
        <v>0</v>
      </c>
      <c r="AC488" s="508"/>
      <c r="AD488" s="234"/>
      <c r="AE488" s="247" t="str">
        <f t="shared" si="732"/>
        <v>4.8.13</v>
      </c>
      <c r="AF488" s="204" t="str">
        <f t="shared" si="735"/>
        <v>Staff direct pour la mise en place de l'approche Washindi</v>
      </c>
      <c r="AG488" s="485"/>
      <c r="AH488" s="485"/>
      <c r="AI488" s="482">
        <f>I488+W488</f>
        <v>30600</v>
      </c>
      <c r="AJ488" s="482">
        <f t="shared" si="694"/>
        <v>0</v>
      </c>
      <c r="AK488" s="482">
        <f t="shared" si="783"/>
        <v>0</v>
      </c>
      <c r="AL488" s="482">
        <f t="shared" si="789"/>
        <v>30600</v>
      </c>
      <c r="AM488" s="314">
        <f t="shared" si="721"/>
        <v>15300</v>
      </c>
      <c r="AN488" s="314">
        <f t="shared" si="722"/>
        <v>0</v>
      </c>
      <c r="AO488" s="314">
        <f t="shared" si="723"/>
        <v>15300</v>
      </c>
      <c r="AP488" s="314">
        <f t="shared" si="724"/>
        <v>0</v>
      </c>
      <c r="AR488" s="169" t="s">
        <v>516</v>
      </c>
    </row>
    <row r="489" spans="1:47" s="186" customFormat="1" x14ac:dyDescent="0.3">
      <c r="A489" s="561">
        <v>1</v>
      </c>
      <c r="B489" s="562" t="s">
        <v>1540</v>
      </c>
      <c r="C489" s="562" t="s">
        <v>556</v>
      </c>
      <c r="D489" s="410">
        <v>800</v>
      </c>
      <c r="E489" s="411">
        <v>1</v>
      </c>
      <c r="F489" s="412">
        <v>9</v>
      </c>
      <c r="G489" s="486">
        <v>1</v>
      </c>
      <c r="H489" s="486">
        <f t="shared" si="644"/>
        <v>0</v>
      </c>
      <c r="I489" s="416">
        <f t="shared" ref="I489:I490" si="805">D489*E489*F489*G489</f>
        <v>7200</v>
      </c>
      <c r="J489" s="487">
        <f t="shared" ref="J489:J490" si="806">D489*E489*F489*H489</f>
        <v>0</v>
      </c>
      <c r="K489" s="487">
        <f t="shared" ref="K489:K490" si="807">I489</f>
        <v>7200</v>
      </c>
      <c r="L489" s="487"/>
      <c r="M489" s="487"/>
      <c r="N489" s="416">
        <v>0</v>
      </c>
      <c r="O489" s="417" t="s">
        <v>1541</v>
      </c>
      <c r="Q489" s="562" t="s">
        <v>556</v>
      </c>
      <c r="R489" s="410">
        <v>800</v>
      </c>
      <c r="S489" s="411">
        <v>1</v>
      </c>
      <c r="T489" s="412">
        <v>9</v>
      </c>
      <c r="U489" s="486">
        <v>1</v>
      </c>
      <c r="V489" s="486">
        <f t="shared" ref="V489:V490" si="808">100%-U489</f>
        <v>0</v>
      </c>
      <c r="W489" s="416">
        <f t="shared" ref="W489:W490" si="809">R489*S489*T489*U489</f>
        <v>7200</v>
      </c>
      <c r="X489" s="487">
        <f t="shared" ref="X489:X490" si="810">R489*S489*T489*V489</f>
        <v>0</v>
      </c>
      <c r="Y489" s="487">
        <f t="shared" ref="Y489:Y490" si="811">W489</f>
        <v>7200</v>
      </c>
      <c r="Z489" s="487"/>
      <c r="AA489" s="487"/>
      <c r="AB489" s="416">
        <v>0</v>
      </c>
      <c r="AC489" s="417" t="s">
        <v>1541</v>
      </c>
      <c r="AD489" s="227"/>
      <c r="AE489" s="241">
        <f t="shared" si="732"/>
        <v>1</v>
      </c>
      <c r="AF489" s="204" t="str">
        <f t="shared" si="735"/>
        <v>Chargé de projet (100%)</v>
      </c>
      <c r="AG489" s="486">
        <f t="shared" ref="AG489:AG490" si="812">AI489/($AI489+$AK489)</f>
        <v>1</v>
      </c>
      <c r="AH489" s="486">
        <f t="shared" ref="AH489:AH490" si="813">AK489/($AI489+$AK489)</f>
        <v>0</v>
      </c>
      <c r="AI489" s="506">
        <v>8</v>
      </c>
      <c r="AJ489" s="506">
        <f t="shared" si="694"/>
        <v>0</v>
      </c>
      <c r="AK489" s="487">
        <f t="shared" si="783"/>
        <v>0</v>
      </c>
      <c r="AL489" s="487">
        <f t="shared" si="789"/>
        <v>8</v>
      </c>
      <c r="AM489" s="316">
        <f t="shared" si="721"/>
        <v>7200</v>
      </c>
      <c r="AN489" s="316">
        <f t="shared" si="722"/>
        <v>0</v>
      </c>
      <c r="AO489" s="316">
        <f t="shared" si="723"/>
        <v>7200</v>
      </c>
      <c r="AP489" s="316">
        <f t="shared" si="724"/>
        <v>0</v>
      </c>
      <c r="AQ489" s="186" t="s">
        <v>898</v>
      </c>
      <c r="AR489" s="169" t="s">
        <v>516</v>
      </c>
    </row>
    <row r="490" spans="1:47" s="186" customFormat="1" ht="26" x14ac:dyDescent="0.3">
      <c r="A490" s="561">
        <v>2</v>
      </c>
      <c r="B490" s="562" t="s">
        <v>557</v>
      </c>
      <c r="C490" s="562" t="s">
        <v>556</v>
      </c>
      <c r="D490" s="410">
        <v>450</v>
      </c>
      <c r="E490" s="411">
        <v>2</v>
      </c>
      <c r="F490" s="412">
        <v>9</v>
      </c>
      <c r="G490" s="486">
        <v>1</v>
      </c>
      <c r="H490" s="486">
        <f t="shared" si="644"/>
        <v>0</v>
      </c>
      <c r="I490" s="416">
        <f t="shared" si="805"/>
        <v>8100</v>
      </c>
      <c r="J490" s="487">
        <f t="shared" si="806"/>
        <v>0</v>
      </c>
      <c r="K490" s="487">
        <f t="shared" si="807"/>
        <v>8100</v>
      </c>
      <c r="L490" s="487"/>
      <c r="M490" s="487"/>
      <c r="N490" s="416">
        <v>0</v>
      </c>
      <c r="O490" s="417" t="s">
        <v>1542</v>
      </c>
      <c r="Q490" s="562" t="s">
        <v>556</v>
      </c>
      <c r="R490" s="410">
        <v>450</v>
      </c>
      <c r="S490" s="411">
        <v>2</v>
      </c>
      <c r="T490" s="412">
        <v>9</v>
      </c>
      <c r="U490" s="486">
        <v>1</v>
      </c>
      <c r="V490" s="486">
        <f t="shared" si="808"/>
        <v>0</v>
      </c>
      <c r="W490" s="416">
        <f t="shared" si="809"/>
        <v>8100</v>
      </c>
      <c r="X490" s="487">
        <f t="shared" si="810"/>
        <v>0</v>
      </c>
      <c r="Y490" s="487">
        <f t="shared" si="811"/>
        <v>8100</v>
      </c>
      <c r="Z490" s="487"/>
      <c r="AA490" s="487"/>
      <c r="AB490" s="416">
        <v>0</v>
      </c>
      <c r="AC490" s="417" t="s">
        <v>1542</v>
      </c>
      <c r="AD490" s="227"/>
      <c r="AE490" s="241">
        <f t="shared" si="732"/>
        <v>2</v>
      </c>
      <c r="AF490" s="204" t="str">
        <f t="shared" si="735"/>
        <v>Superviseurs terrain (100%)</v>
      </c>
      <c r="AG490" s="486">
        <f t="shared" si="812"/>
        <v>1</v>
      </c>
      <c r="AH490" s="486">
        <f t="shared" si="813"/>
        <v>0</v>
      </c>
      <c r="AI490" s="506">
        <f t="shared" ref="AI490:AI530" si="814">I490+W490</f>
        <v>16200</v>
      </c>
      <c r="AJ490" s="506">
        <f t="shared" si="694"/>
        <v>0</v>
      </c>
      <c r="AK490" s="487">
        <f t="shared" si="783"/>
        <v>0</v>
      </c>
      <c r="AL490" s="487">
        <f t="shared" si="789"/>
        <v>16200</v>
      </c>
      <c r="AM490" s="316">
        <f t="shared" si="721"/>
        <v>8100</v>
      </c>
      <c r="AN490" s="316">
        <f t="shared" si="722"/>
        <v>0</v>
      </c>
      <c r="AO490" s="316">
        <f t="shared" si="723"/>
        <v>8100</v>
      </c>
      <c r="AP490" s="316">
        <f t="shared" si="724"/>
        <v>0</v>
      </c>
      <c r="AQ490" s="186" t="s">
        <v>898</v>
      </c>
      <c r="AR490" s="169" t="s">
        <v>516</v>
      </c>
    </row>
    <row r="491" spans="1:47" s="181" customFormat="1" ht="24.75" customHeight="1" x14ac:dyDescent="0.3">
      <c r="A491" s="533" t="s">
        <v>287</v>
      </c>
      <c r="B491" s="474" t="s">
        <v>561</v>
      </c>
      <c r="C491" s="473"/>
      <c r="D491" s="475"/>
      <c r="E491" s="476"/>
      <c r="F491" s="476"/>
      <c r="G491" s="477"/>
      <c r="H491" s="477"/>
      <c r="I491" s="478">
        <f t="shared" ref="I491:N491" si="815">I492+I499+I507+I515+I522+I530+I539+I554+I562</f>
        <v>203360.9</v>
      </c>
      <c r="J491" s="534">
        <f t="shared" si="815"/>
        <v>330.1</v>
      </c>
      <c r="K491" s="534">
        <f t="shared" si="815"/>
        <v>186035.9</v>
      </c>
      <c r="L491" s="534">
        <f t="shared" si="815"/>
        <v>10548</v>
      </c>
      <c r="M491" s="534">
        <f t="shared" si="815"/>
        <v>6777</v>
      </c>
      <c r="N491" s="478">
        <f t="shared" si="815"/>
        <v>0</v>
      </c>
      <c r="O491" s="479"/>
      <c r="Q491" s="473"/>
      <c r="R491" s="475"/>
      <c r="S491" s="476"/>
      <c r="T491" s="476"/>
      <c r="U491" s="477"/>
      <c r="V491" s="477"/>
      <c r="W491" s="534">
        <f t="shared" ref="W491:Y491" si="816">W492+W499+W507+W515+W522+W530+W539+W554+W562</f>
        <v>415300.4</v>
      </c>
      <c r="X491" s="534">
        <f t="shared" si="816"/>
        <v>330.1</v>
      </c>
      <c r="Y491" s="534">
        <f t="shared" si="816"/>
        <v>395988.95</v>
      </c>
      <c r="Z491" s="534">
        <f t="shared" ref="Z491:AB491" si="817">Z492+Z499+Z507+Z515+Z522+Z530+Z539+Z554+Z562</f>
        <v>11532.45</v>
      </c>
      <c r="AA491" s="534">
        <f t="shared" si="817"/>
        <v>7779</v>
      </c>
      <c r="AB491" s="478">
        <f t="shared" si="817"/>
        <v>0</v>
      </c>
      <c r="AC491" s="479"/>
      <c r="AD491" s="232"/>
      <c r="AE491" s="338" t="s">
        <v>287</v>
      </c>
      <c r="AF491" s="245" t="str">
        <f t="shared" si="735"/>
        <v>INSTITUTIONS DE GOUVERNANCE</v>
      </c>
      <c r="AG491" s="477">
        <f t="shared" ref="AG491:AG530" si="818">AI491/($AI491+$AK491)</f>
        <v>0.99893399470226696</v>
      </c>
      <c r="AH491" s="477">
        <f t="shared" ref="AH491:AH530" si="819">AK491/($AI491+$AK491)</f>
        <v>1.0660052977330837E-3</v>
      </c>
      <c r="AI491" s="534">
        <f t="shared" si="814"/>
        <v>618661.30000000005</v>
      </c>
      <c r="AJ491" s="534">
        <f t="shared" si="694"/>
        <v>0</v>
      </c>
      <c r="AK491" s="534">
        <f t="shared" si="783"/>
        <v>660.2</v>
      </c>
      <c r="AL491" s="534">
        <f t="shared" si="560"/>
        <v>619321.5</v>
      </c>
      <c r="AM491" s="321">
        <f t="shared" si="721"/>
        <v>203360.9</v>
      </c>
      <c r="AN491" s="321">
        <f t="shared" si="722"/>
        <v>0</v>
      </c>
      <c r="AO491" s="321">
        <f t="shared" si="723"/>
        <v>415300.4</v>
      </c>
      <c r="AP491" s="321">
        <f t="shared" si="724"/>
        <v>0</v>
      </c>
      <c r="AQ491" s="339"/>
    </row>
    <row r="492" spans="1:47" s="173" customFormat="1" ht="30" customHeight="1" x14ac:dyDescent="0.3">
      <c r="A492" s="480" t="s">
        <v>1543</v>
      </c>
      <c r="B492" s="861" t="s">
        <v>1544</v>
      </c>
      <c r="C492" s="862"/>
      <c r="D492" s="862"/>
      <c r="E492" s="862"/>
      <c r="F492" s="862"/>
      <c r="G492" s="862"/>
      <c r="H492" s="863"/>
      <c r="I492" s="481">
        <f>SUM(I493:I498)</f>
        <v>5690.5</v>
      </c>
      <c r="J492" s="482"/>
      <c r="K492" s="482">
        <f>SUM(K493:K498)</f>
        <v>5690.5</v>
      </c>
      <c r="L492" s="482">
        <f t="shared" ref="L492:M492" si="820">SUM(L493:L498)</f>
        <v>0</v>
      </c>
      <c r="M492" s="482">
        <f t="shared" si="820"/>
        <v>0</v>
      </c>
      <c r="N492" s="481">
        <f>SUM(N493:N498)</f>
        <v>0</v>
      </c>
      <c r="O492" s="508"/>
      <c r="P492" s="168"/>
      <c r="Q492" s="538"/>
      <c r="R492" s="539"/>
      <c r="S492" s="538"/>
      <c r="T492" s="539"/>
      <c r="U492" s="539"/>
      <c r="V492" s="484"/>
      <c r="W492" s="482">
        <f>SUM(W493:W498)</f>
        <v>9575</v>
      </c>
      <c r="X492" s="482"/>
      <c r="Y492" s="482">
        <f>SUM(Y493:Y498)</f>
        <v>9575</v>
      </c>
      <c r="Z492" s="482">
        <f t="shared" ref="Z492:AA492" si="821">SUM(Z493:Z498)</f>
        <v>0</v>
      </c>
      <c r="AA492" s="482">
        <f t="shared" si="821"/>
        <v>0</v>
      </c>
      <c r="AB492" s="481">
        <f>SUM(AB493:AB498)</f>
        <v>0</v>
      </c>
      <c r="AC492" s="508"/>
      <c r="AD492" s="234"/>
      <c r="AE492" s="247" t="s">
        <v>1543</v>
      </c>
      <c r="AF492" s="204" t="str">
        <f t="shared" si="735"/>
        <v>Renforcer la participation et l’engagement des Autorités Politico-Administratives-APA (Chef des villages/chef adjoints) et influenceurs/leaders des groupes spécifiques dans la mise en œuvre de la dynamique communautaire (CAC, CODEV ET CEC) dans les villages ciblés dans les Zones de santé de NYIRAGONGO et RWANGUBA</v>
      </c>
      <c r="AG492" s="485">
        <f t="shared" si="818"/>
        <v>1</v>
      </c>
      <c r="AH492" s="485">
        <f t="shared" si="819"/>
        <v>0</v>
      </c>
      <c r="AI492" s="482">
        <f t="shared" si="814"/>
        <v>15265.5</v>
      </c>
      <c r="AJ492" s="482">
        <f t="shared" si="694"/>
        <v>0</v>
      </c>
      <c r="AK492" s="482">
        <f t="shared" si="783"/>
        <v>0</v>
      </c>
      <c r="AL492" s="482">
        <f t="shared" si="560"/>
        <v>15265.5</v>
      </c>
      <c r="AM492" s="314">
        <f t="shared" si="721"/>
        <v>5690.5</v>
      </c>
      <c r="AN492" s="314">
        <f t="shared" si="722"/>
        <v>0</v>
      </c>
      <c r="AO492" s="314">
        <f t="shared" si="723"/>
        <v>9575</v>
      </c>
      <c r="AP492" s="314">
        <f t="shared" si="724"/>
        <v>0</v>
      </c>
      <c r="AQ492" s="169"/>
      <c r="AT492" s="168"/>
      <c r="AU492" s="168"/>
    </row>
    <row r="493" spans="1:47" s="172" customFormat="1" x14ac:dyDescent="0.3">
      <c r="A493" s="509">
        <v>1</v>
      </c>
      <c r="B493" s="510" t="s">
        <v>1545</v>
      </c>
      <c r="C493" s="409" t="s">
        <v>90</v>
      </c>
      <c r="D493" s="536">
        <v>2</v>
      </c>
      <c r="E493" s="411">
        <v>177</v>
      </c>
      <c r="F493" s="512">
        <v>2</v>
      </c>
      <c r="G493" s="413">
        <v>1</v>
      </c>
      <c r="H493" s="413">
        <v>0</v>
      </c>
      <c r="I493" s="414">
        <f t="shared" ref="I493:I498" si="822">D493*E493*F493*G493</f>
        <v>708</v>
      </c>
      <c r="J493" s="415">
        <f t="shared" ref="J493:J498" si="823">D493*E493*F493*H493</f>
        <v>0</v>
      </c>
      <c r="K493" s="415">
        <f t="shared" ref="K493:K498" si="824">I493</f>
        <v>708</v>
      </c>
      <c r="L493" s="415"/>
      <c r="M493" s="415"/>
      <c r="N493" s="416">
        <v>0</v>
      </c>
      <c r="O493" s="507" t="s">
        <v>1546</v>
      </c>
      <c r="Q493" s="409" t="s">
        <v>90</v>
      </c>
      <c r="R493" s="516">
        <v>2</v>
      </c>
      <c r="S493" s="411">
        <v>300</v>
      </c>
      <c r="T493" s="514">
        <v>2</v>
      </c>
      <c r="U493" s="413">
        <v>1</v>
      </c>
      <c r="V493" s="413">
        <v>0</v>
      </c>
      <c r="W493" s="419">
        <f t="shared" ref="W493:W498" si="825">R493*S493*T493*U493</f>
        <v>1200</v>
      </c>
      <c r="X493" s="415">
        <f t="shared" ref="X493:X498" si="826">R493*S493*T493*V493</f>
        <v>0</v>
      </c>
      <c r="Y493" s="415">
        <f t="shared" ref="Y493:Y498" si="827">W493</f>
        <v>1200</v>
      </c>
      <c r="Z493" s="415"/>
      <c r="AA493" s="415"/>
      <c r="AB493" s="416">
        <v>0</v>
      </c>
      <c r="AC493" s="417" t="s">
        <v>1547</v>
      </c>
      <c r="AD493" s="227"/>
      <c r="AE493" s="241">
        <v>1</v>
      </c>
      <c r="AF493" s="204" t="str">
        <f t="shared" si="735"/>
        <v>Pause café à Nyiragongoet à Rwanguba</v>
      </c>
      <c r="AG493" s="413">
        <f t="shared" si="818"/>
        <v>1</v>
      </c>
      <c r="AH493" s="413">
        <f t="shared" si="819"/>
        <v>0</v>
      </c>
      <c r="AI493" s="419">
        <f t="shared" si="814"/>
        <v>1908</v>
      </c>
      <c r="AJ493" s="419">
        <f t="shared" si="694"/>
        <v>0</v>
      </c>
      <c r="AK493" s="415">
        <f t="shared" si="783"/>
        <v>0</v>
      </c>
      <c r="AL493" s="415">
        <f t="shared" si="560"/>
        <v>1908</v>
      </c>
      <c r="AM493" s="323">
        <f t="shared" si="721"/>
        <v>708</v>
      </c>
      <c r="AN493" s="323">
        <f t="shared" si="722"/>
        <v>0</v>
      </c>
      <c r="AO493" s="323">
        <f t="shared" si="723"/>
        <v>1200</v>
      </c>
      <c r="AP493" s="323">
        <f t="shared" si="724"/>
        <v>0</v>
      </c>
      <c r="AQ493" s="169" t="s">
        <v>1153</v>
      </c>
      <c r="AT493" s="169"/>
      <c r="AU493" s="169"/>
    </row>
    <row r="494" spans="1:47" s="172" customFormat="1" x14ac:dyDescent="0.3">
      <c r="A494" s="509">
        <v>2</v>
      </c>
      <c r="B494" s="510" t="s">
        <v>1170</v>
      </c>
      <c r="C494" s="409" t="s">
        <v>90</v>
      </c>
      <c r="D494" s="536">
        <v>5</v>
      </c>
      <c r="E494" s="411">
        <v>177</v>
      </c>
      <c r="F494" s="512">
        <v>2</v>
      </c>
      <c r="G494" s="413">
        <v>1</v>
      </c>
      <c r="H494" s="413">
        <v>0</v>
      </c>
      <c r="I494" s="414">
        <f t="shared" si="822"/>
        <v>1770</v>
      </c>
      <c r="J494" s="415">
        <f t="shared" si="823"/>
        <v>0</v>
      </c>
      <c r="K494" s="415">
        <f t="shared" si="824"/>
        <v>1770</v>
      </c>
      <c r="L494" s="415"/>
      <c r="M494" s="415"/>
      <c r="N494" s="416">
        <v>0</v>
      </c>
      <c r="O494" s="507" t="s">
        <v>1548</v>
      </c>
      <c r="Q494" s="409" t="s">
        <v>90</v>
      </c>
      <c r="R494" s="516">
        <v>5</v>
      </c>
      <c r="S494" s="411">
        <v>300</v>
      </c>
      <c r="T494" s="514">
        <v>2</v>
      </c>
      <c r="U494" s="413">
        <v>1</v>
      </c>
      <c r="V494" s="413">
        <v>0</v>
      </c>
      <c r="W494" s="419">
        <f t="shared" si="825"/>
        <v>3000</v>
      </c>
      <c r="X494" s="415">
        <f t="shared" si="826"/>
        <v>0</v>
      </c>
      <c r="Y494" s="415">
        <f t="shared" si="827"/>
        <v>3000</v>
      </c>
      <c r="Z494" s="415"/>
      <c r="AA494" s="415"/>
      <c r="AB494" s="416">
        <v>0</v>
      </c>
      <c r="AC494" s="417" t="s">
        <v>1549</v>
      </c>
      <c r="AD494" s="227"/>
      <c r="AE494" s="241">
        <v>2</v>
      </c>
      <c r="AF494" s="204" t="str">
        <f t="shared" si="735"/>
        <v>Pause repas à Nyiragongo et à Rwanguba</v>
      </c>
      <c r="AG494" s="413">
        <f t="shared" si="818"/>
        <v>1</v>
      </c>
      <c r="AH494" s="413">
        <f t="shared" si="819"/>
        <v>0</v>
      </c>
      <c r="AI494" s="419">
        <f t="shared" si="814"/>
        <v>4770</v>
      </c>
      <c r="AJ494" s="419">
        <f t="shared" si="694"/>
        <v>0</v>
      </c>
      <c r="AK494" s="415">
        <f t="shared" si="783"/>
        <v>0</v>
      </c>
      <c r="AL494" s="415">
        <f t="shared" si="560"/>
        <v>4770</v>
      </c>
      <c r="AM494" s="323">
        <f t="shared" si="721"/>
        <v>1770</v>
      </c>
      <c r="AN494" s="323">
        <f t="shared" si="722"/>
        <v>0</v>
      </c>
      <c r="AO494" s="323">
        <f t="shared" si="723"/>
        <v>3000</v>
      </c>
      <c r="AP494" s="323">
        <f t="shared" si="724"/>
        <v>0</v>
      </c>
      <c r="AQ494" s="169" t="s">
        <v>1153</v>
      </c>
      <c r="AT494" s="169"/>
      <c r="AU494" s="169"/>
    </row>
    <row r="495" spans="1:47" s="172" customFormat="1" x14ac:dyDescent="0.3">
      <c r="A495" s="509">
        <v>3</v>
      </c>
      <c r="B495" s="510" t="s">
        <v>450</v>
      </c>
      <c r="C495" s="409" t="s">
        <v>422</v>
      </c>
      <c r="D495" s="536">
        <v>50</v>
      </c>
      <c r="E495" s="411">
        <v>8</v>
      </c>
      <c r="F495" s="512">
        <v>2</v>
      </c>
      <c r="G495" s="413">
        <v>1</v>
      </c>
      <c r="H495" s="413">
        <v>0</v>
      </c>
      <c r="I495" s="414">
        <f t="shared" si="822"/>
        <v>800</v>
      </c>
      <c r="J495" s="415">
        <f t="shared" si="823"/>
        <v>0</v>
      </c>
      <c r="K495" s="415">
        <f t="shared" si="824"/>
        <v>800</v>
      </c>
      <c r="L495" s="415"/>
      <c r="M495" s="415"/>
      <c r="N495" s="416">
        <v>0</v>
      </c>
      <c r="O495" s="507" t="s">
        <v>1550</v>
      </c>
      <c r="Q495" s="409" t="s">
        <v>422</v>
      </c>
      <c r="R495" s="516">
        <v>50</v>
      </c>
      <c r="S495" s="411">
        <v>13</v>
      </c>
      <c r="T495" s="514">
        <v>2</v>
      </c>
      <c r="U495" s="413">
        <v>1</v>
      </c>
      <c r="V495" s="413">
        <v>0</v>
      </c>
      <c r="W495" s="419">
        <f t="shared" si="825"/>
        <v>1300</v>
      </c>
      <c r="X495" s="415">
        <f t="shared" si="826"/>
        <v>0</v>
      </c>
      <c r="Y495" s="415">
        <f t="shared" si="827"/>
        <v>1300</v>
      </c>
      <c r="Z495" s="415"/>
      <c r="AA495" s="415"/>
      <c r="AB495" s="416">
        <v>0</v>
      </c>
      <c r="AC495" s="417" t="s">
        <v>1551</v>
      </c>
      <c r="AD495" s="227"/>
      <c r="AE495" s="241">
        <v>3</v>
      </c>
      <c r="AF495" s="204" t="str">
        <f t="shared" si="735"/>
        <v xml:space="preserve">Location salle </v>
      </c>
      <c r="AG495" s="413">
        <f t="shared" si="818"/>
        <v>1</v>
      </c>
      <c r="AH495" s="413">
        <f t="shared" si="819"/>
        <v>0</v>
      </c>
      <c r="AI495" s="419">
        <f t="shared" si="814"/>
        <v>2100</v>
      </c>
      <c r="AJ495" s="419">
        <f t="shared" si="694"/>
        <v>0</v>
      </c>
      <c r="AK495" s="415">
        <f t="shared" si="783"/>
        <v>0</v>
      </c>
      <c r="AL495" s="415">
        <f t="shared" si="560"/>
        <v>2100</v>
      </c>
      <c r="AM495" s="323">
        <f t="shared" si="721"/>
        <v>800</v>
      </c>
      <c r="AN495" s="323">
        <f t="shared" si="722"/>
        <v>0</v>
      </c>
      <c r="AO495" s="323">
        <f t="shared" si="723"/>
        <v>1300</v>
      </c>
      <c r="AP495" s="323">
        <f t="shared" si="724"/>
        <v>0</v>
      </c>
      <c r="AQ495" s="169" t="s">
        <v>1153</v>
      </c>
      <c r="AT495" s="169"/>
      <c r="AU495" s="169"/>
    </row>
    <row r="496" spans="1:47" s="172" customFormat="1" x14ac:dyDescent="0.3">
      <c r="A496" s="509">
        <v>4</v>
      </c>
      <c r="B496" s="510" t="s">
        <v>1552</v>
      </c>
      <c r="C496" s="409" t="s">
        <v>90</v>
      </c>
      <c r="D496" s="536">
        <v>5</v>
      </c>
      <c r="E496" s="411">
        <v>161</v>
      </c>
      <c r="F496" s="512">
        <v>2</v>
      </c>
      <c r="G496" s="413">
        <v>1</v>
      </c>
      <c r="H496" s="413">
        <v>0</v>
      </c>
      <c r="I496" s="414">
        <f t="shared" si="822"/>
        <v>1610</v>
      </c>
      <c r="J496" s="415">
        <f t="shared" si="823"/>
        <v>0</v>
      </c>
      <c r="K496" s="415">
        <f t="shared" si="824"/>
        <v>1610</v>
      </c>
      <c r="L496" s="415"/>
      <c r="M496" s="415"/>
      <c r="N496" s="416">
        <v>0</v>
      </c>
      <c r="O496" s="507" t="s">
        <v>1553</v>
      </c>
      <c r="Q496" s="409" t="s">
        <v>90</v>
      </c>
      <c r="R496" s="516">
        <v>5</v>
      </c>
      <c r="S496" s="411">
        <v>274</v>
      </c>
      <c r="T496" s="514">
        <v>2</v>
      </c>
      <c r="U496" s="413">
        <v>1</v>
      </c>
      <c r="V496" s="413">
        <v>0</v>
      </c>
      <c r="W496" s="419">
        <f t="shared" si="825"/>
        <v>2740</v>
      </c>
      <c r="X496" s="415">
        <f t="shared" si="826"/>
        <v>0</v>
      </c>
      <c r="Y496" s="415">
        <f t="shared" si="827"/>
        <v>2740</v>
      </c>
      <c r="Z496" s="415"/>
      <c r="AA496" s="415"/>
      <c r="AB496" s="416">
        <v>0</v>
      </c>
      <c r="AC496" s="417" t="s">
        <v>1554</v>
      </c>
      <c r="AD496" s="227"/>
      <c r="AE496" s="241">
        <v>4</v>
      </c>
      <c r="AF496" s="204" t="str">
        <f t="shared" si="735"/>
        <v>Frais de transport des participants à Nyiragongo et Rwanguba</v>
      </c>
      <c r="AG496" s="413">
        <f t="shared" si="818"/>
        <v>1</v>
      </c>
      <c r="AH496" s="413">
        <f t="shared" si="819"/>
        <v>0</v>
      </c>
      <c r="AI496" s="419">
        <f t="shared" si="814"/>
        <v>4350</v>
      </c>
      <c r="AJ496" s="419">
        <f t="shared" si="694"/>
        <v>0</v>
      </c>
      <c r="AK496" s="415">
        <f t="shared" si="783"/>
        <v>0</v>
      </c>
      <c r="AL496" s="415">
        <f t="shared" si="560"/>
        <v>4350</v>
      </c>
      <c r="AM496" s="323">
        <f t="shared" si="721"/>
        <v>1610</v>
      </c>
      <c r="AN496" s="323">
        <f t="shared" si="722"/>
        <v>0</v>
      </c>
      <c r="AO496" s="323">
        <f t="shared" si="723"/>
        <v>2740</v>
      </c>
      <c r="AP496" s="323">
        <f t="shared" si="724"/>
        <v>0</v>
      </c>
      <c r="AQ496" s="169" t="s">
        <v>1153</v>
      </c>
      <c r="AT496" s="169"/>
      <c r="AU496" s="169"/>
    </row>
    <row r="497" spans="1:47" s="172" customFormat="1" x14ac:dyDescent="0.3">
      <c r="A497" s="509">
        <v>5</v>
      </c>
      <c r="B497" s="510" t="s">
        <v>533</v>
      </c>
      <c r="C497" s="409" t="s">
        <v>90</v>
      </c>
      <c r="D497" s="537">
        <v>12.5</v>
      </c>
      <c r="E497" s="411">
        <v>16</v>
      </c>
      <c r="F497" s="512">
        <v>2</v>
      </c>
      <c r="G497" s="413">
        <v>1</v>
      </c>
      <c r="H497" s="413">
        <v>0</v>
      </c>
      <c r="I497" s="414">
        <f t="shared" si="822"/>
        <v>400</v>
      </c>
      <c r="J497" s="415">
        <f t="shared" si="823"/>
        <v>0</v>
      </c>
      <c r="K497" s="415">
        <f t="shared" si="824"/>
        <v>400</v>
      </c>
      <c r="L497" s="415"/>
      <c r="M497" s="415"/>
      <c r="N497" s="416">
        <v>0</v>
      </c>
      <c r="O497" s="507" t="s">
        <v>1555</v>
      </c>
      <c r="Q497" s="409" t="s">
        <v>90</v>
      </c>
      <c r="R497" s="516">
        <v>12.5</v>
      </c>
      <c r="S497" s="411">
        <v>26</v>
      </c>
      <c r="T497" s="514">
        <v>2</v>
      </c>
      <c r="U497" s="413">
        <v>1</v>
      </c>
      <c r="V497" s="413">
        <v>0</v>
      </c>
      <c r="W497" s="419">
        <f t="shared" si="825"/>
        <v>650</v>
      </c>
      <c r="X497" s="415">
        <f t="shared" si="826"/>
        <v>0</v>
      </c>
      <c r="Y497" s="415">
        <f t="shared" si="827"/>
        <v>650</v>
      </c>
      <c r="Z497" s="415"/>
      <c r="AA497" s="415"/>
      <c r="AB497" s="416">
        <v>0</v>
      </c>
      <c r="AC497" s="417" t="s">
        <v>1556</v>
      </c>
      <c r="AD497" s="227"/>
      <c r="AE497" s="241">
        <v>5</v>
      </c>
      <c r="AF497" s="204" t="str">
        <f t="shared" si="735"/>
        <v>Frais de facilitation</v>
      </c>
      <c r="AG497" s="413">
        <f t="shared" si="818"/>
        <v>1</v>
      </c>
      <c r="AH497" s="413">
        <f t="shared" si="819"/>
        <v>0</v>
      </c>
      <c r="AI497" s="419">
        <f t="shared" si="814"/>
        <v>1050</v>
      </c>
      <c r="AJ497" s="419">
        <f t="shared" si="694"/>
        <v>0</v>
      </c>
      <c r="AK497" s="415">
        <f t="shared" si="783"/>
        <v>0</v>
      </c>
      <c r="AL497" s="415">
        <f t="shared" si="560"/>
        <v>1050</v>
      </c>
      <c r="AM497" s="323">
        <f t="shared" si="721"/>
        <v>400</v>
      </c>
      <c r="AN497" s="323">
        <f t="shared" si="722"/>
        <v>0</v>
      </c>
      <c r="AO497" s="323">
        <f t="shared" si="723"/>
        <v>650</v>
      </c>
      <c r="AP497" s="323">
        <f t="shared" si="724"/>
        <v>0</v>
      </c>
      <c r="AQ497" s="169" t="s">
        <v>1153</v>
      </c>
      <c r="AT497" s="169"/>
      <c r="AU497" s="169"/>
    </row>
    <row r="498" spans="1:47" s="172" customFormat="1" x14ac:dyDescent="0.3">
      <c r="A498" s="509">
        <v>6</v>
      </c>
      <c r="B498" s="510" t="s">
        <v>487</v>
      </c>
      <c r="C498" s="409" t="s">
        <v>90</v>
      </c>
      <c r="D498" s="568">
        <v>2.5</v>
      </c>
      <c r="E498" s="411">
        <v>161</v>
      </c>
      <c r="F498" s="512">
        <v>1</v>
      </c>
      <c r="G498" s="413">
        <v>1</v>
      </c>
      <c r="H498" s="413">
        <v>0</v>
      </c>
      <c r="I498" s="414">
        <f t="shared" si="822"/>
        <v>402.5</v>
      </c>
      <c r="J498" s="415">
        <f t="shared" si="823"/>
        <v>0</v>
      </c>
      <c r="K498" s="415">
        <f t="shared" si="824"/>
        <v>402.5</v>
      </c>
      <c r="L498" s="415"/>
      <c r="M498" s="415"/>
      <c r="N498" s="416">
        <v>0</v>
      </c>
      <c r="O498" s="507" t="s">
        <v>507</v>
      </c>
      <c r="Q498" s="409" t="s">
        <v>90</v>
      </c>
      <c r="R498" s="516">
        <v>2.5</v>
      </c>
      <c r="S498" s="411">
        <v>274</v>
      </c>
      <c r="T498" s="514">
        <v>1</v>
      </c>
      <c r="U498" s="413">
        <v>1</v>
      </c>
      <c r="V498" s="413">
        <v>0</v>
      </c>
      <c r="W498" s="419">
        <f t="shared" si="825"/>
        <v>685</v>
      </c>
      <c r="X498" s="415">
        <f t="shared" si="826"/>
        <v>0</v>
      </c>
      <c r="Y498" s="415">
        <f t="shared" si="827"/>
        <v>685</v>
      </c>
      <c r="Z498" s="415"/>
      <c r="AA498" s="415"/>
      <c r="AB498" s="416">
        <v>0</v>
      </c>
      <c r="AC498" s="417" t="s">
        <v>507</v>
      </c>
      <c r="AD498" s="227"/>
      <c r="AE498" s="241">
        <v>6</v>
      </c>
      <c r="AF498" s="204" t="str">
        <f t="shared" si="735"/>
        <v>Fournitures (Kit -Stylos et blocs notes)</v>
      </c>
      <c r="AG498" s="413">
        <f t="shared" si="818"/>
        <v>1</v>
      </c>
      <c r="AH498" s="413">
        <f t="shared" si="819"/>
        <v>0</v>
      </c>
      <c r="AI498" s="419">
        <f t="shared" si="814"/>
        <v>1087.5</v>
      </c>
      <c r="AJ498" s="419">
        <f t="shared" si="694"/>
        <v>0</v>
      </c>
      <c r="AK498" s="415">
        <f t="shared" si="783"/>
        <v>0</v>
      </c>
      <c r="AL498" s="415">
        <f t="shared" si="560"/>
        <v>1087.5</v>
      </c>
      <c r="AM498" s="323">
        <f t="shared" si="721"/>
        <v>402.5</v>
      </c>
      <c r="AN498" s="323">
        <f t="shared" si="722"/>
        <v>0</v>
      </c>
      <c r="AO498" s="323">
        <f t="shared" si="723"/>
        <v>685</v>
      </c>
      <c r="AP498" s="323">
        <f t="shared" si="724"/>
        <v>0</v>
      </c>
      <c r="AQ498" s="169" t="s">
        <v>1153</v>
      </c>
      <c r="AT498" s="169"/>
      <c r="AU498" s="169"/>
    </row>
    <row r="499" spans="1:47" s="173" customFormat="1" ht="12.75" customHeight="1" x14ac:dyDescent="0.3">
      <c r="A499" s="480" t="s">
        <v>1557</v>
      </c>
      <c r="B499" s="861" t="s">
        <v>1558</v>
      </c>
      <c r="C499" s="862"/>
      <c r="D499" s="862"/>
      <c r="E499" s="862"/>
      <c r="F499" s="862"/>
      <c r="G499" s="862"/>
      <c r="H499" s="863"/>
      <c r="I499" s="481">
        <f>SUM(I500:I506)</f>
        <v>26564</v>
      </c>
      <c r="J499" s="482"/>
      <c r="K499" s="482">
        <f>SUM(K500:K506)</f>
        <v>26564</v>
      </c>
      <c r="L499" s="482"/>
      <c r="M499" s="482"/>
      <c r="N499" s="481">
        <f>SUM(N500:N506)</f>
        <v>0</v>
      </c>
      <c r="O499" s="508"/>
      <c r="P499" s="168"/>
      <c r="Q499" s="538"/>
      <c r="R499" s="539"/>
      <c r="S499" s="538"/>
      <c r="T499" s="539"/>
      <c r="U499" s="539"/>
      <c r="V499" s="484"/>
      <c r="W499" s="482">
        <f>SUM(W500:W506)</f>
        <v>26564</v>
      </c>
      <c r="X499" s="482"/>
      <c r="Y499" s="482">
        <f>SUM(Y500:Y506)</f>
        <v>26564</v>
      </c>
      <c r="Z499" s="482"/>
      <c r="AA499" s="482"/>
      <c r="AB499" s="481">
        <f>SUM(AB500:AB506)</f>
        <v>0</v>
      </c>
      <c r="AC499" s="508"/>
      <c r="AD499" s="234"/>
      <c r="AE499" s="247" t="s">
        <v>1557</v>
      </c>
      <c r="AF499" s="204" t="str">
        <f t="shared" si="735"/>
        <v>Formation des leaders locaux (LC) sur la bonne gestion de la durabilité des ouvrages hydrauliques et sanitaires</v>
      </c>
      <c r="AG499" s="485">
        <f t="shared" si="818"/>
        <v>1</v>
      </c>
      <c r="AH499" s="485">
        <f t="shared" si="819"/>
        <v>0</v>
      </c>
      <c r="AI499" s="482">
        <f t="shared" si="814"/>
        <v>53128</v>
      </c>
      <c r="AJ499" s="482">
        <f t="shared" si="694"/>
        <v>0</v>
      </c>
      <c r="AK499" s="482">
        <f t="shared" si="783"/>
        <v>0</v>
      </c>
      <c r="AL499" s="482">
        <f t="shared" si="560"/>
        <v>53128</v>
      </c>
      <c r="AM499" s="314">
        <f t="shared" si="721"/>
        <v>26564</v>
      </c>
      <c r="AN499" s="314">
        <f t="shared" si="722"/>
        <v>0</v>
      </c>
      <c r="AO499" s="314">
        <f t="shared" si="723"/>
        <v>26564</v>
      </c>
      <c r="AP499" s="314">
        <f t="shared" si="724"/>
        <v>0</v>
      </c>
      <c r="AT499" s="168"/>
      <c r="AU499" s="168"/>
    </row>
    <row r="500" spans="1:47" s="199" customFormat="1" ht="52" x14ac:dyDescent="0.35">
      <c r="A500" s="408">
        <v>1</v>
      </c>
      <c r="B500" s="409" t="s">
        <v>1167</v>
      </c>
      <c r="C500" s="409" t="s">
        <v>90</v>
      </c>
      <c r="D500" s="569">
        <v>2</v>
      </c>
      <c r="E500" s="560">
        <v>128</v>
      </c>
      <c r="F500" s="570">
        <v>4</v>
      </c>
      <c r="G500" s="413">
        <v>1</v>
      </c>
      <c r="H500" s="413">
        <v>0</v>
      </c>
      <c r="I500" s="414">
        <f t="shared" ref="I500:I506" si="828">D500*E500*F500*G500</f>
        <v>1024</v>
      </c>
      <c r="J500" s="415">
        <f t="shared" ref="J500:J506" si="829">D500*E500*F500*H500</f>
        <v>0</v>
      </c>
      <c r="K500" s="415">
        <f t="shared" ref="K500:K506" si="830">I500</f>
        <v>1024</v>
      </c>
      <c r="L500" s="415"/>
      <c r="M500" s="415"/>
      <c r="N500" s="416">
        <v>0</v>
      </c>
      <c r="O500" s="518" t="s">
        <v>1559</v>
      </c>
      <c r="Q500" s="409" t="s">
        <v>90</v>
      </c>
      <c r="R500" s="620">
        <v>2</v>
      </c>
      <c r="S500" s="560">
        <v>128</v>
      </c>
      <c r="T500" s="560">
        <v>4</v>
      </c>
      <c r="U500" s="413">
        <v>1</v>
      </c>
      <c r="V500" s="413">
        <v>0</v>
      </c>
      <c r="W500" s="419">
        <f t="shared" ref="W500:W506" si="831">R500*S500*T500*U500</f>
        <v>1024</v>
      </c>
      <c r="X500" s="415">
        <f t="shared" ref="X500:X506" si="832">R500*S500*T500*V500</f>
        <v>0</v>
      </c>
      <c r="Y500" s="415">
        <f t="shared" ref="Y500" si="833">W500</f>
        <v>1024</v>
      </c>
      <c r="Z500" s="415"/>
      <c r="AA500" s="415"/>
      <c r="AB500" s="416">
        <v>0</v>
      </c>
      <c r="AC500" s="518" t="s">
        <v>1559</v>
      </c>
      <c r="AD500" s="235"/>
      <c r="AE500" s="237">
        <v>1</v>
      </c>
      <c r="AF500" s="204" t="str">
        <f t="shared" si="735"/>
        <v>Pause café à Nyiragongo et à Rwanguba</v>
      </c>
      <c r="AG500" s="413">
        <f t="shared" si="818"/>
        <v>1</v>
      </c>
      <c r="AH500" s="413">
        <f t="shared" si="819"/>
        <v>0</v>
      </c>
      <c r="AI500" s="419">
        <f t="shared" si="814"/>
        <v>2048</v>
      </c>
      <c r="AJ500" s="419">
        <f t="shared" si="694"/>
        <v>0</v>
      </c>
      <c r="AK500" s="415">
        <f t="shared" si="783"/>
        <v>0</v>
      </c>
      <c r="AL500" s="415">
        <f t="shared" si="560"/>
        <v>2048</v>
      </c>
      <c r="AM500" s="323">
        <f t="shared" si="721"/>
        <v>1024</v>
      </c>
      <c r="AN500" s="323">
        <f t="shared" si="722"/>
        <v>0</v>
      </c>
      <c r="AO500" s="323">
        <f t="shared" si="723"/>
        <v>1024</v>
      </c>
      <c r="AP500" s="323">
        <f t="shared" si="724"/>
        <v>0</v>
      </c>
      <c r="AQ500" s="199" t="s">
        <v>806</v>
      </c>
      <c r="AT500" s="186"/>
      <c r="AU500" s="186"/>
    </row>
    <row r="501" spans="1:47" s="199" customFormat="1" ht="52" x14ac:dyDescent="0.35">
      <c r="A501" s="408">
        <v>2</v>
      </c>
      <c r="B501" s="409" t="s">
        <v>1170</v>
      </c>
      <c r="C501" s="409" t="s">
        <v>90</v>
      </c>
      <c r="D501" s="569">
        <v>5</v>
      </c>
      <c r="E501" s="560">
        <v>128</v>
      </c>
      <c r="F501" s="570">
        <v>4</v>
      </c>
      <c r="G501" s="413">
        <v>1</v>
      </c>
      <c r="H501" s="413">
        <v>0</v>
      </c>
      <c r="I501" s="414">
        <f t="shared" si="828"/>
        <v>2560</v>
      </c>
      <c r="J501" s="415">
        <f t="shared" si="829"/>
        <v>0</v>
      </c>
      <c r="K501" s="415">
        <f t="shared" si="830"/>
        <v>2560</v>
      </c>
      <c r="L501" s="415"/>
      <c r="M501" s="415"/>
      <c r="N501" s="416">
        <v>0</v>
      </c>
      <c r="O501" s="518" t="s">
        <v>1560</v>
      </c>
      <c r="Q501" s="409" t="s">
        <v>90</v>
      </c>
      <c r="R501" s="620">
        <v>5</v>
      </c>
      <c r="S501" s="560">
        <v>128</v>
      </c>
      <c r="T501" s="560">
        <v>4</v>
      </c>
      <c r="U501" s="413">
        <v>1</v>
      </c>
      <c r="V501" s="413">
        <v>0</v>
      </c>
      <c r="W501" s="419">
        <f t="shared" si="831"/>
        <v>2560</v>
      </c>
      <c r="X501" s="415">
        <f t="shared" si="832"/>
        <v>0</v>
      </c>
      <c r="Y501" s="415">
        <f>W501</f>
        <v>2560</v>
      </c>
      <c r="Z501" s="415"/>
      <c r="AA501" s="415"/>
      <c r="AB501" s="416">
        <v>0</v>
      </c>
      <c r="AC501" s="518" t="s">
        <v>1560</v>
      </c>
      <c r="AD501" s="235"/>
      <c r="AE501" s="237">
        <v>2</v>
      </c>
      <c r="AF501" s="204" t="str">
        <f t="shared" si="735"/>
        <v>Pause repas à Nyiragongo et à Rwanguba</v>
      </c>
      <c r="AG501" s="413">
        <f t="shared" si="818"/>
        <v>1</v>
      </c>
      <c r="AH501" s="413">
        <f t="shared" si="819"/>
        <v>0</v>
      </c>
      <c r="AI501" s="419">
        <f t="shared" si="814"/>
        <v>5120</v>
      </c>
      <c r="AJ501" s="419">
        <f t="shared" si="694"/>
        <v>0</v>
      </c>
      <c r="AK501" s="415">
        <f t="shared" si="783"/>
        <v>0</v>
      </c>
      <c r="AL501" s="415">
        <f t="shared" si="560"/>
        <v>5120</v>
      </c>
      <c r="AM501" s="323">
        <f t="shared" si="721"/>
        <v>2560</v>
      </c>
      <c r="AN501" s="323">
        <f t="shared" si="722"/>
        <v>0</v>
      </c>
      <c r="AO501" s="323">
        <f t="shared" si="723"/>
        <v>2560</v>
      </c>
      <c r="AP501" s="323">
        <f t="shared" si="724"/>
        <v>0</v>
      </c>
      <c r="AQ501" s="199" t="s">
        <v>806</v>
      </c>
      <c r="AT501" s="186"/>
      <c r="AU501" s="186"/>
    </row>
    <row r="502" spans="1:47" s="199" customFormat="1" ht="39" x14ac:dyDescent="0.35">
      <c r="A502" s="408">
        <v>3</v>
      </c>
      <c r="B502" s="409" t="s">
        <v>533</v>
      </c>
      <c r="C502" s="409" t="s">
        <v>90</v>
      </c>
      <c r="D502" s="569">
        <v>12.5</v>
      </c>
      <c r="E502" s="560">
        <v>12</v>
      </c>
      <c r="F502" s="570">
        <v>4</v>
      </c>
      <c r="G502" s="413">
        <v>1</v>
      </c>
      <c r="H502" s="413">
        <v>0</v>
      </c>
      <c r="I502" s="414">
        <f t="shared" si="828"/>
        <v>600</v>
      </c>
      <c r="J502" s="415">
        <f t="shared" si="829"/>
        <v>0</v>
      </c>
      <c r="K502" s="415">
        <f t="shared" si="830"/>
        <v>600</v>
      </c>
      <c r="L502" s="415"/>
      <c r="M502" s="415"/>
      <c r="N502" s="416">
        <v>0</v>
      </c>
      <c r="O502" s="518" t="s">
        <v>1561</v>
      </c>
      <c r="Q502" s="409" t="s">
        <v>90</v>
      </c>
      <c r="R502" s="620">
        <v>12.5</v>
      </c>
      <c r="S502" s="560">
        <v>12</v>
      </c>
      <c r="T502" s="560">
        <v>4</v>
      </c>
      <c r="U502" s="413">
        <v>1</v>
      </c>
      <c r="V502" s="413">
        <v>0</v>
      </c>
      <c r="W502" s="419">
        <f t="shared" si="831"/>
        <v>600</v>
      </c>
      <c r="X502" s="415">
        <f t="shared" si="832"/>
        <v>0</v>
      </c>
      <c r="Y502" s="415">
        <f t="shared" ref="Y502:Y506" si="834">W502</f>
        <v>600</v>
      </c>
      <c r="Z502" s="415"/>
      <c r="AA502" s="415"/>
      <c r="AB502" s="416">
        <v>0</v>
      </c>
      <c r="AC502" s="518" t="s">
        <v>1561</v>
      </c>
      <c r="AD502" s="235"/>
      <c r="AE502" s="237">
        <v>3</v>
      </c>
      <c r="AF502" s="204" t="str">
        <f t="shared" si="735"/>
        <v>Frais de facilitation</v>
      </c>
      <c r="AG502" s="413">
        <f t="shared" si="818"/>
        <v>1</v>
      </c>
      <c r="AH502" s="413">
        <f t="shared" si="819"/>
        <v>0</v>
      </c>
      <c r="AI502" s="419">
        <f t="shared" si="814"/>
        <v>1200</v>
      </c>
      <c r="AJ502" s="419">
        <f t="shared" si="694"/>
        <v>0</v>
      </c>
      <c r="AK502" s="415">
        <f t="shared" si="783"/>
        <v>0</v>
      </c>
      <c r="AL502" s="415">
        <f t="shared" si="560"/>
        <v>1200</v>
      </c>
      <c r="AM502" s="323">
        <f t="shared" si="721"/>
        <v>600</v>
      </c>
      <c r="AN502" s="323">
        <f t="shared" si="722"/>
        <v>0</v>
      </c>
      <c r="AO502" s="323">
        <f t="shared" si="723"/>
        <v>600</v>
      </c>
      <c r="AP502" s="323">
        <f t="shared" si="724"/>
        <v>0</v>
      </c>
      <c r="AQ502" s="199" t="s">
        <v>806</v>
      </c>
      <c r="AT502" s="186"/>
      <c r="AU502" s="186"/>
    </row>
    <row r="503" spans="1:47" s="199" customFormat="1" ht="26" x14ac:dyDescent="0.35">
      <c r="A503" s="408">
        <v>4</v>
      </c>
      <c r="B503" s="409" t="s">
        <v>450</v>
      </c>
      <c r="C503" s="409" t="s">
        <v>422</v>
      </c>
      <c r="D503" s="569">
        <v>50</v>
      </c>
      <c r="E503" s="560">
        <v>6</v>
      </c>
      <c r="F503" s="570">
        <v>4</v>
      </c>
      <c r="G503" s="413">
        <v>1</v>
      </c>
      <c r="H503" s="413">
        <v>0</v>
      </c>
      <c r="I503" s="414">
        <f t="shared" si="828"/>
        <v>1200</v>
      </c>
      <c r="J503" s="415">
        <f t="shared" si="829"/>
        <v>0</v>
      </c>
      <c r="K503" s="415">
        <f t="shared" si="830"/>
        <v>1200</v>
      </c>
      <c r="L503" s="415"/>
      <c r="M503" s="415"/>
      <c r="N503" s="416">
        <v>0</v>
      </c>
      <c r="O503" s="518" t="s">
        <v>1562</v>
      </c>
      <c r="Q503" s="409" t="s">
        <v>422</v>
      </c>
      <c r="R503" s="620">
        <v>50</v>
      </c>
      <c r="S503" s="560">
        <v>6</v>
      </c>
      <c r="T503" s="560">
        <v>4</v>
      </c>
      <c r="U503" s="413">
        <v>1</v>
      </c>
      <c r="V503" s="413">
        <v>0</v>
      </c>
      <c r="W503" s="419">
        <f t="shared" si="831"/>
        <v>1200</v>
      </c>
      <c r="X503" s="415">
        <f t="shared" si="832"/>
        <v>0</v>
      </c>
      <c r="Y503" s="415">
        <f t="shared" si="834"/>
        <v>1200</v>
      </c>
      <c r="Z503" s="415"/>
      <c r="AA503" s="415"/>
      <c r="AB503" s="416">
        <v>0</v>
      </c>
      <c r="AC503" s="518" t="s">
        <v>1562</v>
      </c>
      <c r="AD503" s="235"/>
      <c r="AE503" s="237">
        <v>4</v>
      </c>
      <c r="AF503" s="204" t="str">
        <f t="shared" si="735"/>
        <v xml:space="preserve">Location salle </v>
      </c>
      <c r="AG503" s="413">
        <f t="shared" si="818"/>
        <v>1</v>
      </c>
      <c r="AH503" s="413">
        <f t="shared" si="819"/>
        <v>0</v>
      </c>
      <c r="AI503" s="419">
        <f t="shared" si="814"/>
        <v>2400</v>
      </c>
      <c r="AJ503" s="419">
        <f t="shared" si="694"/>
        <v>0</v>
      </c>
      <c r="AK503" s="415">
        <f t="shared" si="783"/>
        <v>0</v>
      </c>
      <c r="AL503" s="415">
        <f t="shared" si="560"/>
        <v>2400</v>
      </c>
      <c r="AM503" s="323">
        <f t="shared" si="721"/>
        <v>1200</v>
      </c>
      <c r="AN503" s="323">
        <f t="shared" si="722"/>
        <v>0</v>
      </c>
      <c r="AO503" s="323">
        <f t="shared" si="723"/>
        <v>1200</v>
      </c>
      <c r="AP503" s="323">
        <f t="shared" si="724"/>
        <v>0</v>
      </c>
      <c r="AQ503" s="199" t="s">
        <v>806</v>
      </c>
      <c r="AT503" s="186"/>
      <c r="AU503" s="186"/>
    </row>
    <row r="504" spans="1:47" s="199" customFormat="1" ht="39" x14ac:dyDescent="0.35">
      <c r="A504" s="408">
        <v>5</v>
      </c>
      <c r="B504" s="409" t="s">
        <v>1552</v>
      </c>
      <c r="C504" s="409" t="s">
        <v>90</v>
      </c>
      <c r="D504" s="569">
        <v>5</v>
      </c>
      <c r="E504" s="560">
        <v>120</v>
      </c>
      <c r="F504" s="570">
        <v>4</v>
      </c>
      <c r="G504" s="413">
        <v>1</v>
      </c>
      <c r="H504" s="413">
        <v>0</v>
      </c>
      <c r="I504" s="414">
        <f t="shared" si="828"/>
        <v>2400</v>
      </c>
      <c r="J504" s="415">
        <f t="shared" si="829"/>
        <v>0</v>
      </c>
      <c r="K504" s="415">
        <f t="shared" si="830"/>
        <v>2400</v>
      </c>
      <c r="L504" s="415"/>
      <c r="M504" s="415"/>
      <c r="N504" s="416">
        <v>0</v>
      </c>
      <c r="O504" s="518" t="s">
        <v>1563</v>
      </c>
      <c r="Q504" s="409" t="s">
        <v>90</v>
      </c>
      <c r="R504" s="620">
        <v>5</v>
      </c>
      <c r="S504" s="560">
        <v>120</v>
      </c>
      <c r="T504" s="560">
        <v>4</v>
      </c>
      <c r="U504" s="413">
        <v>1</v>
      </c>
      <c r="V504" s="413">
        <v>0</v>
      </c>
      <c r="W504" s="419">
        <f t="shared" si="831"/>
        <v>2400</v>
      </c>
      <c r="X504" s="415">
        <f t="shared" si="832"/>
        <v>0</v>
      </c>
      <c r="Y504" s="415">
        <f t="shared" si="834"/>
        <v>2400</v>
      </c>
      <c r="Z504" s="415"/>
      <c r="AA504" s="415"/>
      <c r="AB504" s="416">
        <v>0</v>
      </c>
      <c r="AC504" s="518" t="s">
        <v>1563</v>
      </c>
      <c r="AD504" s="235"/>
      <c r="AE504" s="237">
        <v>5</v>
      </c>
      <c r="AF504" s="204" t="str">
        <f t="shared" si="735"/>
        <v>Frais de transport des participants à Nyiragongo et Rwanguba</v>
      </c>
      <c r="AG504" s="413">
        <f t="shared" si="818"/>
        <v>1</v>
      </c>
      <c r="AH504" s="413">
        <f t="shared" si="819"/>
        <v>0</v>
      </c>
      <c r="AI504" s="419">
        <f t="shared" si="814"/>
        <v>4800</v>
      </c>
      <c r="AJ504" s="419">
        <f t="shared" si="694"/>
        <v>0</v>
      </c>
      <c r="AK504" s="415">
        <f t="shared" si="783"/>
        <v>0</v>
      </c>
      <c r="AL504" s="415">
        <f t="shared" si="560"/>
        <v>4800</v>
      </c>
      <c r="AM504" s="323">
        <f t="shared" si="721"/>
        <v>2400</v>
      </c>
      <c r="AN504" s="323">
        <f t="shared" si="722"/>
        <v>0</v>
      </c>
      <c r="AO504" s="323">
        <f t="shared" si="723"/>
        <v>2400</v>
      </c>
      <c r="AP504" s="323">
        <f t="shared" si="724"/>
        <v>0</v>
      </c>
      <c r="AQ504" s="199" t="s">
        <v>806</v>
      </c>
      <c r="AT504" s="186"/>
      <c r="AU504" s="186"/>
    </row>
    <row r="505" spans="1:47" s="199" customFormat="1" ht="26" x14ac:dyDescent="0.35">
      <c r="A505" s="408">
        <v>6</v>
      </c>
      <c r="B505" s="409" t="s">
        <v>487</v>
      </c>
      <c r="C505" s="409" t="s">
        <v>90</v>
      </c>
      <c r="D505" s="571">
        <v>2.5</v>
      </c>
      <c r="E505" s="560">
        <v>120</v>
      </c>
      <c r="F505" s="570">
        <v>1</v>
      </c>
      <c r="G505" s="413">
        <v>1</v>
      </c>
      <c r="H505" s="413">
        <v>0</v>
      </c>
      <c r="I505" s="414">
        <f t="shared" si="828"/>
        <v>300</v>
      </c>
      <c r="J505" s="415">
        <f t="shared" si="829"/>
        <v>0</v>
      </c>
      <c r="K505" s="415">
        <f t="shared" si="830"/>
        <v>300</v>
      </c>
      <c r="L505" s="415"/>
      <c r="M505" s="415"/>
      <c r="N505" s="416">
        <v>0</v>
      </c>
      <c r="O505" s="518" t="s">
        <v>1564</v>
      </c>
      <c r="Q505" s="409" t="s">
        <v>90</v>
      </c>
      <c r="R505" s="620">
        <v>2.5</v>
      </c>
      <c r="S505" s="560">
        <v>120</v>
      </c>
      <c r="T505" s="560">
        <v>1</v>
      </c>
      <c r="U505" s="413">
        <v>1</v>
      </c>
      <c r="V505" s="413">
        <v>0</v>
      </c>
      <c r="W505" s="419">
        <f t="shared" si="831"/>
        <v>300</v>
      </c>
      <c r="X505" s="415">
        <f t="shared" si="832"/>
        <v>0</v>
      </c>
      <c r="Y505" s="415">
        <f t="shared" si="834"/>
        <v>300</v>
      </c>
      <c r="Z505" s="415"/>
      <c r="AA505" s="415"/>
      <c r="AB505" s="416">
        <v>0</v>
      </c>
      <c r="AC505" s="518" t="s">
        <v>1564</v>
      </c>
      <c r="AD505" s="235"/>
      <c r="AE505" s="237">
        <v>6</v>
      </c>
      <c r="AF505" s="204" t="str">
        <f t="shared" si="735"/>
        <v>Fournitures (Kit -Stylos et blocs notes)</v>
      </c>
      <c r="AG505" s="413">
        <f t="shared" si="818"/>
        <v>1</v>
      </c>
      <c r="AH505" s="413">
        <f t="shared" si="819"/>
        <v>0</v>
      </c>
      <c r="AI505" s="419">
        <f t="shared" si="814"/>
        <v>600</v>
      </c>
      <c r="AJ505" s="419">
        <f t="shared" si="694"/>
        <v>0</v>
      </c>
      <c r="AK505" s="415">
        <f t="shared" si="783"/>
        <v>0</v>
      </c>
      <c r="AL505" s="415">
        <f t="shared" si="560"/>
        <v>600</v>
      </c>
      <c r="AM505" s="323">
        <f t="shared" si="721"/>
        <v>300</v>
      </c>
      <c r="AN505" s="323">
        <f t="shared" si="722"/>
        <v>0</v>
      </c>
      <c r="AO505" s="323">
        <f t="shared" si="723"/>
        <v>300</v>
      </c>
      <c r="AP505" s="323">
        <f t="shared" si="724"/>
        <v>0</v>
      </c>
      <c r="AQ505" s="199" t="s">
        <v>806</v>
      </c>
      <c r="AT505" s="186"/>
      <c r="AU505" s="186"/>
    </row>
    <row r="506" spans="1:47" s="199" customFormat="1" ht="26" x14ac:dyDescent="0.35">
      <c r="A506" s="408">
        <v>7</v>
      </c>
      <c r="B506" s="409" t="s">
        <v>1565</v>
      </c>
      <c r="C506" s="409" t="s">
        <v>90</v>
      </c>
      <c r="D506" s="569">
        <v>7</v>
      </c>
      <c r="E506" s="560">
        <v>120</v>
      </c>
      <c r="F506" s="570">
        <v>22</v>
      </c>
      <c r="G506" s="413">
        <v>1</v>
      </c>
      <c r="H506" s="413">
        <v>0</v>
      </c>
      <c r="I506" s="414">
        <f t="shared" si="828"/>
        <v>18480</v>
      </c>
      <c r="J506" s="415">
        <f t="shared" si="829"/>
        <v>0</v>
      </c>
      <c r="K506" s="415">
        <f t="shared" si="830"/>
        <v>18480</v>
      </c>
      <c r="L506" s="415"/>
      <c r="M506" s="415"/>
      <c r="N506" s="416">
        <v>0</v>
      </c>
      <c r="O506" s="518" t="s">
        <v>1566</v>
      </c>
      <c r="Q506" s="409" t="s">
        <v>90</v>
      </c>
      <c r="R506" s="620">
        <v>7</v>
      </c>
      <c r="S506" s="560">
        <v>120</v>
      </c>
      <c r="T506" s="560">
        <v>22</v>
      </c>
      <c r="U506" s="413">
        <v>1</v>
      </c>
      <c r="V506" s="413">
        <v>0</v>
      </c>
      <c r="W506" s="419">
        <f t="shared" si="831"/>
        <v>18480</v>
      </c>
      <c r="X506" s="415">
        <f t="shared" si="832"/>
        <v>0</v>
      </c>
      <c r="Y506" s="415">
        <f t="shared" si="834"/>
        <v>18480</v>
      </c>
      <c r="Z506" s="415"/>
      <c r="AA506" s="415"/>
      <c r="AB506" s="416">
        <v>0</v>
      </c>
      <c r="AC506" s="518" t="s">
        <v>1566</v>
      </c>
      <c r="AD506" s="235"/>
      <c r="AE506" s="237">
        <v>7</v>
      </c>
      <c r="AF506" s="204" t="str">
        <f t="shared" si="735"/>
        <v>Prime des facilitateurs locaux pour 22 jours d'accompagnement dans la prospection des ouvrages hydrauliques.</v>
      </c>
      <c r="AG506" s="413">
        <f t="shared" si="818"/>
        <v>1</v>
      </c>
      <c r="AH506" s="413">
        <f t="shared" si="819"/>
        <v>0</v>
      </c>
      <c r="AI506" s="419">
        <f t="shared" si="814"/>
        <v>36960</v>
      </c>
      <c r="AJ506" s="419">
        <f t="shared" si="694"/>
        <v>0</v>
      </c>
      <c r="AK506" s="415">
        <f t="shared" si="783"/>
        <v>0</v>
      </c>
      <c r="AL506" s="415">
        <f t="shared" si="560"/>
        <v>36960</v>
      </c>
      <c r="AM506" s="323">
        <f t="shared" si="721"/>
        <v>18480</v>
      </c>
      <c r="AN506" s="323">
        <f t="shared" si="722"/>
        <v>0</v>
      </c>
      <c r="AO506" s="323">
        <f t="shared" si="723"/>
        <v>18480</v>
      </c>
      <c r="AP506" s="323">
        <f t="shared" si="724"/>
        <v>0</v>
      </c>
      <c r="AQ506" s="199" t="s">
        <v>806</v>
      </c>
      <c r="AT506" s="186"/>
      <c r="AU506" s="186"/>
    </row>
    <row r="507" spans="1:47" x14ac:dyDescent="0.3">
      <c r="A507" s="480" t="s">
        <v>1567</v>
      </c>
      <c r="B507" s="861" t="s">
        <v>1568</v>
      </c>
      <c r="C507" s="862"/>
      <c r="D507" s="862"/>
      <c r="E507" s="862"/>
      <c r="F507" s="862"/>
      <c r="G507" s="862"/>
      <c r="H507" s="863"/>
      <c r="I507" s="481">
        <f>SUM(I508:I514)</f>
        <v>1857.15</v>
      </c>
      <c r="J507" s="482">
        <f t="shared" ref="J507:M507" si="835">SUM(J508:J514)</f>
        <v>206.35</v>
      </c>
      <c r="K507" s="482">
        <f t="shared" si="835"/>
        <v>1857.15</v>
      </c>
      <c r="L507" s="482">
        <f t="shared" si="835"/>
        <v>0</v>
      </c>
      <c r="M507" s="482">
        <f t="shared" si="835"/>
        <v>0</v>
      </c>
      <c r="N507" s="481">
        <f>SUM(N508:N514)</f>
        <v>0</v>
      </c>
      <c r="O507" s="508"/>
      <c r="Q507" s="538"/>
      <c r="R507" s="539"/>
      <c r="S507" s="538"/>
      <c r="T507" s="539"/>
      <c r="U507" s="539"/>
      <c r="V507" s="484"/>
      <c r="W507" s="482">
        <f>SUM(W508:W514)</f>
        <v>1857.15</v>
      </c>
      <c r="X507" s="482">
        <f>SUM(X508:X514)</f>
        <v>206.35</v>
      </c>
      <c r="Y507" s="482">
        <f>SUM(Y508:Y514)</f>
        <v>928.57500000000005</v>
      </c>
      <c r="Z507" s="482">
        <f t="shared" ref="Z507:AA507" si="836">SUM(Z508:Z514)</f>
        <v>928.57500000000005</v>
      </c>
      <c r="AA507" s="482">
        <f t="shared" si="836"/>
        <v>0</v>
      </c>
      <c r="AB507" s="481">
        <f>SUM(AB508:AB514)</f>
        <v>0</v>
      </c>
      <c r="AC507" s="508"/>
      <c r="AD507" s="234"/>
      <c r="AE507" s="247" t="s">
        <v>1567</v>
      </c>
      <c r="AF507" s="204" t="str">
        <f t="shared" si="735"/>
        <v>Contribuer à la formation des (ECZ, IT/ITA….) sur la NAC</v>
      </c>
      <c r="AG507" s="485">
        <f t="shared" si="818"/>
        <v>0.9</v>
      </c>
      <c r="AH507" s="485">
        <f t="shared" si="819"/>
        <v>9.9999999999999992E-2</v>
      </c>
      <c r="AI507" s="482">
        <f t="shared" si="814"/>
        <v>3714.3</v>
      </c>
      <c r="AJ507" s="482">
        <f t="shared" si="694"/>
        <v>0</v>
      </c>
      <c r="AK507" s="482">
        <f t="shared" ref="AK507:AK530" si="837">J507+X507</f>
        <v>412.7</v>
      </c>
      <c r="AL507" s="482">
        <f t="shared" si="560"/>
        <v>4127</v>
      </c>
      <c r="AM507" s="314">
        <f t="shared" si="721"/>
        <v>1857.15</v>
      </c>
      <c r="AN507" s="314">
        <f t="shared" si="722"/>
        <v>0</v>
      </c>
      <c r="AO507" s="314">
        <f t="shared" si="723"/>
        <v>1857.15</v>
      </c>
      <c r="AP507" s="314">
        <f t="shared" si="724"/>
        <v>0</v>
      </c>
    </row>
    <row r="508" spans="1:47" s="186" customFormat="1" ht="26" x14ac:dyDescent="0.35">
      <c r="A508" s="408">
        <v>1</v>
      </c>
      <c r="B508" s="409" t="s">
        <v>1569</v>
      </c>
      <c r="C508" s="409" t="s">
        <v>90</v>
      </c>
      <c r="D508" s="565">
        <v>2</v>
      </c>
      <c r="E508" s="411">
        <v>49</v>
      </c>
      <c r="F508" s="412">
        <v>2</v>
      </c>
      <c r="G508" s="503">
        <v>0.9</v>
      </c>
      <c r="H508" s="503">
        <v>0.1</v>
      </c>
      <c r="I508" s="416">
        <f t="shared" ref="I508:I514" si="838">D508*E508*F508*G508</f>
        <v>176.4</v>
      </c>
      <c r="J508" s="487">
        <f t="shared" ref="J508:J514" si="839">D508*E508*F508*H508</f>
        <v>19.600000000000001</v>
      </c>
      <c r="K508" s="487">
        <f t="shared" ref="K508:K514" si="840">I508</f>
        <v>176.4</v>
      </c>
      <c r="L508" s="487"/>
      <c r="M508" s="487"/>
      <c r="N508" s="416">
        <v>0</v>
      </c>
      <c r="O508" s="417" t="s">
        <v>1570</v>
      </c>
      <c r="Q508" s="409" t="s">
        <v>90</v>
      </c>
      <c r="R508" s="565">
        <v>2</v>
      </c>
      <c r="S508" s="411">
        <v>49</v>
      </c>
      <c r="T508" s="412">
        <v>2</v>
      </c>
      <c r="U508" s="503">
        <v>0.9</v>
      </c>
      <c r="V508" s="503">
        <v>0.1</v>
      </c>
      <c r="W508" s="506">
        <f t="shared" ref="W508:W514" si="841">R508*S508*T508*U508</f>
        <v>176.4</v>
      </c>
      <c r="X508" s="487">
        <f t="shared" ref="X508:X514" si="842">R508*S508*T508*V508</f>
        <v>19.600000000000001</v>
      </c>
      <c r="Y508" s="487">
        <f t="shared" ref="Y508:Y514" si="843">W508*50/100</f>
        <v>88.2</v>
      </c>
      <c r="Z508" s="487">
        <f t="shared" ref="Z508:Z514" si="844">W508*50/100</f>
        <v>88.2</v>
      </c>
      <c r="AA508" s="487"/>
      <c r="AB508" s="416">
        <v>0</v>
      </c>
      <c r="AC508" s="417" t="s">
        <v>1570</v>
      </c>
      <c r="AD508" s="227"/>
      <c r="AE508" s="241">
        <v>1</v>
      </c>
      <c r="AF508" s="204" t="str">
        <f t="shared" si="735"/>
        <v xml:space="preserve">Pause café (12personnes de ECZ, 30 IT/ITA,  2 personnes Pronanut, 2 personnes WV et 2 personnes de REMED) </v>
      </c>
      <c r="AG508" s="486">
        <f t="shared" si="818"/>
        <v>0.9</v>
      </c>
      <c r="AH508" s="486">
        <f t="shared" si="819"/>
        <v>0.1</v>
      </c>
      <c r="AI508" s="506">
        <f t="shared" si="814"/>
        <v>352.8</v>
      </c>
      <c r="AJ508" s="506">
        <f t="shared" si="694"/>
        <v>0</v>
      </c>
      <c r="AK508" s="487">
        <f t="shared" si="837"/>
        <v>39.200000000000003</v>
      </c>
      <c r="AL508" s="487">
        <f t="shared" si="560"/>
        <v>392</v>
      </c>
      <c r="AM508" s="316">
        <f t="shared" si="721"/>
        <v>176.4</v>
      </c>
      <c r="AN508" s="316">
        <f t="shared" si="722"/>
        <v>0</v>
      </c>
      <c r="AO508" s="316">
        <f t="shared" si="723"/>
        <v>176.4</v>
      </c>
      <c r="AP508" s="316">
        <f t="shared" si="724"/>
        <v>0</v>
      </c>
      <c r="AQ508" s="186" t="s">
        <v>898</v>
      </c>
      <c r="AR508" s="186" t="s">
        <v>420</v>
      </c>
    </row>
    <row r="509" spans="1:47" s="186" customFormat="1" ht="26" x14ac:dyDescent="0.35">
      <c r="A509" s="408">
        <v>2</v>
      </c>
      <c r="B509" s="409" t="s">
        <v>1571</v>
      </c>
      <c r="C509" s="409" t="s">
        <v>90</v>
      </c>
      <c r="D509" s="565">
        <v>5</v>
      </c>
      <c r="E509" s="411">
        <v>49</v>
      </c>
      <c r="F509" s="412">
        <v>2</v>
      </c>
      <c r="G509" s="503">
        <v>0.9</v>
      </c>
      <c r="H509" s="503">
        <v>0.1</v>
      </c>
      <c r="I509" s="416">
        <f t="shared" si="838"/>
        <v>441</v>
      </c>
      <c r="J509" s="487">
        <f t="shared" si="839"/>
        <v>49</v>
      </c>
      <c r="K509" s="487">
        <f t="shared" si="840"/>
        <v>441</v>
      </c>
      <c r="L509" s="487"/>
      <c r="M509" s="487"/>
      <c r="N509" s="416">
        <v>0</v>
      </c>
      <c r="O509" s="417" t="s">
        <v>1572</v>
      </c>
      <c r="Q509" s="409" t="s">
        <v>90</v>
      </c>
      <c r="R509" s="565">
        <v>5</v>
      </c>
      <c r="S509" s="411">
        <v>49</v>
      </c>
      <c r="T509" s="412">
        <v>2</v>
      </c>
      <c r="U509" s="503">
        <v>0.9</v>
      </c>
      <c r="V509" s="503">
        <v>0.1</v>
      </c>
      <c r="W509" s="506">
        <f t="shared" si="841"/>
        <v>441</v>
      </c>
      <c r="X509" s="487">
        <f t="shared" si="842"/>
        <v>49</v>
      </c>
      <c r="Y509" s="487">
        <f t="shared" si="843"/>
        <v>220.5</v>
      </c>
      <c r="Z509" s="487">
        <f t="shared" si="844"/>
        <v>220.5</v>
      </c>
      <c r="AA509" s="487"/>
      <c r="AB509" s="416">
        <v>0</v>
      </c>
      <c r="AC509" s="417" t="s">
        <v>1572</v>
      </c>
      <c r="AD509" s="227"/>
      <c r="AE509" s="241">
        <v>2</v>
      </c>
      <c r="AF509" s="204" t="str">
        <f t="shared" si="735"/>
        <v xml:space="preserve">Pause repas (12personnes de ECZ, 30 IT/ITA,  2 personnes WV et 2 personnes de REMED) </v>
      </c>
      <c r="AG509" s="486">
        <f t="shared" si="818"/>
        <v>0.9</v>
      </c>
      <c r="AH509" s="486">
        <f t="shared" si="819"/>
        <v>0.1</v>
      </c>
      <c r="AI509" s="506">
        <f t="shared" si="814"/>
        <v>882</v>
      </c>
      <c r="AJ509" s="506">
        <f t="shared" si="694"/>
        <v>0</v>
      </c>
      <c r="AK509" s="487">
        <f t="shared" si="837"/>
        <v>98</v>
      </c>
      <c r="AL509" s="487">
        <f t="shared" si="560"/>
        <v>980</v>
      </c>
      <c r="AM509" s="316">
        <f t="shared" si="721"/>
        <v>441</v>
      </c>
      <c r="AN509" s="316">
        <f t="shared" si="722"/>
        <v>0</v>
      </c>
      <c r="AO509" s="316">
        <f t="shared" si="723"/>
        <v>441</v>
      </c>
      <c r="AP509" s="316">
        <f t="shared" si="724"/>
        <v>0</v>
      </c>
      <c r="AQ509" s="186" t="s">
        <v>898</v>
      </c>
      <c r="AR509" s="186" t="s">
        <v>420</v>
      </c>
    </row>
    <row r="510" spans="1:47" s="186" customFormat="1" x14ac:dyDescent="0.35">
      <c r="A510" s="408">
        <v>3</v>
      </c>
      <c r="B510" s="409" t="s">
        <v>421</v>
      </c>
      <c r="C510" s="409" t="s">
        <v>422</v>
      </c>
      <c r="D510" s="565">
        <v>50</v>
      </c>
      <c r="E510" s="411">
        <v>2</v>
      </c>
      <c r="F510" s="412">
        <v>2</v>
      </c>
      <c r="G510" s="503">
        <v>0.9</v>
      </c>
      <c r="H510" s="503">
        <v>0.1</v>
      </c>
      <c r="I510" s="416">
        <f t="shared" si="838"/>
        <v>180</v>
      </c>
      <c r="J510" s="487">
        <f t="shared" si="839"/>
        <v>20</v>
      </c>
      <c r="K510" s="487">
        <f t="shared" si="840"/>
        <v>180</v>
      </c>
      <c r="L510" s="487"/>
      <c r="M510" s="487"/>
      <c r="N510" s="416">
        <v>0</v>
      </c>
      <c r="O510" s="417" t="s">
        <v>1573</v>
      </c>
      <c r="Q510" s="409" t="s">
        <v>422</v>
      </c>
      <c r="R510" s="565">
        <v>50</v>
      </c>
      <c r="S510" s="411">
        <v>2</v>
      </c>
      <c r="T510" s="412">
        <v>2</v>
      </c>
      <c r="U510" s="503">
        <v>0.9</v>
      </c>
      <c r="V510" s="503">
        <v>0.1</v>
      </c>
      <c r="W510" s="506">
        <f t="shared" si="841"/>
        <v>180</v>
      </c>
      <c r="X510" s="487">
        <f t="shared" si="842"/>
        <v>20</v>
      </c>
      <c r="Y510" s="487">
        <f t="shared" si="843"/>
        <v>90</v>
      </c>
      <c r="Z510" s="487">
        <f t="shared" si="844"/>
        <v>90</v>
      </c>
      <c r="AA510" s="487"/>
      <c r="AB510" s="416">
        <v>0</v>
      </c>
      <c r="AC510" s="417" t="s">
        <v>1573</v>
      </c>
      <c r="AD510" s="227"/>
      <c r="AE510" s="241">
        <v>3</v>
      </c>
      <c r="AF510" s="204" t="str">
        <f t="shared" si="735"/>
        <v>Location salle</v>
      </c>
      <c r="AG510" s="486">
        <f t="shared" si="818"/>
        <v>0.9</v>
      </c>
      <c r="AH510" s="486">
        <f t="shared" si="819"/>
        <v>0.1</v>
      </c>
      <c r="AI510" s="506">
        <f t="shared" si="814"/>
        <v>360</v>
      </c>
      <c r="AJ510" s="506">
        <f t="shared" si="694"/>
        <v>0</v>
      </c>
      <c r="AK510" s="487">
        <f t="shared" si="837"/>
        <v>40</v>
      </c>
      <c r="AL510" s="487">
        <f t="shared" si="560"/>
        <v>400</v>
      </c>
      <c r="AM510" s="316">
        <f t="shared" si="721"/>
        <v>180</v>
      </c>
      <c r="AN510" s="316">
        <f t="shared" si="722"/>
        <v>0</v>
      </c>
      <c r="AO510" s="316">
        <f t="shared" si="723"/>
        <v>180</v>
      </c>
      <c r="AP510" s="316">
        <f t="shared" si="724"/>
        <v>0</v>
      </c>
      <c r="AQ510" s="186" t="s">
        <v>898</v>
      </c>
      <c r="AR510" s="186" t="s">
        <v>420</v>
      </c>
    </row>
    <row r="511" spans="1:47" s="186" customFormat="1" x14ac:dyDescent="0.35">
      <c r="A511" s="408">
        <v>4</v>
      </c>
      <c r="B511" s="409" t="s">
        <v>426</v>
      </c>
      <c r="C511" s="409" t="s">
        <v>90</v>
      </c>
      <c r="D511" s="565">
        <v>5</v>
      </c>
      <c r="E511" s="411">
        <v>43</v>
      </c>
      <c r="F511" s="412">
        <v>2</v>
      </c>
      <c r="G511" s="503">
        <v>0.9</v>
      </c>
      <c r="H511" s="503">
        <v>0.1</v>
      </c>
      <c r="I511" s="416">
        <f t="shared" si="838"/>
        <v>387</v>
      </c>
      <c r="J511" s="487">
        <f t="shared" si="839"/>
        <v>43</v>
      </c>
      <c r="K511" s="487">
        <f t="shared" si="840"/>
        <v>387</v>
      </c>
      <c r="L511" s="487"/>
      <c r="M511" s="487"/>
      <c r="N511" s="416">
        <v>0</v>
      </c>
      <c r="O511" s="417" t="s">
        <v>1574</v>
      </c>
      <c r="Q511" s="409" t="s">
        <v>90</v>
      </c>
      <c r="R511" s="565">
        <v>5</v>
      </c>
      <c r="S511" s="411">
        <v>43</v>
      </c>
      <c r="T511" s="412">
        <v>2</v>
      </c>
      <c r="U511" s="503">
        <v>0.9</v>
      </c>
      <c r="V511" s="503">
        <v>0.1</v>
      </c>
      <c r="W511" s="506">
        <f t="shared" si="841"/>
        <v>387</v>
      </c>
      <c r="X511" s="487">
        <f t="shared" si="842"/>
        <v>43</v>
      </c>
      <c r="Y511" s="487">
        <f t="shared" si="843"/>
        <v>193.5</v>
      </c>
      <c r="Z511" s="487">
        <f t="shared" si="844"/>
        <v>193.5</v>
      </c>
      <c r="AA511" s="487"/>
      <c r="AB511" s="416">
        <v>0</v>
      </c>
      <c r="AC511" s="417" t="s">
        <v>1574</v>
      </c>
      <c r="AD511" s="227"/>
      <c r="AE511" s="241">
        <v>4</v>
      </c>
      <c r="AF511" s="204" t="str">
        <f t="shared" si="735"/>
        <v>Transport des participants</v>
      </c>
      <c r="AG511" s="486">
        <f t="shared" si="818"/>
        <v>0.9</v>
      </c>
      <c r="AH511" s="486">
        <f t="shared" si="819"/>
        <v>0.1</v>
      </c>
      <c r="AI511" s="506">
        <f t="shared" si="814"/>
        <v>774</v>
      </c>
      <c r="AJ511" s="506">
        <f t="shared" si="694"/>
        <v>0</v>
      </c>
      <c r="AK511" s="487">
        <f t="shared" si="837"/>
        <v>86</v>
      </c>
      <c r="AL511" s="487">
        <f t="shared" si="560"/>
        <v>860</v>
      </c>
      <c r="AM511" s="316">
        <f t="shared" si="721"/>
        <v>387</v>
      </c>
      <c r="AN511" s="316">
        <f t="shared" si="722"/>
        <v>0</v>
      </c>
      <c r="AO511" s="316">
        <f t="shared" si="723"/>
        <v>387</v>
      </c>
      <c r="AP511" s="316">
        <f t="shared" si="724"/>
        <v>0</v>
      </c>
      <c r="AQ511" s="186" t="s">
        <v>898</v>
      </c>
      <c r="AR511" s="186" t="s">
        <v>420</v>
      </c>
    </row>
    <row r="512" spans="1:47" s="186" customFormat="1" x14ac:dyDescent="0.35">
      <c r="A512" s="408">
        <v>5</v>
      </c>
      <c r="B512" s="409" t="s">
        <v>1575</v>
      </c>
      <c r="C512" s="409" t="s">
        <v>90</v>
      </c>
      <c r="D512" s="565">
        <v>2</v>
      </c>
      <c r="E512" s="411">
        <v>4</v>
      </c>
      <c r="F512" s="412">
        <v>12.5</v>
      </c>
      <c r="G512" s="503">
        <v>0.9</v>
      </c>
      <c r="H512" s="503">
        <v>0.1</v>
      </c>
      <c r="I512" s="416">
        <f t="shared" si="838"/>
        <v>90</v>
      </c>
      <c r="J512" s="487">
        <f t="shared" si="839"/>
        <v>10</v>
      </c>
      <c r="K512" s="487">
        <f t="shared" si="840"/>
        <v>90</v>
      </c>
      <c r="L512" s="487"/>
      <c r="M512" s="487"/>
      <c r="N512" s="416">
        <v>0</v>
      </c>
      <c r="O512" s="417" t="s">
        <v>1576</v>
      </c>
      <c r="Q512" s="409" t="s">
        <v>90</v>
      </c>
      <c r="R512" s="565">
        <v>2</v>
      </c>
      <c r="S512" s="411">
        <v>4</v>
      </c>
      <c r="T512" s="412">
        <v>12.5</v>
      </c>
      <c r="U512" s="503">
        <v>0.9</v>
      </c>
      <c r="V512" s="503">
        <v>0.1</v>
      </c>
      <c r="W512" s="506">
        <f t="shared" si="841"/>
        <v>90</v>
      </c>
      <c r="X512" s="487">
        <f t="shared" si="842"/>
        <v>10</v>
      </c>
      <c r="Y512" s="487">
        <f t="shared" si="843"/>
        <v>45</v>
      </c>
      <c r="Z512" s="487">
        <f t="shared" si="844"/>
        <v>45</v>
      </c>
      <c r="AA512" s="487"/>
      <c r="AB512" s="416">
        <v>0</v>
      </c>
      <c r="AC512" s="417" t="s">
        <v>1576</v>
      </c>
      <c r="AD512" s="227"/>
      <c r="AE512" s="241">
        <v>5</v>
      </c>
      <c r="AF512" s="204" t="str">
        <f t="shared" si="735"/>
        <v>Emolument formateurs du Pronanut</v>
      </c>
      <c r="AG512" s="486">
        <f t="shared" si="818"/>
        <v>0.9</v>
      </c>
      <c r="AH512" s="486">
        <f t="shared" si="819"/>
        <v>0.1</v>
      </c>
      <c r="AI512" s="506">
        <f t="shared" si="814"/>
        <v>180</v>
      </c>
      <c r="AJ512" s="506">
        <f t="shared" si="694"/>
        <v>0</v>
      </c>
      <c r="AK512" s="487">
        <f t="shared" si="837"/>
        <v>20</v>
      </c>
      <c r="AL512" s="487">
        <f t="shared" si="560"/>
        <v>200</v>
      </c>
      <c r="AM512" s="316">
        <f t="shared" si="721"/>
        <v>90</v>
      </c>
      <c r="AN512" s="316">
        <f t="shared" si="722"/>
        <v>0</v>
      </c>
      <c r="AO512" s="316">
        <f t="shared" si="723"/>
        <v>90</v>
      </c>
      <c r="AP512" s="316">
        <f t="shared" si="724"/>
        <v>0</v>
      </c>
      <c r="AQ512" s="186" t="s">
        <v>898</v>
      </c>
      <c r="AR512" s="186" t="s">
        <v>420</v>
      </c>
    </row>
    <row r="513" spans="1:47" s="186" customFormat="1" x14ac:dyDescent="0.35">
      <c r="A513" s="408">
        <v>6</v>
      </c>
      <c r="B513" s="409" t="s">
        <v>1577</v>
      </c>
      <c r="C513" s="409" t="s">
        <v>963</v>
      </c>
      <c r="D513" s="565">
        <v>53</v>
      </c>
      <c r="E513" s="411">
        <v>5</v>
      </c>
      <c r="F513" s="412">
        <v>2</v>
      </c>
      <c r="G513" s="503">
        <v>0.9</v>
      </c>
      <c r="H513" s="503">
        <v>0.1</v>
      </c>
      <c r="I513" s="416">
        <f t="shared" si="838"/>
        <v>477</v>
      </c>
      <c r="J513" s="487">
        <f t="shared" si="839"/>
        <v>53</v>
      </c>
      <c r="K513" s="487">
        <f t="shared" si="840"/>
        <v>477</v>
      </c>
      <c r="L513" s="487"/>
      <c r="M513" s="487"/>
      <c r="N513" s="416">
        <v>0</v>
      </c>
      <c r="O513" s="417" t="s">
        <v>1578</v>
      </c>
      <c r="Q513" s="409" t="s">
        <v>963</v>
      </c>
      <c r="R513" s="565">
        <v>53</v>
      </c>
      <c r="S513" s="411">
        <v>5</v>
      </c>
      <c r="T513" s="412">
        <v>2</v>
      </c>
      <c r="U513" s="503">
        <v>0.9</v>
      </c>
      <c r="V513" s="503">
        <v>0.1</v>
      </c>
      <c r="W513" s="506">
        <f t="shared" si="841"/>
        <v>477</v>
      </c>
      <c r="X513" s="487">
        <f t="shared" si="842"/>
        <v>53</v>
      </c>
      <c r="Y513" s="487">
        <f t="shared" si="843"/>
        <v>238.5</v>
      </c>
      <c r="Z513" s="487">
        <f t="shared" si="844"/>
        <v>238.5</v>
      </c>
      <c r="AA513" s="487"/>
      <c r="AB513" s="416">
        <v>0</v>
      </c>
      <c r="AC513" s="417" t="s">
        <v>1578</v>
      </c>
      <c r="AD513" s="227"/>
      <c r="AE513" s="241">
        <v>6</v>
      </c>
      <c r="AF513" s="204" t="str">
        <f t="shared" si="735"/>
        <v>DSA des formateurs Pronanut</v>
      </c>
      <c r="AG513" s="486">
        <f t="shared" si="818"/>
        <v>0.9</v>
      </c>
      <c r="AH513" s="486">
        <f t="shared" si="819"/>
        <v>0.1</v>
      </c>
      <c r="AI513" s="506">
        <f t="shared" si="814"/>
        <v>954</v>
      </c>
      <c r="AJ513" s="506">
        <f t="shared" si="694"/>
        <v>0</v>
      </c>
      <c r="AK513" s="487">
        <f t="shared" si="837"/>
        <v>106</v>
      </c>
      <c r="AL513" s="487">
        <f t="shared" si="560"/>
        <v>1060</v>
      </c>
      <c r="AM513" s="316">
        <f t="shared" si="721"/>
        <v>477</v>
      </c>
      <c r="AN513" s="316">
        <f t="shared" si="722"/>
        <v>0</v>
      </c>
      <c r="AO513" s="316">
        <f t="shared" si="723"/>
        <v>477</v>
      </c>
      <c r="AP513" s="316">
        <f t="shared" si="724"/>
        <v>0</v>
      </c>
      <c r="AQ513" s="186" t="s">
        <v>898</v>
      </c>
      <c r="AR513" s="186" t="s">
        <v>420</v>
      </c>
    </row>
    <row r="514" spans="1:47" s="186" customFormat="1" x14ac:dyDescent="0.35">
      <c r="A514" s="408">
        <v>7</v>
      </c>
      <c r="B514" s="409" t="s">
        <v>424</v>
      </c>
      <c r="C514" s="409" t="s">
        <v>425</v>
      </c>
      <c r="D514" s="566">
        <v>2.5</v>
      </c>
      <c r="E514" s="411">
        <v>47</v>
      </c>
      <c r="F514" s="412">
        <v>1</v>
      </c>
      <c r="G514" s="503">
        <v>0.9</v>
      </c>
      <c r="H514" s="503">
        <v>0.1</v>
      </c>
      <c r="I514" s="416">
        <f t="shared" si="838"/>
        <v>105.75</v>
      </c>
      <c r="J514" s="487">
        <f t="shared" si="839"/>
        <v>11.75</v>
      </c>
      <c r="K514" s="487">
        <f t="shared" si="840"/>
        <v>105.75</v>
      </c>
      <c r="L514" s="487"/>
      <c r="M514" s="487"/>
      <c r="N514" s="416">
        <v>0</v>
      </c>
      <c r="O514" s="417" t="s">
        <v>1579</v>
      </c>
      <c r="Q514" s="409" t="s">
        <v>425</v>
      </c>
      <c r="R514" s="566">
        <v>2.5</v>
      </c>
      <c r="S514" s="411">
        <v>47</v>
      </c>
      <c r="T514" s="412">
        <v>1</v>
      </c>
      <c r="U514" s="503">
        <v>0.9</v>
      </c>
      <c r="V514" s="503">
        <v>0.1</v>
      </c>
      <c r="W514" s="506">
        <f t="shared" si="841"/>
        <v>105.75</v>
      </c>
      <c r="X514" s="487">
        <f t="shared" si="842"/>
        <v>11.75</v>
      </c>
      <c r="Y514" s="487">
        <f t="shared" si="843"/>
        <v>52.875</v>
      </c>
      <c r="Z514" s="487">
        <f t="shared" si="844"/>
        <v>52.875</v>
      </c>
      <c r="AA514" s="487"/>
      <c r="AB514" s="416">
        <v>0</v>
      </c>
      <c r="AC514" s="417" t="s">
        <v>1579</v>
      </c>
      <c r="AD514" s="227"/>
      <c r="AE514" s="241">
        <v>7</v>
      </c>
      <c r="AF514" s="204" t="str">
        <f t="shared" si="735"/>
        <v>Kits participants</v>
      </c>
      <c r="AG514" s="486">
        <f t="shared" si="818"/>
        <v>0.9</v>
      </c>
      <c r="AH514" s="486">
        <f t="shared" si="819"/>
        <v>0.1</v>
      </c>
      <c r="AI514" s="506">
        <f t="shared" si="814"/>
        <v>211.5</v>
      </c>
      <c r="AJ514" s="506">
        <f t="shared" si="694"/>
        <v>0</v>
      </c>
      <c r="AK514" s="487">
        <f t="shared" si="837"/>
        <v>23.5</v>
      </c>
      <c r="AL514" s="487">
        <f t="shared" ref="AL514:AL575" si="845">AI514+AJ514+AK514</f>
        <v>235</v>
      </c>
      <c r="AM514" s="316">
        <f t="shared" si="721"/>
        <v>105.75</v>
      </c>
      <c r="AN514" s="316">
        <f t="shared" si="722"/>
        <v>0</v>
      </c>
      <c r="AO514" s="316">
        <f t="shared" si="723"/>
        <v>105.75</v>
      </c>
      <c r="AP514" s="316">
        <f t="shared" si="724"/>
        <v>0</v>
      </c>
      <c r="AQ514" s="186" t="s">
        <v>898</v>
      </c>
      <c r="AR514" s="186" t="s">
        <v>420</v>
      </c>
    </row>
    <row r="515" spans="1:47" ht="30" customHeight="1" x14ac:dyDescent="0.3">
      <c r="A515" s="480" t="s">
        <v>1580</v>
      </c>
      <c r="B515" s="861" t="s">
        <v>1581</v>
      </c>
      <c r="C515" s="862"/>
      <c r="D515" s="862"/>
      <c r="E515" s="862"/>
      <c r="F515" s="862"/>
      <c r="G515" s="862"/>
      <c r="H515" s="863"/>
      <c r="I515" s="481">
        <f t="shared" ref="I515:N515" si="846">SUM(I516:I521)</f>
        <v>1113.75</v>
      </c>
      <c r="J515" s="482">
        <f t="shared" si="846"/>
        <v>123.75</v>
      </c>
      <c r="K515" s="482">
        <f t="shared" si="846"/>
        <v>1113.75</v>
      </c>
      <c r="L515" s="482">
        <f t="shared" si="846"/>
        <v>0</v>
      </c>
      <c r="M515" s="482">
        <f t="shared" si="846"/>
        <v>0</v>
      </c>
      <c r="N515" s="481">
        <f t="shared" si="846"/>
        <v>0</v>
      </c>
      <c r="O515" s="508"/>
      <c r="Q515" s="538"/>
      <c r="R515" s="539"/>
      <c r="S515" s="538"/>
      <c r="T515" s="539"/>
      <c r="U515" s="539"/>
      <c r="V515" s="484"/>
      <c r="W515" s="482">
        <f t="shared" ref="W515:X515" si="847">SUM(W516:W521)</f>
        <v>1113.75</v>
      </c>
      <c r="X515" s="482">
        <f t="shared" si="847"/>
        <v>123.75</v>
      </c>
      <c r="Y515" s="482">
        <f>SUM(Y516:Y521)</f>
        <v>556.875</v>
      </c>
      <c r="Z515" s="482">
        <f t="shared" ref="Z515:AB515" si="848">SUM(Z516:Z521)</f>
        <v>556.875</v>
      </c>
      <c r="AA515" s="482">
        <f t="shared" si="848"/>
        <v>0</v>
      </c>
      <c r="AB515" s="481">
        <f t="shared" si="848"/>
        <v>0</v>
      </c>
      <c r="AC515" s="508"/>
      <c r="AD515" s="234"/>
      <c r="AE515" s="247" t="s">
        <v>1580</v>
      </c>
      <c r="AF515" s="204" t="str">
        <f t="shared" si="735"/>
        <v>Soutenir la formation de 50 formateurs en éducation à la paix (2 proved, 2 sous-provised, 2 IPP, 2 IPPAF, 2 PF, 36 inspecteurs et 4 coordinateurs)</v>
      </c>
      <c r="AG515" s="485">
        <f t="shared" si="818"/>
        <v>0.9</v>
      </c>
      <c r="AH515" s="485">
        <f t="shared" si="819"/>
        <v>0.1</v>
      </c>
      <c r="AI515" s="482">
        <f t="shared" si="814"/>
        <v>2227.5</v>
      </c>
      <c r="AJ515" s="482">
        <f t="shared" ref="AJ515:AJ565" si="849">N515+AB515</f>
        <v>0</v>
      </c>
      <c r="AK515" s="482">
        <f t="shared" si="837"/>
        <v>247.5</v>
      </c>
      <c r="AL515" s="482">
        <f t="shared" si="845"/>
        <v>2475</v>
      </c>
      <c r="AM515" s="314">
        <f t="shared" si="721"/>
        <v>1113.75</v>
      </c>
      <c r="AN515" s="314">
        <f t="shared" si="722"/>
        <v>0</v>
      </c>
      <c r="AO515" s="314">
        <f t="shared" si="723"/>
        <v>1113.75</v>
      </c>
      <c r="AP515" s="314">
        <f t="shared" si="724"/>
        <v>0</v>
      </c>
    </row>
    <row r="516" spans="1:47" s="186" customFormat="1" ht="26" x14ac:dyDescent="0.35">
      <c r="A516" s="408">
        <v>1</v>
      </c>
      <c r="B516" s="409" t="s">
        <v>1582</v>
      </c>
      <c r="C516" s="409" t="s">
        <v>387</v>
      </c>
      <c r="D516" s="410">
        <v>50</v>
      </c>
      <c r="E516" s="411">
        <v>3</v>
      </c>
      <c r="F516" s="412">
        <v>1</v>
      </c>
      <c r="G516" s="503">
        <v>0.9</v>
      </c>
      <c r="H516" s="503">
        <v>0.1</v>
      </c>
      <c r="I516" s="416">
        <f t="shared" ref="I516:I521" si="850">D516*E516*F516*G516</f>
        <v>135</v>
      </c>
      <c r="J516" s="487">
        <f t="shared" ref="J516:J521" si="851">D516*E516*F516*H516</f>
        <v>15</v>
      </c>
      <c r="K516" s="487">
        <f t="shared" ref="K516:K521" si="852">I516</f>
        <v>135</v>
      </c>
      <c r="L516" s="487"/>
      <c r="M516" s="487"/>
      <c r="N516" s="416">
        <v>0</v>
      </c>
      <c r="O516" s="417" t="s">
        <v>1583</v>
      </c>
      <c r="Q516" s="409" t="s">
        <v>387</v>
      </c>
      <c r="R516" s="410">
        <v>50</v>
      </c>
      <c r="S516" s="411">
        <v>3</v>
      </c>
      <c r="T516" s="412">
        <v>1</v>
      </c>
      <c r="U516" s="503">
        <v>0.9</v>
      </c>
      <c r="V516" s="503">
        <v>0.1</v>
      </c>
      <c r="W516" s="506">
        <f t="shared" ref="W516:W521" si="853">R516*S516*T516*U516</f>
        <v>135</v>
      </c>
      <c r="X516" s="487">
        <f t="shared" ref="X516:X521" si="854">R516*S516*T516*V516</f>
        <v>15</v>
      </c>
      <c r="Y516" s="487">
        <f t="shared" ref="Y516:Y521" si="855">W516*50/100</f>
        <v>67.5</v>
      </c>
      <c r="Z516" s="487">
        <f t="shared" ref="Z516:Z521" si="856">W516*50/100</f>
        <v>67.5</v>
      </c>
      <c r="AA516" s="487"/>
      <c r="AB516" s="416">
        <v>0</v>
      </c>
      <c r="AC516" s="417" t="s">
        <v>1583</v>
      </c>
      <c r="AD516" s="227"/>
      <c r="AE516" s="241">
        <v>1</v>
      </c>
      <c r="AF516" s="204" t="str">
        <f t="shared" si="735"/>
        <v>Lieux de formation - à réaliser en 2 lieux en raison des protocoles COVID-19 (30 $/ lieu)</v>
      </c>
      <c r="AG516" s="486">
        <f t="shared" si="818"/>
        <v>0.9</v>
      </c>
      <c r="AH516" s="486">
        <f t="shared" si="819"/>
        <v>0.1</v>
      </c>
      <c r="AI516" s="506">
        <f t="shared" si="814"/>
        <v>270</v>
      </c>
      <c r="AJ516" s="506">
        <f t="shared" si="849"/>
        <v>0</v>
      </c>
      <c r="AK516" s="487">
        <f t="shared" si="837"/>
        <v>30</v>
      </c>
      <c r="AL516" s="487">
        <f t="shared" si="845"/>
        <v>300</v>
      </c>
      <c r="AM516" s="316">
        <f t="shared" si="721"/>
        <v>135</v>
      </c>
      <c r="AN516" s="316">
        <f t="shared" si="722"/>
        <v>0</v>
      </c>
      <c r="AO516" s="316">
        <f t="shared" si="723"/>
        <v>135</v>
      </c>
      <c r="AP516" s="316">
        <f t="shared" si="724"/>
        <v>0</v>
      </c>
      <c r="AQ516" s="186" t="s">
        <v>898</v>
      </c>
      <c r="AR516" s="186" t="s">
        <v>349</v>
      </c>
    </row>
    <row r="517" spans="1:47" s="186" customFormat="1" x14ac:dyDescent="0.35">
      <c r="A517" s="408">
        <v>2</v>
      </c>
      <c r="B517" s="409" t="s">
        <v>1584</v>
      </c>
      <c r="C517" s="409" t="s">
        <v>399</v>
      </c>
      <c r="D517" s="410">
        <v>2</v>
      </c>
      <c r="E517" s="411">
        <v>3</v>
      </c>
      <c r="F517" s="412">
        <v>25</v>
      </c>
      <c r="G517" s="503">
        <v>0.9</v>
      </c>
      <c r="H517" s="503">
        <v>0.1</v>
      </c>
      <c r="I517" s="416">
        <f t="shared" si="850"/>
        <v>135</v>
      </c>
      <c r="J517" s="487">
        <f t="shared" si="851"/>
        <v>15</v>
      </c>
      <c r="K517" s="487">
        <f t="shared" si="852"/>
        <v>135</v>
      </c>
      <c r="L517" s="487"/>
      <c r="M517" s="487"/>
      <c r="N517" s="416">
        <v>0</v>
      </c>
      <c r="O517" s="417" t="s">
        <v>1585</v>
      </c>
      <c r="Q517" s="409" t="s">
        <v>399</v>
      </c>
      <c r="R517" s="410">
        <v>2</v>
      </c>
      <c r="S517" s="411">
        <v>3</v>
      </c>
      <c r="T517" s="412">
        <v>25</v>
      </c>
      <c r="U517" s="503">
        <v>0.9</v>
      </c>
      <c r="V517" s="503">
        <v>0.1</v>
      </c>
      <c r="W517" s="506">
        <f t="shared" si="853"/>
        <v>135</v>
      </c>
      <c r="X517" s="487">
        <f t="shared" si="854"/>
        <v>15</v>
      </c>
      <c r="Y517" s="487">
        <f t="shared" si="855"/>
        <v>67.5</v>
      </c>
      <c r="Z517" s="487">
        <f t="shared" si="856"/>
        <v>67.5</v>
      </c>
      <c r="AA517" s="487"/>
      <c r="AB517" s="416">
        <v>0</v>
      </c>
      <c r="AC517" s="417" t="s">
        <v>1585</v>
      </c>
      <c r="AD517" s="227"/>
      <c r="AE517" s="241">
        <v>2</v>
      </c>
      <c r="AF517" s="204" t="str">
        <f t="shared" si="735"/>
        <v xml:space="preserve">Pausse Café </v>
      </c>
      <c r="AG517" s="486">
        <f t="shared" si="818"/>
        <v>0.9</v>
      </c>
      <c r="AH517" s="486">
        <f t="shared" si="819"/>
        <v>0.1</v>
      </c>
      <c r="AI517" s="506">
        <f t="shared" si="814"/>
        <v>270</v>
      </c>
      <c r="AJ517" s="506">
        <f t="shared" si="849"/>
        <v>0</v>
      </c>
      <c r="AK517" s="487">
        <f t="shared" si="837"/>
        <v>30</v>
      </c>
      <c r="AL517" s="487">
        <f t="shared" si="845"/>
        <v>300</v>
      </c>
      <c r="AM517" s="316">
        <f t="shared" si="721"/>
        <v>135</v>
      </c>
      <c r="AN517" s="316">
        <f t="shared" si="722"/>
        <v>0</v>
      </c>
      <c r="AO517" s="316">
        <f t="shared" si="723"/>
        <v>135</v>
      </c>
      <c r="AP517" s="316">
        <f t="shared" si="724"/>
        <v>0</v>
      </c>
      <c r="AQ517" s="186" t="s">
        <v>898</v>
      </c>
      <c r="AR517" s="186" t="s">
        <v>349</v>
      </c>
    </row>
    <row r="518" spans="1:47" s="186" customFormat="1" x14ac:dyDescent="0.35">
      <c r="A518" s="408">
        <v>3</v>
      </c>
      <c r="B518" s="409" t="s">
        <v>1586</v>
      </c>
      <c r="C518" s="409" t="s">
        <v>355</v>
      </c>
      <c r="D518" s="410">
        <v>5</v>
      </c>
      <c r="E518" s="411">
        <v>3</v>
      </c>
      <c r="F518" s="412">
        <v>25</v>
      </c>
      <c r="G518" s="503">
        <v>0.9</v>
      </c>
      <c r="H518" s="503">
        <v>0.1</v>
      </c>
      <c r="I518" s="416">
        <f t="shared" si="850"/>
        <v>337.5</v>
      </c>
      <c r="J518" s="487">
        <f t="shared" si="851"/>
        <v>37.5</v>
      </c>
      <c r="K518" s="487">
        <f t="shared" si="852"/>
        <v>337.5</v>
      </c>
      <c r="L518" s="487"/>
      <c r="M518" s="487"/>
      <c r="N518" s="416">
        <v>0</v>
      </c>
      <c r="O518" s="417" t="s">
        <v>1587</v>
      </c>
      <c r="Q518" s="409" t="s">
        <v>355</v>
      </c>
      <c r="R518" s="410">
        <v>5</v>
      </c>
      <c r="S518" s="411">
        <v>3</v>
      </c>
      <c r="T518" s="412">
        <v>25</v>
      </c>
      <c r="U518" s="503">
        <v>0.9</v>
      </c>
      <c r="V518" s="503">
        <v>0.1</v>
      </c>
      <c r="W518" s="506">
        <f t="shared" si="853"/>
        <v>337.5</v>
      </c>
      <c r="X518" s="487">
        <f t="shared" si="854"/>
        <v>37.5</v>
      </c>
      <c r="Y518" s="487">
        <f t="shared" si="855"/>
        <v>168.75</v>
      </c>
      <c r="Z518" s="487">
        <f t="shared" si="856"/>
        <v>168.75</v>
      </c>
      <c r="AA518" s="487"/>
      <c r="AB518" s="416">
        <v>0</v>
      </c>
      <c r="AC518" s="417" t="s">
        <v>1587</v>
      </c>
      <c r="AD518" s="227"/>
      <c r="AE518" s="241">
        <v>3</v>
      </c>
      <c r="AF518" s="204" t="str">
        <f t="shared" si="735"/>
        <v>Repas pour les participants à la formation</v>
      </c>
      <c r="AG518" s="486">
        <f t="shared" si="818"/>
        <v>0.9</v>
      </c>
      <c r="AH518" s="486">
        <f t="shared" si="819"/>
        <v>0.1</v>
      </c>
      <c r="AI518" s="506">
        <f t="shared" si="814"/>
        <v>675</v>
      </c>
      <c r="AJ518" s="506">
        <f t="shared" si="849"/>
        <v>0</v>
      </c>
      <c r="AK518" s="487">
        <f t="shared" si="837"/>
        <v>75</v>
      </c>
      <c r="AL518" s="487">
        <f t="shared" si="845"/>
        <v>750</v>
      </c>
      <c r="AM518" s="316">
        <f t="shared" si="721"/>
        <v>337.5</v>
      </c>
      <c r="AN518" s="316">
        <f t="shared" si="722"/>
        <v>0</v>
      </c>
      <c r="AO518" s="316">
        <f t="shared" si="723"/>
        <v>337.5</v>
      </c>
      <c r="AP518" s="316">
        <f t="shared" si="724"/>
        <v>0</v>
      </c>
      <c r="AQ518" s="186" t="s">
        <v>898</v>
      </c>
      <c r="AR518" s="186" t="s">
        <v>349</v>
      </c>
    </row>
    <row r="519" spans="1:47" s="186" customFormat="1" x14ac:dyDescent="0.35">
      <c r="A519" s="408">
        <v>4</v>
      </c>
      <c r="B519" s="409" t="s">
        <v>1588</v>
      </c>
      <c r="C519" s="409" t="s">
        <v>352</v>
      </c>
      <c r="D519" s="410">
        <v>2.5</v>
      </c>
      <c r="E519" s="411">
        <v>1</v>
      </c>
      <c r="F519" s="412">
        <v>25</v>
      </c>
      <c r="G519" s="503">
        <v>0.9</v>
      </c>
      <c r="H519" s="503">
        <v>0.1</v>
      </c>
      <c r="I519" s="416">
        <f t="shared" si="850"/>
        <v>56.25</v>
      </c>
      <c r="J519" s="487">
        <f t="shared" si="851"/>
        <v>6.25</v>
      </c>
      <c r="K519" s="487">
        <f t="shared" si="852"/>
        <v>56.25</v>
      </c>
      <c r="L519" s="487"/>
      <c r="M519" s="487"/>
      <c r="N519" s="416">
        <v>0</v>
      </c>
      <c r="O519" s="417" t="s">
        <v>1589</v>
      </c>
      <c r="Q519" s="409" t="s">
        <v>352</v>
      </c>
      <c r="R519" s="410">
        <v>2.5</v>
      </c>
      <c r="S519" s="411">
        <v>1</v>
      </c>
      <c r="T519" s="412">
        <v>25</v>
      </c>
      <c r="U519" s="503">
        <v>0.9</v>
      </c>
      <c r="V519" s="503">
        <v>0.1</v>
      </c>
      <c r="W519" s="506">
        <f t="shared" si="853"/>
        <v>56.25</v>
      </c>
      <c r="X519" s="487">
        <f t="shared" si="854"/>
        <v>6.25</v>
      </c>
      <c r="Y519" s="487">
        <f t="shared" si="855"/>
        <v>28.125</v>
      </c>
      <c r="Z519" s="487">
        <f t="shared" si="856"/>
        <v>28.125</v>
      </c>
      <c r="AA519" s="487"/>
      <c r="AB519" s="416">
        <v>0</v>
      </c>
      <c r="AC519" s="417" t="s">
        <v>1589</v>
      </c>
      <c r="AD519" s="227"/>
      <c r="AE519" s="241">
        <v>4</v>
      </c>
      <c r="AF519" s="204" t="str">
        <f t="shared" si="735"/>
        <v xml:space="preserve">Matériel de formation pour les participants principaux </v>
      </c>
      <c r="AG519" s="486">
        <f t="shared" si="818"/>
        <v>0.9</v>
      </c>
      <c r="AH519" s="486">
        <f t="shared" si="819"/>
        <v>0.1</v>
      </c>
      <c r="AI519" s="506">
        <f t="shared" si="814"/>
        <v>112.5</v>
      </c>
      <c r="AJ519" s="506">
        <f t="shared" si="849"/>
        <v>0</v>
      </c>
      <c r="AK519" s="487">
        <f t="shared" si="837"/>
        <v>12.5</v>
      </c>
      <c r="AL519" s="487">
        <f t="shared" si="845"/>
        <v>125</v>
      </c>
      <c r="AM519" s="316">
        <f t="shared" si="721"/>
        <v>56.25</v>
      </c>
      <c r="AN519" s="316">
        <f t="shared" si="722"/>
        <v>0</v>
      </c>
      <c r="AO519" s="316">
        <f t="shared" si="723"/>
        <v>56.25</v>
      </c>
      <c r="AP519" s="316">
        <f t="shared" si="724"/>
        <v>0</v>
      </c>
      <c r="AQ519" s="186" t="s">
        <v>898</v>
      </c>
      <c r="AR519" s="186" t="s">
        <v>349</v>
      </c>
    </row>
    <row r="520" spans="1:47" s="186" customFormat="1" x14ac:dyDescent="0.35">
      <c r="A520" s="408">
        <v>5</v>
      </c>
      <c r="B520" s="409" t="s">
        <v>1590</v>
      </c>
      <c r="C520" s="409" t="s">
        <v>355</v>
      </c>
      <c r="D520" s="410">
        <v>5</v>
      </c>
      <c r="E520" s="411">
        <v>3</v>
      </c>
      <c r="F520" s="412">
        <v>25</v>
      </c>
      <c r="G520" s="503">
        <v>0.9</v>
      </c>
      <c r="H520" s="503">
        <v>0.1</v>
      </c>
      <c r="I520" s="416">
        <f t="shared" si="850"/>
        <v>337.5</v>
      </c>
      <c r="J520" s="487">
        <f t="shared" si="851"/>
        <v>37.5</v>
      </c>
      <c r="K520" s="487">
        <f t="shared" si="852"/>
        <v>337.5</v>
      </c>
      <c r="L520" s="487"/>
      <c r="M520" s="487"/>
      <c r="N520" s="416">
        <v>0</v>
      </c>
      <c r="O520" s="417" t="s">
        <v>1591</v>
      </c>
      <c r="Q520" s="409" t="s">
        <v>355</v>
      </c>
      <c r="R520" s="410">
        <v>5</v>
      </c>
      <c r="S520" s="411">
        <v>3</v>
      </c>
      <c r="T520" s="412">
        <v>25</v>
      </c>
      <c r="U520" s="503">
        <v>0.9</v>
      </c>
      <c r="V520" s="503">
        <v>0.1</v>
      </c>
      <c r="W520" s="506">
        <f t="shared" si="853"/>
        <v>337.5</v>
      </c>
      <c r="X520" s="487">
        <f t="shared" si="854"/>
        <v>37.5</v>
      </c>
      <c r="Y520" s="487">
        <f t="shared" si="855"/>
        <v>168.75</v>
      </c>
      <c r="Z520" s="487">
        <f t="shared" si="856"/>
        <v>168.75</v>
      </c>
      <c r="AA520" s="487"/>
      <c r="AB520" s="416">
        <v>0</v>
      </c>
      <c r="AC520" s="417" t="s">
        <v>1591</v>
      </c>
      <c r="AD520" s="227"/>
      <c r="AE520" s="241">
        <v>5</v>
      </c>
      <c r="AF520" s="204" t="str">
        <f t="shared" si="735"/>
        <v>Frais de transport pour les participants principaux</v>
      </c>
      <c r="AG520" s="486">
        <f t="shared" si="818"/>
        <v>0.9</v>
      </c>
      <c r="AH520" s="486">
        <f t="shared" si="819"/>
        <v>0.1</v>
      </c>
      <c r="AI520" s="506">
        <f t="shared" si="814"/>
        <v>675</v>
      </c>
      <c r="AJ520" s="506">
        <f t="shared" si="849"/>
        <v>0</v>
      </c>
      <c r="AK520" s="487">
        <f t="shared" si="837"/>
        <v>75</v>
      </c>
      <c r="AL520" s="487">
        <f t="shared" si="845"/>
        <v>750</v>
      </c>
      <c r="AM520" s="316">
        <f t="shared" si="721"/>
        <v>337.5</v>
      </c>
      <c r="AN520" s="316">
        <f t="shared" si="722"/>
        <v>0</v>
      </c>
      <c r="AO520" s="316">
        <f t="shared" si="723"/>
        <v>337.5</v>
      </c>
      <c r="AP520" s="316">
        <f t="shared" si="724"/>
        <v>0</v>
      </c>
      <c r="AQ520" s="186" t="s">
        <v>898</v>
      </c>
      <c r="AR520" s="186" t="s">
        <v>349</v>
      </c>
    </row>
    <row r="521" spans="1:47" s="186" customFormat="1" ht="26" x14ac:dyDescent="0.35">
      <c r="A521" s="408">
        <v>6</v>
      </c>
      <c r="B521" s="409" t="s">
        <v>1592</v>
      </c>
      <c r="C521" s="409" t="s">
        <v>355</v>
      </c>
      <c r="D521" s="410">
        <v>5</v>
      </c>
      <c r="E521" s="411">
        <v>1</v>
      </c>
      <c r="F521" s="412">
        <v>25</v>
      </c>
      <c r="G521" s="503">
        <v>0.9</v>
      </c>
      <c r="H521" s="503">
        <v>0.1</v>
      </c>
      <c r="I521" s="416">
        <f t="shared" si="850"/>
        <v>112.5</v>
      </c>
      <c r="J521" s="487">
        <f t="shared" si="851"/>
        <v>12.5</v>
      </c>
      <c r="K521" s="487">
        <f t="shared" si="852"/>
        <v>112.5</v>
      </c>
      <c r="L521" s="487"/>
      <c r="M521" s="487"/>
      <c r="N521" s="416">
        <v>0</v>
      </c>
      <c r="O521" s="417" t="s">
        <v>1593</v>
      </c>
      <c r="Q521" s="409" t="s">
        <v>355</v>
      </c>
      <c r="R521" s="410">
        <v>5</v>
      </c>
      <c r="S521" s="411">
        <v>1</v>
      </c>
      <c r="T521" s="412">
        <v>25</v>
      </c>
      <c r="U521" s="503">
        <v>0.9</v>
      </c>
      <c r="V521" s="503">
        <v>0.1</v>
      </c>
      <c r="W521" s="506">
        <f t="shared" si="853"/>
        <v>112.5</v>
      </c>
      <c r="X521" s="487">
        <f t="shared" si="854"/>
        <v>12.5</v>
      </c>
      <c r="Y521" s="487">
        <f t="shared" si="855"/>
        <v>56.25</v>
      </c>
      <c r="Z521" s="487">
        <f t="shared" si="856"/>
        <v>56.25</v>
      </c>
      <c r="AA521" s="487"/>
      <c r="AB521" s="416">
        <v>0</v>
      </c>
      <c r="AC521" s="417" t="s">
        <v>1593</v>
      </c>
      <c r="AD521" s="227"/>
      <c r="AE521" s="241">
        <v>6</v>
      </c>
      <c r="AF521" s="204" t="str">
        <f t="shared" si="735"/>
        <v>Impression de modules d'éducation à la paix pour 50 participants principaux et 4 facilitateurs - formation des formateurs</v>
      </c>
      <c r="AG521" s="486">
        <f t="shared" si="818"/>
        <v>0.9</v>
      </c>
      <c r="AH521" s="486">
        <f t="shared" si="819"/>
        <v>0.1</v>
      </c>
      <c r="AI521" s="506">
        <f t="shared" si="814"/>
        <v>225</v>
      </c>
      <c r="AJ521" s="506">
        <f t="shared" si="849"/>
        <v>0</v>
      </c>
      <c r="AK521" s="487">
        <f t="shared" si="837"/>
        <v>25</v>
      </c>
      <c r="AL521" s="487">
        <f t="shared" si="845"/>
        <v>250</v>
      </c>
      <c r="AM521" s="316">
        <f t="shared" si="721"/>
        <v>112.5</v>
      </c>
      <c r="AN521" s="316">
        <f t="shared" si="722"/>
        <v>0</v>
      </c>
      <c r="AO521" s="316">
        <f t="shared" si="723"/>
        <v>112.5</v>
      </c>
      <c r="AP521" s="316">
        <f t="shared" si="724"/>
        <v>0</v>
      </c>
      <c r="AQ521" s="186" t="s">
        <v>898</v>
      </c>
      <c r="AR521" s="186" t="s">
        <v>349</v>
      </c>
    </row>
    <row r="522" spans="1:47" s="173" customFormat="1" ht="45" customHeight="1" x14ac:dyDescent="0.3">
      <c r="A522" s="480" t="s">
        <v>1594</v>
      </c>
      <c r="B522" s="861" t="s">
        <v>1595</v>
      </c>
      <c r="C522" s="862"/>
      <c r="D522" s="862"/>
      <c r="E522" s="862"/>
      <c r="F522" s="862"/>
      <c r="G522" s="862"/>
      <c r="H522" s="863"/>
      <c r="I522" s="481">
        <f t="shared" ref="I522:J522" si="857">SUM(I523:I529)</f>
        <v>107892.5</v>
      </c>
      <c r="J522" s="482">
        <f t="shared" si="857"/>
        <v>0</v>
      </c>
      <c r="K522" s="482">
        <f>SUM(K523:K529)</f>
        <v>107892.5</v>
      </c>
      <c r="L522" s="482"/>
      <c r="M522" s="482"/>
      <c r="N522" s="481">
        <f t="shared" ref="N522" si="858">SUM(N523:N529)</f>
        <v>0</v>
      </c>
      <c r="O522" s="508"/>
      <c r="P522" s="168"/>
      <c r="Q522" s="538"/>
      <c r="R522" s="539"/>
      <c r="S522" s="538"/>
      <c r="T522" s="539"/>
      <c r="U522" s="539"/>
      <c r="V522" s="484"/>
      <c r="W522" s="482">
        <f t="shared" ref="W522:X522" si="859">SUM(W523:W529)</f>
        <v>311929.5</v>
      </c>
      <c r="X522" s="482">
        <f t="shared" si="859"/>
        <v>0</v>
      </c>
      <c r="Y522" s="482">
        <f>SUM(Y523:Y529)</f>
        <v>311929.5</v>
      </c>
      <c r="Z522" s="482">
        <f t="shared" ref="Z522:AB522" si="860">SUM(Z523:Z529)</f>
        <v>0</v>
      </c>
      <c r="AA522" s="482">
        <f t="shared" si="860"/>
        <v>0</v>
      </c>
      <c r="AB522" s="481">
        <f t="shared" si="860"/>
        <v>0</v>
      </c>
      <c r="AC522" s="508"/>
      <c r="AD522" s="234"/>
      <c r="AE522" s="247" t="s">
        <v>1594</v>
      </c>
      <c r="AF522" s="204" t="str">
        <f t="shared" si="735"/>
        <v>Former les membres des Equipes cadre des Zones de santé(ECZ), les représentants de sous-divisions éducationnelles, les Infirmiers Titulaires(IT), les Infirmiers Titulaires Adjoints(ITA) et les superviseurs de proximité sur la dynamique communautaire et la gestion des urgences au niveau communautaire dans les secteurs WASH, EDUCATION et NUTRITION, le Genre et la prévention des VBG et AES</v>
      </c>
      <c r="AG522" s="485">
        <f t="shared" si="818"/>
        <v>1</v>
      </c>
      <c r="AH522" s="485">
        <f t="shared" si="819"/>
        <v>0</v>
      </c>
      <c r="AI522" s="482">
        <f t="shared" si="814"/>
        <v>419822</v>
      </c>
      <c r="AJ522" s="482">
        <f t="shared" si="849"/>
        <v>0</v>
      </c>
      <c r="AK522" s="482">
        <f t="shared" si="837"/>
        <v>0</v>
      </c>
      <c r="AL522" s="482">
        <f t="shared" si="845"/>
        <v>419822</v>
      </c>
      <c r="AM522" s="314">
        <f t="shared" ref="AM522:AM585" si="861">I522</f>
        <v>107892.5</v>
      </c>
      <c r="AN522" s="314">
        <f t="shared" ref="AN522:AN585" si="862">N522</f>
        <v>0</v>
      </c>
      <c r="AO522" s="314">
        <f t="shared" ref="AO522:AO585" si="863">W522</f>
        <v>311929.5</v>
      </c>
      <c r="AP522" s="314">
        <f t="shared" ref="AP522:AP585" si="864">AB522</f>
        <v>0</v>
      </c>
      <c r="AT522" s="168"/>
      <c r="AU522" s="168"/>
    </row>
    <row r="523" spans="1:47" s="172" customFormat="1" ht="26" x14ac:dyDescent="0.3">
      <c r="A523" s="509">
        <v>1</v>
      </c>
      <c r="B523" s="510" t="s">
        <v>465</v>
      </c>
      <c r="C523" s="409" t="s">
        <v>90</v>
      </c>
      <c r="D523" s="536">
        <v>2</v>
      </c>
      <c r="E523" s="411">
        <v>75</v>
      </c>
      <c r="F523" s="572">
        <v>5</v>
      </c>
      <c r="G523" s="413">
        <v>1</v>
      </c>
      <c r="H523" s="413">
        <f t="shared" ref="H523:H529" si="865">100%-G523</f>
        <v>0</v>
      </c>
      <c r="I523" s="414">
        <f t="shared" ref="I523:I529" si="866">D523*E523*F523*G523</f>
        <v>750</v>
      </c>
      <c r="J523" s="415">
        <f t="shared" ref="J523:J529" si="867">D523*E523*F523*H523</f>
        <v>0</v>
      </c>
      <c r="K523" s="415">
        <f t="shared" ref="K523:K529" si="868">I523</f>
        <v>750</v>
      </c>
      <c r="L523" s="415"/>
      <c r="M523" s="415"/>
      <c r="N523" s="416">
        <v>0</v>
      </c>
      <c r="O523" s="507" t="s">
        <v>1596</v>
      </c>
      <c r="Q523" s="409" t="s">
        <v>90</v>
      </c>
      <c r="R523" s="516">
        <v>2</v>
      </c>
      <c r="S523" s="411">
        <v>77</v>
      </c>
      <c r="T523" s="557">
        <v>5</v>
      </c>
      <c r="U523" s="413">
        <v>1</v>
      </c>
      <c r="V523" s="413">
        <f t="shared" ref="V523:V529" si="869">100%-U523</f>
        <v>0</v>
      </c>
      <c r="W523" s="419">
        <f t="shared" ref="W523:W529" si="870">R523*S523*T523*U523</f>
        <v>770</v>
      </c>
      <c r="X523" s="415">
        <f t="shared" ref="X523:X529" si="871">R523*S523*T523*V523</f>
        <v>0</v>
      </c>
      <c r="Y523" s="415">
        <f>W523</f>
        <v>770</v>
      </c>
      <c r="Z523" s="415"/>
      <c r="AA523" s="415"/>
      <c r="AB523" s="416">
        <v>0</v>
      </c>
      <c r="AC523" s="417" t="s">
        <v>1597</v>
      </c>
      <c r="AD523" s="227"/>
      <c r="AE523" s="241">
        <v>1</v>
      </c>
      <c r="AF523" s="204" t="str">
        <f t="shared" si="735"/>
        <v xml:space="preserve">Pause café </v>
      </c>
      <c r="AG523" s="413">
        <f t="shared" si="818"/>
        <v>1</v>
      </c>
      <c r="AH523" s="413">
        <f t="shared" si="819"/>
        <v>0</v>
      </c>
      <c r="AI523" s="419">
        <f t="shared" si="814"/>
        <v>1520</v>
      </c>
      <c r="AJ523" s="419">
        <f t="shared" si="849"/>
        <v>0</v>
      </c>
      <c r="AK523" s="415">
        <f t="shared" si="837"/>
        <v>0</v>
      </c>
      <c r="AL523" s="415">
        <f t="shared" si="845"/>
        <v>1520</v>
      </c>
      <c r="AM523" s="323">
        <f t="shared" si="861"/>
        <v>750</v>
      </c>
      <c r="AN523" s="323">
        <f t="shared" si="862"/>
        <v>0</v>
      </c>
      <c r="AO523" s="323">
        <f t="shared" si="863"/>
        <v>770</v>
      </c>
      <c r="AP523" s="323">
        <f t="shared" si="864"/>
        <v>0</v>
      </c>
      <c r="AQ523" s="169" t="s">
        <v>1153</v>
      </c>
      <c r="AT523" s="169"/>
      <c r="AU523" s="169"/>
    </row>
    <row r="524" spans="1:47" s="172" customFormat="1" ht="26" x14ac:dyDescent="0.3">
      <c r="A524" s="509">
        <v>2</v>
      </c>
      <c r="B524" s="510" t="s">
        <v>486</v>
      </c>
      <c r="C524" s="409" t="s">
        <v>90</v>
      </c>
      <c r="D524" s="536">
        <v>5</v>
      </c>
      <c r="E524" s="411">
        <v>75</v>
      </c>
      <c r="F524" s="572">
        <v>5</v>
      </c>
      <c r="G524" s="413">
        <v>1</v>
      </c>
      <c r="H524" s="413">
        <f t="shared" si="865"/>
        <v>0</v>
      </c>
      <c r="I524" s="414">
        <f t="shared" si="866"/>
        <v>1875</v>
      </c>
      <c r="J524" s="415">
        <f t="shared" si="867"/>
        <v>0</v>
      </c>
      <c r="K524" s="415">
        <f t="shared" si="868"/>
        <v>1875</v>
      </c>
      <c r="L524" s="415"/>
      <c r="M524" s="415"/>
      <c r="N524" s="416">
        <v>0</v>
      </c>
      <c r="O524" s="507" t="s">
        <v>1598</v>
      </c>
      <c r="Q524" s="409" t="s">
        <v>90</v>
      </c>
      <c r="R524" s="516">
        <v>5</v>
      </c>
      <c r="S524" s="411">
        <v>77</v>
      </c>
      <c r="T524" s="557">
        <v>5</v>
      </c>
      <c r="U524" s="413">
        <v>1</v>
      </c>
      <c r="V524" s="413">
        <f t="shared" si="869"/>
        <v>0</v>
      </c>
      <c r="W524" s="419">
        <f t="shared" si="870"/>
        <v>1925</v>
      </c>
      <c r="X524" s="415">
        <f t="shared" si="871"/>
        <v>0</v>
      </c>
      <c r="Y524" s="415">
        <f t="shared" ref="Y524:Y529" si="872">W524</f>
        <v>1925</v>
      </c>
      <c r="Z524" s="415"/>
      <c r="AA524" s="415"/>
      <c r="AB524" s="416">
        <v>0</v>
      </c>
      <c r="AC524" s="417" t="s">
        <v>1599</v>
      </c>
      <c r="AD524" s="227"/>
      <c r="AE524" s="241">
        <v>2</v>
      </c>
      <c r="AF524" s="204" t="str">
        <f t="shared" ref="AF524:AF587" si="873">B524</f>
        <v xml:space="preserve">Pause repas </v>
      </c>
      <c r="AG524" s="413">
        <f t="shared" si="818"/>
        <v>1</v>
      </c>
      <c r="AH524" s="413">
        <f t="shared" si="819"/>
        <v>0</v>
      </c>
      <c r="AI524" s="419">
        <f t="shared" si="814"/>
        <v>3800</v>
      </c>
      <c r="AJ524" s="419">
        <f t="shared" si="849"/>
        <v>0</v>
      </c>
      <c r="AK524" s="415">
        <f t="shared" si="837"/>
        <v>0</v>
      </c>
      <c r="AL524" s="415">
        <f t="shared" si="845"/>
        <v>3800</v>
      </c>
      <c r="AM524" s="323">
        <f t="shared" si="861"/>
        <v>1875</v>
      </c>
      <c r="AN524" s="323">
        <f t="shared" si="862"/>
        <v>0</v>
      </c>
      <c r="AO524" s="323">
        <f t="shared" si="863"/>
        <v>1925</v>
      </c>
      <c r="AP524" s="323">
        <f t="shared" si="864"/>
        <v>0</v>
      </c>
      <c r="AQ524" s="169" t="s">
        <v>1153</v>
      </c>
      <c r="AT524" s="169"/>
      <c r="AU524" s="169"/>
    </row>
    <row r="525" spans="1:47" s="172" customFormat="1" x14ac:dyDescent="0.3">
      <c r="A525" s="509">
        <v>3</v>
      </c>
      <c r="B525" s="510" t="s">
        <v>450</v>
      </c>
      <c r="C525" s="409" t="s">
        <v>422</v>
      </c>
      <c r="D525" s="536">
        <v>50</v>
      </c>
      <c r="E525" s="411">
        <v>2</v>
      </c>
      <c r="F525" s="572">
        <v>5</v>
      </c>
      <c r="G525" s="413">
        <v>1</v>
      </c>
      <c r="H525" s="413">
        <f t="shared" si="865"/>
        <v>0</v>
      </c>
      <c r="I525" s="414">
        <f t="shared" si="866"/>
        <v>500</v>
      </c>
      <c r="J525" s="415">
        <f t="shared" si="867"/>
        <v>0</v>
      </c>
      <c r="K525" s="415">
        <f t="shared" si="868"/>
        <v>500</v>
      </c>
      <c r="L525" s="415"/>
      <c r="M525" s="415"/>
      <c r="N525" s="416">
        <v>0</v>
      </c>
      <c r="O525" s="507" t="s">
        <v>1600</v>
      </c>
      <c r="Q525" s="409" t="s">
        <v>422</v>
      </c>
      <c r="R525" s="516">
        <v>50</v>
      </c>
      <c r="S525" s="411">
        <v>2</v>
      </c>
      <c r="T525" s="557">
        <v>5</v>
      </c>
      <c r="U525" s="413">
        <v>1</v>
      </c>
      <c r="V525" s="413">
        <f t="shared" si="869"/>
        <v>0</v>
      </c>
      <c r="W525" s="419">
        <f t="shared" si="870"/>
        <v>500</v>
      </c>
      <c r="X525" s="415">
        <f t="shared" si="871"/>
        <v>0</v>
      </c>
      <c r="Y525" s="415">
        <f t="shared" si="872"/>
        <v>500</v>
      </c>
      <c r="Z525" s="415"/>
      <c r="AA525" s="415"/>
      <c r="AB525" s="416">
        <v>0</v>
      </c>
      <c r="AC525" s="417" t="s">
        <v>1601</v>
      </c>
      <c r="AD525" s="227"/>
      <c r="AE525" s="241">
        <v>3</v>
      </c>
      <c r="AF525" s="204" t="str">
        <f t="shared" si="873"/>
        <v xml:space="preserve">Location salle </v>
      </c>
      <c r="AG525" s="413">
        <f t="shared" si="818"/>
        <v>1</v>
      </c>
      <c r="AH525" s="413">
        <f t="shared" si="819"/>
        <v>0</v>
      </c>
      <c r="AI525" s="419">
        <f t="shared" si="814"/>
        <v>1000</v>
      </c>
      <c r="AJ525" s="419">
        <f t="shared" si="849"/>
        <v>0</v>
      </c>
      <c r="AK525" s="415">
        <f t="shared" si="837"/>
        <v>0</v>
      </c>
      <c r="AL525" s="415">
        <f t="shared" si="845"/>
        <v>1000</v>
      </c>
      <c r="AM525" s="323">
        <f t="shared" si="861"/>
        <v>500</v>
      </c>
      <c r="AN525" s="323">
        <f t="shared" si="862"/>
        <v>0</v>
      </c>
      <c r="AO525" s="323">
        <f t="shared" si="863"/>
        <v>500</v>
      </c>
      <c r="AP525" s="323">
        <f t="shared" si="864"/>
        <v>0</v>
      </c>
      <c r="AQ525" s="169" t="s">
        <v>1153</v>
      </c>
      <c r="AT525" s="169"/>
      <c r="AU525" s="169"/>
    </row>
    <row r="526" spans="1:47" s="172" customFormat="1" x14ac:dyDescent="0.3">
      <c r="A526" s="509">
        <v>4</v>
      </c>
      <c r="B526" s="510" t="s">
        <v>1176</v>
      </c>
      <c r="C526" s="409" t="s">
        <v>90</v>
      </c>
      <c r="D526" s="536">
        <v>5</v>
      </c>
      <c r="E526" s="411">
        <v>75</v>
      </c>
      <c r="F526" s="572">
        <v>5</v>
      </c>
      <c r="G526" s="413">
        <v>1</v>
      </c>
      <c r="H526" s="413">
        <f t="shared" si="865"/>
        <v>0</v>
      </c>
      <c r="I526" s="414">
        <f t="shared" si="866"/>
        <v>1875</v>
      </c>
      <c r="J526" s="415">
        <f t="shared" si="867"/>
        <v>0</v>
      </c>
      <c r="K526" s="415">
        <f t="shared" si="868"/>
        <v>1875</v>
      </c>
      <c r="L526" s="415"/>
      <c r="M526" s="415"/>
      <c r="N526" s="416">
        <v>0</v>
      </c>
      <c r="O526" s="507" t="s">
        <v>1602</v>
      </c>
      <c r="Q526" s="409" t="s">
        <v>90</v>
      </c>
      <c r="R526" s="516">
        <v>5</v>
      </c>
      <c r="S526" s="411">
        <v>77</v>
      </c>
      <c r="T526" s="557">
        <v>5</v>
      </c>
      <c r="U526" s="413">
        <v>1</v>
      </c>
      <c r="V526" s="413">
        <f t="shared" si="869"/>
        <v>0</v>
      </c>
      <c r="W526" s="419">
        <f t="shared" si="870"/>
        <v>1925</v>
      </c>
      <c r="X526" s="415">
        <f t="shared" si="871"/>
        <v>0</v>
      </c>
      <c r="Y526" s="415">
        <f t="shared" si="872"/>
        <v>1925</v>
      </c>
      <c r="Z526" s="415"/>
      <c r="AA526" s="415"/>
      <c r="AB526" s="416">
        <v>0</v>
      </c>
      <c r="AC526" s="417" t="s">
        <v>1603</v>
      </c>
      <c r="AD526" s="227"/>
      <c r="AE526" s="241">
        <v>4</v>
      </c>
      <c r="AF526" s="204" t="str">
        <f t="shared" si="873"/>
        <v>Frais de transport des participant à Nyiragongo et Rwanguba</v>
      </c>
      <c r="AG526" s="413">
        <f t="shared" si="818"/>
        <v>1</v>
      </c>
      <c r="AH526" s="413">
        <f t="shared" si="819"/>
        <v>0</v>
      </c>
      <c r="AI526" s="419">
        <f t="shared" si="814"/>
        <v>3800</v>
      </c>
      <c r="AJ526" s="419">
        <f t="shared" si="849"/>
        <v>0</v>
      </c>
      <c r="AK526" s="415">
        <f t="shared" si="837"/>
        <v>0</v>
      </c>
      <c r="AL526" s="415">
        <f t="shared" si="845"/>
        <v>3800</v>
      </c>
      <c r="AM526" s="323">
        <f t="shared" si="861"/>
        <v>1875</v>
      </c>
      <c r="AN526" s="323">
        <f t="shared" si="862"/>
        <v>0</v>
      </c>
      <c r="AO526" s="323">
        <f t="shared" si="863"/>
        <v>1925</v>
      </c>
      <c r="AP526" s="323">
        <f t="shared" si="864"/>
        <v>0</v>
      </c>
      <c r="AQ526" s="169" t="s">
        <v>1153</v>
      </c>
      <c r="AT526" s="169"/>
      <c r="AU526" s="169"/>
    </row>
    <row r="527" spans="1:47" s="172" customFormat="1" x14ac:dyDescent="0.3">
      <c r="A527" s="509">
        <v>5</v>
      </c>
      <c r="B527" s="510" t="s">
        <v>1604</v>
      </c>
      <c r="C527" s="409" t="s">
        <v>90</v>
      </c>
      <c r="D527" s="536">
        <v>53</v>
      </c>
      <c r="E527" s="411">
        <v>8</v>
      </c>
      <c r="F527" s="572">
        <v>6</v>
      </c>
      <c r="G527" s="413">
        <v>1</v>
      </c>
      <c r="H527" s="413">
        <f t="shared" si="865"/>
        <v>0</v>
      </c>
      <c r="I527" s="414">
        <f t="shared" si="866"/>
        <v>2544</v>
      </c>
      <c r="J527" s="415">
        <f t="shared" si="867"/>
        <v>0</v>
      </c>
      <c r="K527" s="415">
        <f t="shared" si="868"/>
        <v>2544</v>
      </c>
      <c r="L527" s="415"/>
      <c r="M527" s="415"/>
      <c r="N527" s="416">
        <v>0</v>
      </c>
      <c r="O527" s="507" t="s">
        <v>564</v>
      </c>
      <c r="Q527" s="409" t="s">
        <v>90</v>
      </c>
      <c r="R527" s="516">
        <v>53</v>
      </c>
      <c r="S527" s="411">
        <v>8</v>
      </c>
      <c r="T527" s="557">
        <v>6</v>
      </c>
      <c r="U527" s="413">
        <v>1</v>
      </c>
      <c r="V527" s="413">
        <f t="shared" si="869"/>
        <v>0</v>
      </c>
      <c r="W527" s="419">
        <f t="shared" si="870"/>
        <v>2544</v>
      </c>
      <c r="X527" s="415">
        <f t="shared" si="871"/>
        <v>0</v>
      </c>
      <c r="Y527" s="415">
        <f t="shared" si="872"/>
        <v>2544</v>
      </c>
      <c r="Z527" s="415"/>
      <c r="AA527" s="415"/>
      <c r="AB527" s="416">
        <v>0</v>
      </c>
      <c r="AC527" s="417" t="s">
        <v>564</v>
      </c>
      <c r="AD527" s="227"/>
      <c r="AE527" s="241">
        <v>5</v>
      </c>
      <c r="AF527" s="204" t="str">
        <f t="shared" si="873"/>
        <v>DSA des experts de la PNCPS/DPS et TASK FORCE lors de la formation des formateurs</v>
      </c>
      <c r="AG527" s="413">
        <f t="shared" si="818"/>
        <v>1</v>
      </c>
      <c r="AH527" s="413">
        <f t="shared" si="819"/>
        <v>0</v>
      </c>
      <c r="AI527" s="419">
        <f t="shared" si="814"/>
        <v>5088</v>
      </c>
      <c r="AJ527" s="419">
        <f t="shared" si="849"/>
        <v>0</v>
      </c>
      <c r="AK527" s="415">
        <f t="shared" si="837"/>
        <v>0</v>
      </c>
      <c r="AL527" s="415">
        <f t="shared" si="845"/>
        <v>5088</v>
      </c>
      <c r="AM527" s="323">
        <f t="shared" si="861"/>
        <v>2544</v>
      </c>
      <c r="AN527" s="323">
        <f t="shared" si="862"/>
        <v>0</v>
      </c>
      <c r="AO527" s="323">
        <f t="shared" si="863"/>
        <v>2544</v>
      </c>
      <c r="AP527" s="323">
        <f t="shared" si="864"/>
        <v>0</v>
      </c>
      <c r="AQ527" s="169" t="s">
        <v>1153</v>
      </c>
      <c r="AT527" s="169"/>
      <c r="AU527" s="169"/>
    </row>
    <row r="528" spans="1:47" s="172" customFormat="1" x14ac:dyDescent="0.3">
      <c r="A528" s="509">
        <v>6</v>
      </c>
      <c r="B528" s="510" t="s">
        <v>503</v>
      </c>
      <c r="C528" s="409" t="s">
        <v>90</v>
      </c>
      <c r="D528" s="536">
        <v>359</v>
      </c>
      <c r="E528" s="411">
        <v>31</v>
      </c>
      <c r="F528" s="572">
        <v>9</v>
      </c>
      <c r="G528" s="413">
        <v>1</v>
      </c>
      <c r="H528" s="413">
        <f t="shared" si="865"/>
        <v>0</v>
      </c>
      <c r="I528" s="414">
        <f t="shared" si="866"/>
        <v>100161</v>
      </c>
      <c r="J528" s="415">
        <f t="shared" si="867"/>
        <v>0</v>
      </c>
      <c r="K528" s="415">
        <f t="shared" si="868"/>
        <v>100161</v>
      </c>
      <c r="L528" s="415"/>
      <c r="M528" s="415"/>
      <c r="N528" s="416">
        <v>0</v>
      </c>
      <c r="O528" s="507" t="s">
        <v>1605</v>
      </c>
      <c r="Q528" s="409" t="s">
        <v>90</v>
      </c>
      <c r="R528" s="516">
        <v>359</v>
      </c>
      <c r="S528" s="411">
        <v>77</v>
      </c>
      <c r="T528" s="557">
        <v>11</v>
      </c>
      <c r="U528" s="413">
        <v>1</v>
      </c>
      <c r="V528" s="413">
        <f t="shared" si="869"/>
        <v>0</v>
      </c>
      <c r="W528" s="419">
        <f t="shared" si="870"/>
        <v>304073</v>
      </c>
      <c r="X528" s="415">
        <f t="shared" si="871"/>
        <v>0</v>
      </c>
      <c r="Y528" s="415">
        <f t="shared" si="872"/>
        <v>304073</v>
      </c>
      <c r="Z528" s="415"/>
      <c r="AA528" s="415"/>
      <c r="AB528" s="416">
        <v>0</v>
      </c>
      <c r="AC528" s="417" t="s">
        <v>504</v>
      </c>
      <c r="AD528" s="227"/>
      <c r="AE528" s="241">
        <v>6</v>
      </c>
      <c r="AF528" s="204" t="str">
        <f t="shared" si="873"/>
        <v xml:space="preserve">Salaire en faveur des superviseurs de proximités </v>
      </c>
      <c r="AG528" s="413">
        <f t="shared" si="818"/>
        <v>1</v>
      </c>
      <c r="AH528" s="413">
        <f t="shared" si="819"/>
        <v>0</v>
      </c>
      <c r="AI528" s="419">
        <f t="shared" si="814"/>
        <v>404234</v>
      </c>
      <c r="AJ528" s="419">
        <f t="shared" si="849"/>
        <v>0</v>
      </c>
      <c r="AK528" s="415">
        <f t="shared" si="837"/>
        <v>0</v>
      </c>
      <c r="AL528" s="415">
        <f t="shared" si="845"/>
        <v>404234</v>
      </c>
      <c r="AM528" s="323">
        <f t="shared" si="861"/>
        <v>100161</v>
      </c>
      <c r="AN528" s="323">
        <f t="shared" si="862"/>
        <v>0</v>
      </c>
      <c r="AO528" s="323">
        <f t="shared" si="863"/>
        <v>304073</v>
      </c>
      <c r="AP528" s="323">
        <f t="shared" si="864"/>
        <v>0</v>
      </c>
      <c r="AQ528" s="169" t="s">
        <v>1153</v>
      </c>
      <c r="AT528" s="169"/>
      <c r="AU528" s="169"/>
    </row>
    <row r="529" spans="1:47" s="172" customFormat="1" x14ac:dyDescent="0.3">
      <c r="A529" s="509">
        <v>7</v>
      </c>
      <c r="B529" s="510" t="s">
        <v>487</v>
      </c>
      <c r="C529" s="409" t="s">
        <v>90</v>
      </c>
      <c r="D529" s="536">
        <v>2.5</v>
      </c>
      <c r="E529" s="411">
        <v>75</v>
      </c>
      <c r="F529" s="572">
        <v>1</v>
      </c>
      <c r="G529" s="413">
        <v>1</v>
      </c>
      <c r="H529" s="413">
        <f t="shared" si="865"/>
        <v>0</v>
      </c>
      <c r="I529" s="414">
        <f t="shared" si="866"/>
        <v>187.5</v>
      </c>
      <c r="J529" s="415">
        <f t="shared" si="867"/>
        <v>0</v>
      </c>
      <c r="K529" s="415">
        <f t="shared" si="868"/>
        <v>187.5</v>
      </c>
      <c r="L529" s="415"/>
      <c r="M529" s="415"/>
      <c r="N529" s="416">
        <v>0</v>
      </c>
      <c r="O529" s="507" t="s">
        <v>562</v>
      </c>
      <c r="Q529" s="409" t="s">
        <v>90</v>
      </c>
      <c r="R529" s="516">
        <v>2.5</v>
      </c>
      <c r="S529" s="411">
        <v>77</v>
      </c>
      <c r="T529" s="557">
        <v>1</v>
      </c>
      <c r="U529" s="413">
        <v>1</v>
      </c>
      <c r="V529" s="413">
        <f t="shared" si="869"/>
        <v>0</v>
      </c>
      <c r="W529" s="419">
        <f t="shared" si="870"/>
        <v>192.5</v>
      </c>
      <c r="X529" s="415">
        <f t="shared" si="871"/>
        <v>0</v>
      </c>
      <c r="Y529" s="415">
        <f t="shared" si="872"/>
        <v>192.5</v>
      </c>
      <c r="Z529" s="415"/>
      <c r="AA529" s="415"/>
      <c r="AB529" s="416">
        <v>0</v>
      </c>
      <c r="AC529" s="417" t="s">
        <v>562</v>
      </c>
      <c r="AD529" s="227"/>
      <c r="AE529" s="241">
        <v>7</v>
      </c>
      <c r="AF529" s="204" t="str">
        <f t="shared" si="873"/>
        <v>Fournitures (Kit -Stylos et blocs notes)</v>
      </c>
      <c r="AG529" s="413">
        <f t="shared" si="818"/>
        <v>1</v>
      </c>
      <c r="AH529" s="413">
        <f t="shared" si="819"/>
        <v>0</v>
      </c>
      <c r="AI529" s="419">
        <f t="shared" si="814"/>
        <v>380</v>
      </c>
      <c r="AJ529" s="419">
        <f t="shared" si="849"/>
        <v>0</v>
      </c>
      <c r="AK529" s="415">
        <f t="shared" si="837"/>
        <v>0</v>
      </c>
      <c r="AL529" s="415">
        <f t="shared" si="845"/>
        <v>380</v>
      </c>
      <c r="AM529" s="323">
        <f t="shared" si="861"/>
        <v>187.5</v>
      </c>
      <c r="AN529" s="323">
        <f t="shared" si="862"/>
        <v>0</v>
      </c>
      <c r="AO529" s="323">
        <f t="shared" si="863"/>
        <v>192.5</v>
      </c>
      <c r="AP529" s="323">
        <f t="shared" si="864"/>
        <v>0</v>
      </c>
      <c r="AQ529" s="169" t="s">
        <v>1153</v>
      </c>
      <c r="AT529" s="169"/>
      <c r="AU529" s="169"/>
    </row>
    <row r="530" spans="1:47" s="173" customFormat="1" ht="12.75" customHeight="1" x14ac:dyDescent="0.3">
      <c r="A530" s="480" t="s">
        <v>1606</v>
      </c>
      <c r="B530" s="861" t="s">
        <v>328</v>
      </c>
      <c r="C530" s="862"/>
      <c r="D530" s="862"/>
      <c r="E530" s="862"/>
      <c r="F530" s="862"/>
      <c r="G530" s="862"/>
      <c r="H530" s="863"/>
      <c r="I530" s="481">
        <f>SUM(I531:I538)</f>
        <v>9384</v>
      </c>
      <c r="J530" s="482">
        <f t="shared" ref="J530" si="874">SUM(J531:J538)</f>
        <v>0</v>
      </c>
      <c r="K530" s="482">
        <f>SUM(K531:K538)</f>
        <v>9384</v>
      </c>
      <c r="L530" s="482"/>
      <c r="M530" s="482"/>
      <c r="N530" s="481">
        <f>SUM(N531:N538)</f>
        <v>0</v>
      </c>
      <c r="O530" s="508"/>
      <c r="P530" s="168"/>
      <c r="Q530" s="538"/>
      <c r="R530" s="539"/>
      <c r="S530" s="538"/>
      <c r="T530" s="539"/>
      <c r="U530" s="539"/>
      <c r="V530" s="484"/>
      <c r="W530" s="482">
        <f>SUM(W531:W538)</f>
        <v>9384</v>
      </c>
      <c r="X530" s="482">
        <f t="shared" ref="X530" si="875">SUM(X531:X538)</f>
        <v>0</v>
      </c>
      <c r="Y530" s="482">
        <f>SUM(Y531:Y538)</f>
        <v>9384</v>
      </c>
      <c r="Z530" s="482">
        <f t="shared" ref="Z530:AA530" si="876">SUM(Z531:Z538)</f>
        <v>0</v>
      </c>
      <c r="AA530" s="482">
        <f t="shared" si="876"/>
        <v>0</v>
      </c>
      <c r="AB530" s="481">
        <f>SUM(AB531:AB538)</f>
        <v>0</v>
      </c>
      <c r="AC530" s="508"/>
      <c r="AD530" s="234"/>
      <c r="AE530" s="247" t="s">
        <v>1606</v>
      </c>
      <c r="AF530" s="204" t="str">
        <f t="shared" si="873"/>
        <v>Appuyer les zones de santé à élaborer/mettre à jour des plans de préparation aux urgences basés sur l'analyse des risques</v>
      </c>
      <c r="AG530" s="485">
        <f t="shared" si="818"/>
        <v>1</v>
      </c>
      <c r="AH530" s="485">
        <f t="shared" si="819"/>
        <v>0</v>
      </c>
      <c r="AI530" s="482">
        <f t="shared" si="814"/>
        <v>18768</v>
      </c>
      <c r="AJ530" s="482">
        <f t="shared" si="849"/>
        <v>0</v>
      </c>
      <c r="AK530" s="482">
        <f t="shared" si="837"/>
        <v>0</v>
      </c>
      <c r="AL530" s="482">
        <f t="shared" si="845"/>
        <v>18768</v>
      </c>
      <c r="AM530" s="314">
        <f t="shared" si="861"/>
        <v>9384</v>
      </c>
      <c r="AN530" s="314">
        <f t="shared" si="862"/>
        <v>0</v>
      </c>
      <c r="AO530" s="314">
        <f t="shared" si="863"/>
        <v>9384</v>
      </c>
      <c r="AP530" s="314">
        <f t="shared" si="864"/>
        <v>0</v>
      </c>
      <c r="AQ530" s="169"/>
      <c r="AT530" s="168"/>
      <c r="AU530" s="168"/>
    </row>
    <row r="531" spans="1:47" s="172" customFormat="1" ht="12.75" customHeight="1" x14ac:dyDescent="0.3">
      <c r="A531" s="488"/>
      <c r="B531" s="489" t="s">
        <v>1607</v>
      </c>
      <c r="C531" s="489"/>
      <c r="D531" s="490"/>
      <c r="E531" s="491"/>
      <c r="F531" s="492"/>
      <c r="G531" s="493"/>
      <c r="H531" s="493"/>
      <c r="I531" s="494"/>
      <c r="J531" s="495"/>
      <c r="K531" s="495"/>
      <c r="L531" s="495"/>
      <c r="M531" s="495"/>
      <c r="N531" s="494"/>
      <c r="O531" s="496"/>
      <c r="P531" s="169"/>
      <c r="Q531" s="489"/>
      <c r="R531" s="490"/>
      <c r="S531" s="491"/>
      <c r="T531" s="492"/>
      <c r="U531" s="493"/>
      <c r="V531" s="493"/>
      <c r="W531" s="495"/>
      <c r="X531" s="495"/>
      <c r="Y531" s="495"/>
      <c r="Z531" s="495"/>
      <c r="AA531" s="495"/>
      <c r="AB531" s="494"/>
      <c r="AC531" s="498"/>
      <c r="AD531" s="182"/>
      <c r="AE531" s="204"/>
      <c r="AF531" s="204" t="str">
        <f t="shared" si="873"/>
        <v>Organisation d'ateliers de mise à jour des plan de préparation aux urgences basés sur l'analyse de risques et identification des points focaux alerte par village au niveau de la ZS de RWANGUBA et NYIRAGONGO</v>
      </c>
      <c r="AG531" s="493"/>
      <c r="AH531" s="493"/>
      <c r="AI531" s="495"/>
      <c r="AJ531" s="495">
        <f t="shared" si="849"/>
        <v>0</v>
      </c>
      <c r="AK531" s="495"/>
      <c r="AL531" s="495">
        <f t="shared" si="845"/>
        <v>0</v>
      </c>
      <c r="AM531" s="317">
        <f t="shared" si="861"/>
        <v>0</v>
      </c>
      <c r="AN531" s="317">
        <f t="shared" si="862"/>
        <v>0</v>
      </c>
      <c r="AO531" s="317">
        <f t="shared" si="863"/>
        <v>0</v>
      </c>
      <c r="AP531" s="317">
        <f t="shared" si="864"/>
        <v>0</v>
      </c>
      <c r="AQ531" s="169"/>
      <c r="AT531" s="169"/>
      <c r="AU531" s="169"/>
    </row>
    <row r="532" spans="1:47" s="172" customFormat="1" x14ac:dyDescent="0.3">
      <c r="A532" s="509">
        <v>1</v>
      </c>
      <c r="B532" s="510" t="s">
        <v>465</v>
      </c>
      <c r="C532" s="409" t="s">
        <v>90</v>
      </c>
      <c r="D532" s="536">
        <v>2</v>
      </c>
      <c r="E532" s="411">
        <v>128</v>
      </c>
      <c r="F532" s="572">
        <v>4</v>
      </c>
      <c r="G532" s="413">
        <v>1</v>
      </c>
      <c r="H532" s="413">
        <f t="shared" ref="H532:H538" si="877">100%-G532</f>
        <v>0</v>
      </c>
      <c r="I532" s="414">
        <f t="shared" ref="I532:I538" si="878">D532*E532*F532*G532</f>
        <v>1024</v>
      </c>
      <c r="J532" s="415">
        <f t="shared" ref="J532:J538" si="879">D532*E532*F532*H532</f>
        <v>0</v>
      </c>
      <c r="K532" s="415">
        <f t="shared" ref="K532:K539" si="880">I532</f>
        <v>1024</v>
      </c>
      <c r="L532" s="415"/>
      <c r="M532" s="415"/>
      <c r="N532" s="416">
        <v>0</v>
      </c>
      <c r="O532" s="507" t="s">
        <v>1608</v>
      </c>
      <c r="P532" s="175"/>
      <c r="Q532" s="409" t="s">
        <v>90</v>
      </c>
      <c r="R532" s="516">
        <v>2</v>
      </c>
      <c r="S532" s="411">
        <v>128</v>
      </c>
      <c r="T532" s="557">
        <v>4</v>
      </c>
      <c r="U532" s="413">
        <v>1</v>
      </c>
      <c r="V532" s="413">
        <f t="shared" ref="V532:V538" si="881">100%-U532</f>
        <v>0</v>
      </c>
      <c r="W532" s="419">
        <f t="shared" ref="W532:W538" si="882">R532*S532*T532*U532</f>
        <v>1024</v>
      </c>
      <c r="X532" s="415">
        <f t="shared" ref="X532:X538" si="883">R532*S532*T532*V532</f>
        <v>0</v>
      </c>
      <c r="Y532" s="415">
        <f t="shared" ref="Y532:Y539" si="884">W532</f>
        <v>1024</v>
      </c>
      <c r="Z532" s="415"/>
      <c r="AA532" s="415"/>
      <c r="AB532" s="416">
        <v>0</v>
      </c>
      <c r="AC532" s="417" t="s">
        <v>1609</v>
      </c>
      <c r="AD532" s="227"/>
      <c r="AE532" s="241">
        <v>1</v>
      </c>
      <c r="AF532" s="204" t="str">
        <f t="shared" si="873"/>
        <v xml:space="preserve">Pause café </v>
      </c>
      <c r="AG532" s="413">
        <f t="shared" ref="AG532:AG539" si="885">AI532/($AI532+$AK532)</f>
        <v>1</v>
      </c>
      <c r="AH532" s="413">
        <f t="shared" ref="AH532:AH539" si="886">AK532/($AI532+$AK532)</f>
        <v>0</v>
      </c>
      <c r="AI532" s="419">
        <f t="shared" ref="AI532:AI539" si="887">I532+W532</f>
        <v>2048</v>
      </c>
      <c r="AJ532" s="419">
        <f t="shared" si="849"/>
        <v>0</v>
      </c>
      <c r="AK532" s="415">
        <f t="shared" ref="AK532:AK539" si="888">J532+X532</f>
        <v>0</v>
      </c>
      <c r="AL532" s="415">
        <f t="shared" si="845"/>
        <v>2048</v>
      </c>
      <c r="AM532" s="323">
        <f t="shared" si="861"/>
        <v>1024</v>
      </c>
      <c r="AN532" s="323">
        <f t="shared" si="862"/>
        <v>0</v>
      </c>
      <c r="AO532" s="323">
        <f t="shared" si="863"/>
        <v>1024</v>
      </c>
      <c r="AP532" s="323">
        <f t="shared" si="864"/>
        <v>0</v>
      </c>
      <c r="AQ532" s="169" t="s">
        <v>1153</v>
      </c>
      <c r="AT532" s="169"/>
      <c r="AU532" s="169"/>
    </row>
    <row r="533" spans="1:47" s="172" customFormat="1" x14ac:dyDescent="0.3">
      <c r="A533" s="509">
        <v>2</v>
      </c>
      <c r="B533" s="510" t="s">
        <v>486</v>
      </c>
      <c r="C533" s="409" t="s">
        <v>90</v>
      </c>
      <c r="D533" s="536">
        <v>5</v>
      </c>
      <c r="E533" s="411">
        <v>128</v>
      </c>
      <c r="F533" s="572">
        <v>4</v>
      </c>
      <c r="G533" s="413">
        <v>1</v>
      </c>
      <c r="H533" s="413">
        <f t="shared" si="877"/>
        <v>0</v>
      </c>
      <c r="I533" s="414">
        <f t="shared" si="878"/>
        <v>2560</v>
      </c>
      <c r="J533" s="415">
        <f t="shared" si="879"/>
        <v>0</v>
      </c>
      <c r="K533" s="415">
        <f t="shared" si="880"/>
        <v>2560</v>
      </c>
      <c r="L533" s="415"/>
      <c r="M533" s="415"/>
      <c r="N533" s="416">
        <v>0</v>
      </c>
      <c r="O533" s="507" t="s">
        <v>1608</v>
      </c>
      <c r="P533" s="175"/>
      <c r="Q533" s="409" t="s">
        <v>90</v>
      </c>
      <c r="R533" s="516">
        <v>5</v>
      </c>
      <c r="S533" s="411">
        <v>128</v>
      </c>
      <c r="T533" s="557">
        <v>4</v>
      </c>
      <c r="U533" s="413">
        <v>1</v>
      </c>
      <c r="V533" s="413">
        <f t="shared" si="881"/>
        <v>0</v>
      </c>
      <c r="W533" s="419">
        <f t="shared" si="882"/>
        <v>2560</v>
      </c>
      <c r="X533" s="415">
        <f t="shared" si="883"/>
        <v>0</v>
      </c>
      <c r="Y533" s="415">
        <f t="shared" si="884"/>
        <v>2560</v>
      </c>
      <c r="Z533" s="415"/>
      <c r="AA533" s="415"/>
      <c r="AB533" s="416">
        <v>0</v>
      </c>
      <c r="AC533" s="417" t="s">
        <v>1609</v>
      </c>
      <c r="AD533" s="227"/>
      <c r="AE533" s="241">
        <v>2</v>
      </c>
      <c r="AF533" s="204" t="str">
        <f t="shared" si="873"/>
        <v xml:space="preserve">Pause repas </v>
      </c>
      <c r="AG533" s="413">
        <f t="shared" si="885"/>
        <v>1</v>
      </c>
      <c r="AH533" s="413">
        <f t="shared" si="886"/>
        <v>0</v>
      </c>
      <c r="AI533" s="419">
        <f t="shared" si="887"/>
        <v>5120</v>
      </c>
      <c r="AJ533" s="419">
        <f t="shared" si="849"/>
        <v>0</v>
      </c>
      <c r="AK533" s="415">
        <f t="shared" si="888"/>
        <v>0</v>
      </c>
      <c r="AL533" s="415">
        <f t="shared" si="845"/>
        <v>5120</v>
      </c>
      <c r="AM533" s="323">
        <f t="shared" si="861"/>
        <v>2560</v>
      </c>
      <c r="AN533" s="323">
        <f t="shared" si="862"/>
        <v>0</v>
      </c>
      <c r="AO533" s="323">
        <f t="shared" si="863"/>
        <v>2560</v>
      </c>
      <c r="AP533" s="323">
        <f t="shared" si="864"/>
        <v>0</v>
      </c>
      <c r="AQ533" s="169" t="s">
        <v>1153</v>
      </c>
      <c r="AT533" s="169"/>
      <c r="AU533" s="169"/>
    </row>
    <row r="534" spans="1:47" s="172" customFormat="1" x14ac:dyDescent="0.3">
      <c r="A534" s="509">
        <v>3</v>
      </c>
      <c r="B534" s="510" t="s">
        <v>450</v>
      </c>
      <c r="C534" s="409" t="s">
        <v>422</v>
      </c>
      <c r="D534" s="536">
        <v>50</v>
      </c>
      <c r="E534" s="411">
        <v>2</v>
      </c>
      <c r="F534" s="572">
        <v>4</v>
      </c>
      <c r="G534" s="413">
        <v>1</v>
      </c>
      <c r="H534" s="413">
        <f t="shared" si="877"/>
        <v>0</v>
      </c>
      <c r="I534" s="414">
        <f t="shared" si="878"/>
        <v>400</v>
      </c>
      <c r="J534" s="415">
        <f t="shared" si="879"/>
        <v>0</v>
      </c>
      <c r="K534" s="415">
        <f t="shared" si="880"/>
        <v>400</v>
      </c>
      <c r="L534" s="415"/>
      <c r="M534" s="415"/>
      <c r="N534" s="416">
        <v>0</v>
      </c>
      <c r="O534" s="507" t="s">
        <v>1610</v>
      </c>
      <c r="P534" s="175"/>
      <c r="Q534" s="409" t="s">
        <v>422</v>
      </c>
      <c r="R534" s="516">
        <v>50</v>
      </c>
      <c r="S534" s="411">
        <v>2</v>
      </c>
      <c r="T534" s="557">
        <v>4</v>
      </c>
      <c r="U534" s="413">
        <v>1</v>
      </c>
      <c r="V534" s="413">
        <f t="shared" si="881"/>
        <v>0</v>
      </c>
      <c r="W534" s="419">
        <f t="shared" si="882"/>
        <v>400</v>
      </c>
      <c r="X534" s="415">
        <f t="shared" si="883"/>
        <v>0</v>
      </c>
      <c r="Y534" s="415">
        <f t="shared" si="884"/>
        <v>400</v>
      </c>
      <c r="Z534" s="415"/>
      <c r="AA534" s="415"/>
      <c r="AB534" s="416">
        <v>0</v>
      </c>
      <c r="AC534" s="417" t="s">
        <v>1611</v>
      </c>
      <c r="AD534" s="227"/>
      <c r="AE534" s="241">
        <v>3</v>
      </c>
      <c r="AF534" s="204" t="str">
        <f t="shared" si="873"/>
        <v xml:space="preserve">Location salle </v>
      </c>
      <c r="AG534" s="413">
        <f t="shared" si="885"/>
        <v>1</v>
      </c>
      <c r="AH534" s="413">
        <f t="shared" si="886"/>
        <v>0</v>
      </c>
      <c r="AI534" s="419">
        <f t="shared" si="887"/>
        <v>800</v>
      </c>
      <c r="AJ534" s="419">
        <f t="shared" si="849"/>
        <v>0</v>
      </c>
      <c r="AK534" s="415">
        <f t="shared" si="888"/>
        <v>0</v>
      </c>
      <c r="AL534" s="415">
        <f t="shared" si="845"/>
        <v>800</v>
      </c>
      <c r="AM534" s="323">
        <f t="shared" si="861"/>
        <v>400</v>
      </c>
      <c r="AN534" s="323">
        <f t="shared" si="862"/>
        <v>0</v>
      </c>
      <c r="AO534" s="323">
        <f t="shared" si="863"/>
        <v>400</v>
      </c>
      <c r="AP534" s="323">
        <f t="shared" si="864"/>
        <v>0</v>
      </c>
      <c r="AQ534" s="169" t="s">
        <v>1153</v>
      </c>
      <c r="AT534" s="169"/>
      <c r="AU534" s="169"/>
    </row>
    <row r="535" spans="1:47" s="172" customFormat="1" x14ac:dyDescent="0.3">
      <c r="A535" s="509">
        <v>4</v>
      </c>
      <c r="B535" s="510" t="s">
        <v>1176</v>
      </c>
      <c r="C535" s="409" t="s">
        <v>90</v>
      </c>
      <c r="D535" s="536">
        <v>5</v>
      </c>
      <c r="E535" s="411">
        <v>128</v>
      </c>
      <c r="F535" s="572">
        <v>4</v>
      </c>
      <c r="G535" s="413">
        <v>1</v>
      </c>
      <c r="H535" s="413">
        <f t="shared" si="877"/>
        <v>0</v>
      </c>
      <c r="I535" s="414">
        <f t="shared" si="878"/>
        <v>2560</v>
      </c>
      <c r="J535" s="415">
        <f t="shared" si="879"/>
        <v>0</v>
      </c>
      <c r="K535" s="415">
        <f t="shared" si="880"/>
        <v>2560</v>
      </c>
      <c r="L535" s="415"/>
      <c r="M535" s="415"/>
      <c r="N535" s="416">
        <v>0</v>
      </c>
      <c r="O535" s="507" t="s">
        <v>1612</v>
      </c>
      <c r="P535" s="175"/>
      <c r="Q535" s="409" t="s">
        <v>90</v>
      </c>
      <c r="R535" s="516">
        <v>5</v>
      </c>
      <c r="S535" s="411">
        <v>128</v>
      </c>
      <c r="T535" s="557">
        <v>4</v>
      </c>
      <c r="U535" s="413">
        <v>1</v>
      </c>
      <c r="V535" s="413">
        <f t="shared" si="881"/>
        <v>0</v>
      </c>
      <c r="W535" s="419">
        <f t="shared" si="882"/>
        <v>2560</v>
      </c>
      <c r="X535" s="415">
        <f t="shared" si="883"/>
        <v>0</v>
      </c>
      <c r="Y535" s="415">
        <f t="shared" si="884"/>
        <v>2560</v>
      </c>
      <c r="Z535" s="415"/>
      <c r="AA535" s="415"/>
      <c r="AB535" s="416">
        <v>0</v>
      </c>
      <c r="AC535" s="417" t="s">
        <v>1613</v>
      </c>
      <c r="AD535" s="227"/>
      <c r="AE535" s="241">
        <v>4</v>
      </c>
      <c r="AF535" s="204" t="str">
        <f t="shared" si="873"/>
        <v>Frais de transport des participant à Nyiragongo et Rwanguba</v>
      </c>
      <c r="AG535" s="413">
        <f t="shared" si="885"/>
        <v>1</v>
      </c>
      <c r="AH535" s="413">
        <f t="shared" si="886"/>
        <v>0</v>
      </c>
      <c r="AI535" s="419">
        <f t="shared" si="887"/>
        <v>5120</v>
      </c>
      <c r="AJ535" s="419">
        <f t="shared" si="849"/>
        <v>0</v>
      </c>
      <c r="AK535" s="415">
        <f t="shared" si="888"/>
        <v>0</v>
      </c>
      <c r="AL535" s="415">
        <f t="shared" si="845"/>
        <v>5120</v>
      </c>
      <c r="AM535" s="323">
        <f t="shared" si="861"/>
        <v>2560</v>
      </c>
      <c r="AN535" s="323">
        <f t="shared" si="862"/>
        <v>0</v>
      </c>
      <c r="AO535" s="323">
        <f t="shared" si="863"/>
        <v>2560</v>
      </c>
      <c r="AP535" s="323">
        <f t="shared" si="864"/>
        <v>0</v>
      </c>
      <c r="AQ535" s="169" t="s">
        <v>1153</v>
      </c>
      <c r="AT535" s="169"/>
      <c r="AU535" s="169"/>
    </row>
    <row r="536" spans="1:47" s="172" customFormat="1" ht="26" x14ac:dyDescent="0.3">
      <c r="A536" s="509">
        <v>5</v>
      </c>
      <c r="B536" s="510" t="s">
        <v>1614</v>
      </c>
      <c r="C536" s="409" t="s">
        <v>90</v>
      </c>
      <c r="D536" s="536">
        <v>12.5</v>
      </c>
      <c r="E536" s="411">
        <v>8</v>
      </c>
      <c r="F536" s="572">
        <v>4</v>
      </c>
      <c r="G536" s="413">
        <v>1</v>
      </c>
      <c r="H536" s="413">
        <f t="shared" si="877"/>
        <v>0</v>
      </c>
      <c r="I536" s="414">
        <f t="shared" si="878"/>
        <v>400</v>
      </c>
      <c r="J536" s="415">
        <f t="shared" si="879"/>
        <v>0</v>
      </c>
      <c r="K536" s="415">
        <f t="shared" si="880"/>
        <v>400</v>
      </c>
      <c r="L536" s="415"/>
      <c r="M536" s="415"/>
      <c r="N536" s="416">
        <v>0</v>
      </c>
      <c r="O536" s="507" t="s">
        <v>1615</v>
      </c>
      <c r="P536" s="175"/>
      <c r="Q536" s="409" t="s">
        <v>90</v>
      </c>
      <c r="R536" s="516">
        <v>12.5</v>
      </c>
      <c r="S536" s="411">
        <v>8</v>
      </c>
      <c r="T536" s="557">
        <v>4</v>
      </c>
      <c r="U536" s="413">
        <v>1</v>
      </c>
      <c r="V536" s="413">
        <f t="shared" si="881"/>
        <v>0</v>
      </c>
      <c r="W536" s="419">
        <f t="shared" si="882"/>
        <v>400</v>
      </c>
      <c r="X536" s="415">
        <f t="shared" si="883"/>
        <v>0</v>
      </c>
      <c r="Y536" s="415">
        <f t="shared" si="884"/>
        <v>400</v>
      </c>
      <c r="Z536" s="415"/>
      <c r="AA536" s="415"/>
      <c r="AB536" s="416">
        <v>0</v>
      </c>
      <c r="AC536" s="417" t="s">
        <v>1615</v>
      </c>
      <c r="AD536" s="227"/>
      <c r="AE536" s="241">
        <v>5</v>
      </c>
      <c r="AF536" s="204" t="str">
        <f t="shared" si="873"/>
        <v>Frais de facilitation des experts du Groupe de travail sur la Réponse Rapide GTRR, la DPS et TASK FORCE lors de la formation des formateurs</v>
      </c>
      <c r="AG536" s="413">
        <f t="shared" si="885"/>
        <v>1</v>
      </c>
      <c r="AH536" s="413">
        <f t="shared" si="886"/>
        <v>0</v>
      </c>
      <c r="AI536" s="419">
        <f t="shared" si="887"/>
        <v>800</v>
      </c>
      <c r="AJ536" s="419">
        <f t="shared" si="849"/>
        <v>0</v>
      </c>
      <c r="AK536" s="415">
        <f t="shared" si="888"/>
        <v>0</v>
      </c>
      <c r="AL536" s="415">
        <f t="shared" si="845"/>
        <v>800</v>
      </c>
      <c r="AM536" s="323">
        <f t="shared" si="861"/>
        <v>400</v>
      </c>
      <c r="AN536" s="323">
        <f t="shared" si="862"/>
        <v>0</v>
      </c>
      <c r="AO536" s="323">
        <f t="shared" si="863"/>
        <v>400</v>
      </c>
      <c r="AP536" s="323">
        <f t="shared" si="864"/>
        <v>0</v>
      </c>
      <c r="AQ536" s="169" t="s">
        <v>1153</v>
      </c>
      <c r="AT536" s="169"/>
      <c r="AU536" s="169"/>
    </row>
    <row r="537" spans="1:47" s="172" customFormat="1" ht="26" x14ac:dyDescent="0.3">
      <c r="A537" s="509">
        <v>6</v>
      </c>
      <c r="B537" s="510" t="s">
        <v>563</v>
      </c>
      <c r="C537" s="409" t="s">
        <v>90</v>
      </c>
      <c r="D537" s="536">
        <v>53</v>
      </c>
      <c r="E537" s="411">
        <v>8</v>
      </c>
      <c r="F537" s="572">
        <v>5</v>
      </c>
      <c r="G537" s="413">
        <v>1</v>
      </c>
      <c r="H537" s="413">
        <f t="shared" si="877"/>
        <v>0</v>
      </c>
      <c r="I537" s="414">
        <f t="shared" si="878"/>
        <v>2120</v>
      </c>
      <c r="J537" s="415">
        <f t="shared" si="879"/>
        <v>0</v>
      </c>
      <c r="K537" s="415">
        <f t="shared" si="880"/>
        <v>2120</v>
      </c>
      <c r="L537" s="415"/>
      <c r="M537" s="415"/>
      <c r="N537" s="416">
        <v>0</v>
      </c>
      <c r="O537" s="507" t="s">
        <v>564</v>
      </c>
      <c r="P537" s="175"/>
      <c r="Q537" s="409" t="s">
        <v>90</v>
      </c>
      <c r="R537" s="516">
        <v>53</v>
      </c>
      <c r="S537" s="411">
        <v>8</v>
      </c>
      <c r="T537" s="557">
        <v>5</v>
      </c>
      <c r="U537" s="413">
        <v>1</v>
      </c>
      <c r="V537" s="413">
        <f t="shared" si="881"/>
        <v>0</v>
      </c>
      <c r="W537" s="419">
        <f t="shared" si="882"/>
        <v>2120</v>
      </c>
      <c r="X537" s="415">
        <f t="shared" si="883"/>
        <v>0</v>
      </c>
      <c r="Y537" s="415">
        <f t="shared" si="884"/>
        <v>2120</v>
      </c>
      <c r="Z537" s="415"/>
      <c r="AA537" s="415"/>
      <c r="AB537" s="416">
        <v>0</v>
      </c>
      <c r="AC537" s="417" t="s">
        <v>564</v>
      </c>
      <c r="AD537" s="227"/>
      <c r="AE537" s="241">
        <v>6</v>
      </c>
      <c r="AF537" s="204" t="str">
        <f t="shared" si="873"/>
        <v>DSA des experts du Groupe de travail sur la Réponse Rapide GTRR, la DPS et TASK FORCE lors de la formation des formateurs</v>
      </c>
      <c r="AG537" s="413">
        <f t="shared" si="885"/>
        <v>1</v>
      </c>
      <c r="AH537" s="413">
        <f t="shared" si="886"/>
        <v>0</v>
      </c>
      <c r="AI537" s="419">
        <f t="shared" si="887"/>
        <v>4240</v>
      </c>
      <c r="AJ537" s="419">
        <f t="shared" si="849"/>
        <v>0</v>
      </c>
      <c r="AK537" s="415">
        <f t="shared" si="888"/>
        <v>0</v>
      </c>
      <c r="AL537" s="415">
        <f t="shared" si="845"/>
        <v>4240</v>
      </c>
      <c r="AM537" s="323">
        <f t="shared" si="861"/>
        <v>2120</v>
      </c>
      <c r="AN537" s="323">
        <f t="shared" si="862"/>
        <v>0</v>
      </c>
      <c r="AO537" s="323">
        <f t="shared" si="863"/>
        <v>2120</v>
      </c>
      <c r="AP537" s="323">
        <f t="shared" si="864"/>
        <v>0</v>
      </c>
      <c r="AQ537" s="169" t="s">
        <v>1153</v>
      </c>
      <c r="AT537" s="169"/>
      <c r="AU537" s="169"/>
    </row>
    <row r="538" spans="1:47" s="172" customFormat="1" x14ac:dyDescent="0.3">
      <c r="A538" s="509">
        <v>7</v>
      </c>
      <c r="B538" s="510" t="s">
        <v>487</v>
      </c>
      <c r="C538" s="409" t="s">
        <v>90</v>
      </c>
      <c r="D538" s="536">
        <v>2.5</v>
      </c>
      <c r="E538" s="411">
        <v>128</v>
      </c>
      <c r="F538" s="572">
        <v>1</v>
      </c>
      <c r="G538" s="413">
        <v>1</v>
      </c>
      <c r="H538" s="413">
        <f t="shared" si="877"/>
        <v>0</v>
      </c>
      <c r="I538" s="414">
        <f t="shared" si="878"/>
        <v>320</v>
      </c>
      <c r="J538" s="415">
        <f t="shared" si="879"/>
        <v>0</v>
      </c>
      <c r="K538" s="415">
        <f t="shared" si="880"/>
        <v>320</v>
      </c>
      <c r="L538" s="415"/>
      <c r="M538" s="415"/>
      <c r="N538" s="416">
        <v>0</v>
      </c>
      <c r="O538" s="507" t="s">
        <v>562</v>
      </c>
      <c r="P538" s="175"/>
      <c r="Q538" s="409" t="s">
        <v>90</v>
      </c>
      <c r="R538" s="516">
        <v>2.5</v>
      </c>
      <c r="S538" s="411">
        <v>128</v>
      </c>
      <c r="T538" s="557">
        <v>1</v>
      </c>
      <c r="U538" s="413">
        <v>1</v>
      </c>
      <c r="V538" s="413">
        <f t="shared" si="881"/>
        <v>0</v>
      </c>
      <c r="W538" s="419">
        <f t="shared" si="882"/>
        <v>320</v>
      </c>
      <c r="X538" s="415">
        <f t="shared" si="883"/>
        <v>0</v>
      </c>
      <c r="Y538" s="415">
        <f t="shared" si="884"/>
        <v>320</v>
      </c>
      <c r="Z538" s="415"/>
      <c r="AA538" s="415"/>
      <c r="AB538" s="416">
        <v>0</v>
      </c>
      <c r="AC538" s="417" t="s">
        <v>562</v>
      </c>
      <c r="AD538" s="227"/>
      <c r="AE538" s="241">
        <v>7</v>
      </c>
      <c r="AF538" s="204" t="str">
        <f t="shared" si="873"/>
        <v>Fournitures (Kit -Stylos et blocs notes)</v>
      </c>
      <c r="AG538" s="413">
        <f t="shared" si="885"/>
        <v>1</v>
      </c>
      <c r="AH538" s="413">
        <f t="shared" si="886"/>
        <v>0</v>
      </c>
      <c r="AI538" s="419">
        <f t="shared" si="887"/>
        <v>640</v>
      </c>
      <c r="AJ538" s="419">
        <f t="shared" si="849"/>
        <v>0</v>
      </c>
      <c r="AK538" s="415">
        <f t="shared" si="888"/>
        <v>0</v>
      </c>
      <c r="AL538" s="415">
        <f t="shared" si="845"/>
        <v>640</v>
      </c>
      <c r="AM538" s="323">
        <f t="shared" si="861"/>
        <v>320</v>
      </c>
      <c r="AN538" s="323">
        <f t="shared" si="862"/>
        <v>0</v>
      </c>
      <c r="AO538" s="323">
        <f t="shared" si="863"/>
        <v>320</v>
      </c>
      <c r="AP538" s="323">
        <f t="shared" si="864"/>
        <v>0</v>
      </c>
      <c r="AQ538" s="169" t="s">
        <v>1153</v>
      </c>
      <c r="AT538" s="169"/>
      <c r="AU538" s="169"/>
    </row>
    <row r="539" spans="1:47" s="173" customFormat="1" ht="12.75" customHeight="1" x14ac:dyDescent="0.3">
      <c r="A539" s="480" t="s">
        <v>1616</v>
      </c>
      <c r="B539" s="861" t="s">
        <v>1617</v>
      </c>
      <c r="C539" s="862"/>
      <c r="D539" s="862"/>
      <c r="E539" s="862"/>
      <c r="F539" s="862"/>
      <c r="G539" s="862"/>
      <c r="H539" s="863"/>
      <c r="I539" s="481">
        <f>SUM(I541:I553)</f>
        <v>22986</v>
      </c>
      <c r="J539" s="482"/>
      <c r="K539" s="482">
        <f t="shared" si="880"/>
        <v>22986</v>
      </c>
      <c r="L539" s="482"/>
      <c r="M539" s="482"/>
      <c r="N539" s="481">
        <f>SUM(N541:N553)</f>
        <v>0</v>
      </c>
      <c r="O539" s="508"/>
      <c r="P539" s="168"/>
      <c r="Q539" s="538"/>
      <c r="R539" s="539"/>
      <c r="S539" s="538"/>
      <c r="T539" s="539"/>
      <c r="U539" s="539"/>
      <c r="V539" s="484"/>
      <c r="W539" s="482">
        <f>SUM(W541:W553)</f>
        <v>27004</v>
      </c>
      <c r="X539" s="482"/>
      <c r="Y539" s="482">
        <f t="shared" si="884"/>
        <v>27004</v>
      </c>
      <c r="Z539" s="482"/>
      <c r="AA539" s="482"/>
      <c r="AB539" s="481">
        <f>SUM(AB541:AB553)</f>
        <v>0</v>
      </c>
      <c r="AC539" s="508"/>
      <c r="AD539" s="234"/>
      <c r="AE539" s="247" t="s">
        <v>1616</v>
      </c>
      <c r="AF539" s="204" t="str">
        <f t="shared" si="873"/>
        <v>Mettre en place/redynamiser les mécanismes de veille communautaire au niveau des zones de santé ciblées</v>
      </c>
      <c r="AG539" s="485">
        <f t="shared" si="885"/>
        <v>1</v>
      </c>
      <c r="AH539" s="485">
        <f t="shared" si="886"/>
        <v>0</v>
      </c>
      <c r="AI539" s="482">
        <f t="shared" si="887"/>
        <v>49990</v>
      </c>
      <c r="AJ539" s="482">
        <f t="shared" si="849"/>
        <v>0</v>
      </c>
      <c r="AK539" s="482">
        <f t="shared" si="888"/>
        <v>0</v>
      </c>
      <c r="AL539" s="482">
        <f t="shared" si="845"/>
        <v>49990</v>
      </c>
      <c r="AM539" s="314">
        <f t="shared" si="861"/>
        <v>22986</v>
      </c>
      <c r="AN539" s="314">
        <f t="shared" si="862"/>
        <v>0</v>
      </c>
      <c r="AO539" s="314">
        <f t="shared" si="863"/>
        <v>27004</v>
      </c>
      <c r="AP539" s="314">
        <f t="shared" si="864"/>
        <v>0</v>
      </c>
      <c r="AQ539" s="169"/>
      <c r="AT539" s="168"/>
      <c r="AU539" s="168"/>
    </row>
    <row r="540" spans="1:47" s="172" customFormat="1" ht="12.75" customHeight="1" x14ac:dyDescent="0.3">
      <c r="A540" s="488"/>
      <c r="B540" s="489" t="s">
        <v>1618</v>
      </c>
      <c r="C540" s="489"/>
      <c r="D540" s="490"/>
      <c r="E540" s="491"/>
      <c r="F540" s="492"/>
      <c r="G540" s="493"/>
      <c r="H540" s="493"/>
      <c r="I540" s="494"/>
      <c r="J540" s="495"/>
      <c r="K540" s="495"/>
      <c r="L540" s="495"/>
      <c r="M540" s="495"/>
      <c r="N540" s="494"/>
      <c r="O540" s="496"/>
      <c r="P540" s="169"/>
      <c r="Q540" s="489"/>
      <c r="R540" s="490"/>
      <c r="S540" s="491"/>
      <c r="T540" s="492"/>
      <c r="U540" s="493"/>
      <c r="V540" s="493"/>
      <c r="W540" s="495"/>
      <c r="X540" s="495"/>
      <c r="Y540" s="495"/>
      <c r="Z540" s="495"/>
      <c r="AA540" s="495"/>
      <c r="AB540" s="494"/>
      <c r="AC540" s="498"/>
      <c r="AD540" s="182"/>
      <c r="AE540" s="204"/>
      <c r="AF540" s="204" t="str">
        <f t="shared" si="873"/>
        <v>Former les points focaux des villages sur l'utilisation des outils de veille communautaire humanitaire dans les Zones de santé de NYIRAGONGO et RWANGUBA</v>
      </c>
      <c r="AG540" s="493"/>
      <c r="AH540" s="493"/>
      <c r="AI540" s="495"/>
      <c r="AJ540" s="495">
        <f t="shared" si="849"/>
        <v>0</v>
      </c>
      <c r="AK540" s="495"/>
      <c r="AL540" s="495">
        <f t="shared" si="845"/>
        <v>0</v>
      </c>
      <c r="AM540" s="317">
        <f t="shared" si="861"/>
        <v>0</v>
      </c>
      <c r="AN540" s="317">
        <f t="shared" si="862"/>
        <v>0</v>
      </c>
      <c r="AO540" s="317">
        <f t="shared" si="863"/>
        <v>0</v>
      </c>
      <c r="AP540" s="317">
        <f t="shared" si="864"/>
        <v>0</v>
      </c>
      <c r="AQ540" s="169"/>
      <c r="AT540" s="169"/>
      <c r="AU540" s="169"/>
    </row>
    <row r="541" spans="1:47" s="172" customFormat="1" x14ac:dyDescent="0.3">
      <c r="A541" s="509">
        <v>1</v>
      </c>
      <c r="B541" s="510" t="s">
        <v>465</v>
      </c>
      <c r="C541" s="409" t="s">
        <v>90</v>
      </c>
      <c r="D541" s="536">
        <v>2</v>
      </c>
      <c r="E541" s="411">
        <v>146</v>
      </c>
      <c r="F541" s="512">
        <v>2</v>
      </c>
      <c r="G541" s="413">
        <v>1</v>
      </c>
      <c r="H541" s="413">
        <f t="shared" ref="H541:H553" si="889">100%-G541</f>
        <v>0</v>
      </c>
      <c r="I541" s="414">
        <f t="shared" ref="I541:I553" si="890">D541*E541*F541*G541</f>
        <v>584</v>
      </c>
      <c r="J541" s="415">
        <f t="shared" ref="J541:J547" si="891">D541*E541*F541*H541</f>
        <v>0</v>
      </c>
      <c r="K541" s="415">
        <f t="shared" ref="K541:K547" si="892">I541</f>
        <v>584</v>
      </c>
      <c r="L541" s="415"/>
      <c r="M541" s="415"/>
      <c r="N541" s="416">
        <v>0</v>
      </c>
      <c r="O541" s="507" t="s">
        <v>1619</v>
      </c>
      <c r="Q541" s="409" t="s">
        <v>90</v>
      </c>
      <c r="R541" s="516">
        <v>2</v>
      </c>
      <c r="S541" s="411">
        <v>258</v>
      </c>
      <c r="T541" s="514">
        <v>2</v>
      </c>
      <c r="U541" s="413">
        <v>1</v>
      </c>
      <c r="V541" s="413">
        <f t="shared" ref="V541:V553" si="893">100%-U541</f>
        <v>0</v>
      </c>
      <c r="W541" s="419">
        <f t="shared" ref="W541:W553" si="894">R541*S541*T541*U541</f>
        <v>1032</v>
      </c>
      <c r="X541" s="415">
        <f t="shared" ref="X541:X553" si="895">R541*S541*T541*V541</f>
        <v>0</v>
      </c>
      <c r="Y541" s="415">
        <f t="shared" ref="Y541:Y553" si="896">W541</f>
        <v>1032</v>
      </c>
      <c r="Z541" s="415"/>
      <c r="AA541" s="415"/>
      <c r="AB541" s="416">
        <v>0</v>
      </c>
      <c r="AC541" s="417" t="s">
        <v>1620</v>
      </c>
      <c r="AD541" s="227"/>
      <c r="AE541" s="241">
        <v>1</v>
      </c>
      <c r="AF541" s="204" t="str">
        <f t="shared" si="873"/>
        <v xml:space="preserve">Pause café </v>
      </c>
      <c r="AG541" s="413">
        <f t="shared" ref="AG541:AG547" si="897">AI541/($AI541+$AK541)</f>
        <v>1</v>
      </c>
      <c r="AH541" s="413">
        <f t="shared" ref="AH541:AH547" si="898">AK541/($AI541+$AK541)</f>
        <v>0</v>
      </c>
      <c r="AI541" s="419">
        <f t="shared" ref="AI541:AI547" si="899">I541+W541</f>
        <v>1616</v>
      </c>
      <c r="AJ541" s="419">
        <f t="shared" si="849"/>
        <v>0</v>
      </c>
      <c r="AK541" s="415">
        <f t="shared" ref="AK541:AK547" si="900">J541+X541</f>
        <v>0</v>
      </c>
      <c r="AL541" s="415">
        <f t="shared" si="845"/>
        <v>1616</v>
      </c>
      <c r="AM541" s="323">
        <f t="shared" si="861"/>
        <v>584</v>
      </c>
      <c r="AN541" s="323">
        <f t="shared" si="862"/>
        <v>0</v>
      </c>
      <c r="AO541" s="323">
        <f t="shared" si="863"/>
        <v>1032</v>
      </c>
      <c r="AP541" s="323">
        <f t="shared" si="864"/>
        <v>0</v>
      </c>
      <c r="AQ541" s="169" t="s">
        <v>1153</v>
      </c>
      <c r="AT541" s="169"/>
      <c r="AU541" s="169"/>
    </row>
    <row r="542" spans="1:47" s="172" customFormat="1" x14ac:dyDescent="0.3">
      <c r="A542" s="509">
        <v>2</v>
      </c>
      <c r="B542" s="510" t="s">
        <v>486</v>
      </c>
      <c r="C542" s="409" t="s">
        <v>90</v>
      </c>
      <c r="D542" s="536">
        <v>5</v>
      </c>
      <c r="E542" s="411">
        <v>146</v>
      </c>
      <c r="F542" s="512">
        <v>2</v>
      </c>
      <c r="G542" s="413">
        <v>1</v>
      </c>
      <c r="H542" s="413">
        <f t="shared" si="889"/>
        <v>0</v>
      </c>
      <c r="I542" s="414">
        <f t="shared" si="890"/>
        <v>1460</v>
      </c>
      <c r="J542" s="415">
        <f t="shared" si="891"/>
        <v>0</v>
      </c>
      <c r="K542" s="415">
        <f t="shared" si="892"/>
        <v>1460</v>
      </c>
      <c r="L542" s="415"/>
      <c r="M542" s="415"/>
      <c r="N542" s="416">
        <v>0</v>
      </c>
      <c r="O542" s="507" t="s">
        <v>1619</v>
      </c>
      <c r="Q542" s="409" t="s">
        <v>90</v>
      </c>
      <c r="R542" s="516">
        <v>5</v>
      </c>
      <c r="S542" s="411">
        <v>258</v>
      </c>
      <c r="T542" s="514">
        <v>2</v>
      </c>
      <c r="U542" s="413">
        <v>1</v>
      </c>
      <c r="V542" s="413">
        <f t="shared" si="893"/>
        <v>0</v>
      </c>
      <c r="W542" s="419">
        <f t="shared" si="894"/>
        <v>2580</v>
      </c>
      <c r="X542" s="415">
        <f t="shared" si="895"/>
        <v>0</v>
      </c>
      <c r="Y542" s="415">
        <f t="shared" si="896"/>
        <v>2580</v>
      </c>
      <c r="Z542" s="415"/>
      <c r="AA542" s="415"/>
      <c r="AB542" s="416">
        <v>0</v>
      </c>
      <c r="AC542" s="417" t="s">
        <v>1620</v>
      </c>
      <c r="AD542" s="227"/>
      <c r="AE542" s="241">
        <v>2</v>
      </c>
      <c r="AF542" s="204" t="str">
        <f t="shared" si="873"/>
        <v xml:space="preserve">Pause repas </v>
      </c>
      <c r="AG542" s="413">
        <f t="shared" si="897"/>
        <v>1</v>
      </c>
      <c r="AH542" s="413">
        <f t="shared" si="898"/>
        <v>0</v>
      </c>
      <c r="AI542" s="419">
        <f t="shared" si="899"/>
        <v>4040</v>
      </c>
      <c r="AJ542" s="419">
        <f t="shared" si="849"/>
        <v>0</v>
      </c>
      <c r="AK542" s="415">
        <f t="shared" si="900"/>
        <v>0</v>
      </c>
      <c r="AL542" s="415">
        <f t="shared" si="845"/>
        <v>4040</v>
      </c>
      <c r="AM542" s="323">
        <f t="shared" si="861"/>
        <v>1460</v>
      </c>
      <c r="AN542" s="323">
        <f t="shared" si="862"/>
        <v>0</v>
      </c>
      <c r="AO542" s="323">
        <f t="shared" si="863"/>
        <v>2580</v>
      </c>
      <c r="AP542" s="323">
        <f t="shared" si="864"/>
        <v>0</v>
      </c>
      <c r="AQ542" s="169" t="s">
        <v>1153</v>
      </c>
      <c r="AT542" s="169"/>
      <c r="AU542" s="169"/>
    </row>
    <row r="543" spans="1:47" s="172" customFormat="1" x14ac:dyDescent="0.3">
      <c r="A543" s="509">
        <v>3</v>
      </c>
      <c r="B543" s="510" t="s">
        <v>450</v>
      </c>
      <c r="C543" s="409" t="s">
        <v>422</v>
      </c>
      <c r="D543" s="536">
        <v>50</v>
      </c>
      <c r="E543" s="411">
        <v>7</v>
      </c>
      <c r="F543" s="512">
        <v>2</v>
      </c>
      <c r="G543" s="413">
        <v>1</v>
      </c>
      <c r="H543" s="413">
        <f t="shared" si="889"/>
        <v>0</v>
      </c>
      <c r="I543" s="414">
        <f t="shared" si="890"/>
        <v>700</v>
      </c>
      <c r="J543" s="415">
        <f t="shared" si="891"/>
        <v>0</v>
      </c>
      <c r="K543" s="415">
        <f t="shared" si="892"/>
        <v>700</v>
      </c>
      <c r="L543" s="415"/>
      <c r="M543" s="415"/>
      <c r="N543" s="416">
        <v>0</v>
      </c>
      <c r="O543" s="507" t="s">
        <v>1621</v>
      </c>
      <c r="Q543" s="409" t="s">
        <v>422</v>
      </c>
      <c r="R543" s="516">
        <v>50</v>
      </c>
      <c r="S543" s="411">
        <v>13</v>
      </c>
      <c r="T543" s="514">
        <v>2</v>
      </c>
      <c r="U543" s="413">
        <v>1</v>
      </c>
      <c r="V543" s="413">
        <f t="shared" si="893"/>
        <v>0</v>
      </c>
      <c r="W543" s="419">
        <f t="shared" si="894"/>
        <v>1300</v>
      </c>
      <c r="X543" s="415">
        <f t="shared" si="895"/>
        <v>0</v>
      </c>
      <c r="Y543" s="415">
        <f t="shared" si="896"/>
        <v>1300</v>
      </c>
      <c r="Z543" s="415"/>
      <c r="AA543" s="415"/>
      <c r="AB543" s="416">
        <v>0</v>
      </c>
      <c r="AC543" s="417" t="s">
        <v>1622</v>
      </c>
      <c r="AD543" s="227"/>
      <c r="AE543" s="241">
        <v>3</v>
      </c>
      <c r="AF543" s="204" t="str">
        <f t="shared" si="873"/>
        <v xml:space="preserve">Location salle </v>
      </c>
      <c r="AG543" s="413">
        <f t="shared" si="897"/>
        <v>1</v>
      </c>
      <c r="AH543" s="413">
        <f t="shared" si="898"/>
        <v>0</v>
      </c>
      <c r="AI543" s="419">
        <f t="shared" si="899"/>
        <v>2000</v>
      </c>
      <c r="AJ543" s="419">
        <f t="shared" si="849"/>
        <v>0</v>
      </c>
      <c r="AK543" s="415">
        <f t="shared" si="900"/>
        <v>0</v>
      </c>
      <c r="AL543" s="415">
        <f t="shared" si="845"/>
        <v>2000</v>
      </c>
      <c r="AM543" s="323">
        <f t="shared" si="861"/>
        <v>700</v>
      </c>
      <c r="AN543" s="323">
        <f t="shared" si="862"/>
        <v>0</v>
      </c>
      <c r="AO543" s="323">
        <f t="shared" si="863"/>
        <v>1300</v>
      </c>
      <c r="AP543" s="323">
        <f t="shared" si="864"/>
        <v>0</v>
      </c>
      <c r="AQ543" s="169" t="s">
        <v>1153</v>
      </c>
      <c r="AT543" s="169"/>
      <c r="AU543" s="169"/>
    </row>
    <row r="544" spans="1:47" s="172" customFormat="1" x14ac:dyDescent="0.3">
      <c r="A544" s="509">
        <v>4</v>
      </c>
      <c r="B544" s="510" t="s">
        <v>1552</v>
      </c>
      <c r="C544" s="409" t="s">
        <v>90</v>
      </c>
      <c r="D544" s="536">
        <v>5</v>
      </c>
      <c r="E544" s="411">
        <v>146</v>
      </c>
      <c r="F544" s="512">
        <v>2</v>
      </c>
      <c r="G544" s="413">
        <v>1</v>
      </c>
      <c r="H544" s="413">
        <f t="shared" si="889"/>
        <v>0</v>
      </c>
      <c r="I544" s="414">
        <f>D544*E544*F544*G544</f>
        <v>1460</v>
      </c>
      <c r="J544" s="415">
        <f t="shared" si="891"/>
        <v>0</v>
      </c>
      <c r="K544" s="415">
        <f t="shared" si="892"/>
        <v>1460</v>
      </c>
      <c r="L544" s="415"/>
      <c r="M544" s="415"/>
      <c r="N544" s="416">
        <v>0</v>
      </c>
      <c r="O544" s="507" t="s">
        <v>1623</v>
      </c>
      <c r="Q544" s="409" t="s">
        <v>90</v>
      </c>
      <c r="R544" s="516">
        <v>5</v>
      </c>
      <c r="S544" s="411">
        <v>258</v>
      </c>
      <c r="T544" s="514">
        <v>2</v>
      </c>
      <c r="U544" s="413">
        <v>1</v>
      </c>
      <c r="V544" s="413">
        <f t="shared" si="893"/>
        <v>0</v>
      </c>
      <c r="W544" s="419">
        <f t="shared" si="894"/>
        <v>2580</v>
      </c>
      <c r="X544" s="415">
        <f t="shared" si="895"/>
        <v>0</v>
      </c>
      <c r="Y544" s="415">
        <f t="shared" si="896"/>
        <v>2580</v>
      </c>
      <c r="Z544" s="415"/>
      <c r="AA544" s="415"/>
      <c r="AB544" s="416">
        <v>0</v>
      </c>
      <c r="AC544" s="417" t="s">
        <v>1620</v>
      </c>
      <c r="AD544" s="227"/>
      <c r="AE544" s="241">
        <v>4</v>
      </c>
      <c r="AF544" s="204" t="str">
        <f t="shared" si="873"/>
        <v>Frais de transport des participants à Nyiragongo et Rwanguba</v>
      </c>
      <c r="AG544" s="413">
        <f t="shared" si="897"/>
        <v>1</v>
      </c>
      <c r="AH544" s="413">
        <f t="shared" si="898"/>
        <v>0</v>
      </c>
      <c r="AI544" s="419">
        <f t="shared" si="899"/>
        <v>4040</v>
      </c>
      <c r="AJ544" s="419">
        <f t="shared" si="849"/>
        <v>0</v>
      </c>
      <c r="AK544" s="415">
        <f t="shared" si="900"/>
        <v>0</v>
      </c>
      <c r="AL544" s="415">
        <f t="shared" si="845"/>
        <v>4040</v>
      </c>
      <c r="AM544" s="323">
        <f t="shared" si="861"/>
        <v>1460</v>
      </c>
      <c r="AN544" s="323">
        <f t="shared" si="862"/>
        <v>0</v>
      </c>
      <c r="AO544" s="323">
        <f t="shared" si="863"/>
        <v>2580</v>
      </c>
      <c r="AP544" s="323">
        <f t="shared" si="864"/>
        <v>0</v>
      </c>
      <c r="AQ544" s="169" t="s">
        <v>1153</v>
      </c>
      <c r="AT544" s="169"/>
      <c r="AU544" s="169"/>
    </row>
    <row r="545" spans="1:47" s="172" customFormat="1" x14ac:dyDescent="0.3">
      <c r="A545" s="509">
        <v>5</v>
      </c>
      <c r="B545" s="510" t="s">
        <v>1624</v>
      </c>
      <c r="C545" s="409" t="s">
        <v>90</v>
      </c>
      <c r="D545" s="537">
        <v>12.5</v>
      </c>
      <c r="E545" s="411">
        <v>21</v>
      </c>
      <c r="F545" s="512">
        <v>2</v>
      </c>
      <c r="G545" s="413">
        <v>1</v>
      </c>
      <c r="H545" s="413">
        <f t="shared" si="889"/>
        <v>0</v>
      </c>
      <c r="I545" s="414">
        <f t="shared" si="890"/>
        <v>525</v>
      </c>
      <c r="J545" s="415">
        <f t="shared" si="891"/>
        <v>0</v>
      </c>
      <c r="K545" s="415">
        <f t="shared" si="892"/>
        <v>525</v>
      </c>
      <c r="L545" s="415"/>
      <c r="M545" s="415"/>
      <c r="N545" s="416">
        <v>0</v>
      </c>
      <c r="O545" s="507" t="s">
        <v>1625</v>
      </c>
      <c r="Q545" s="409" t="s">
        <v>90</v>
      </c>
      <c r="R545" s="516">
        <v>12.5</v>
      </c>
      <c r="S545" s="411">
        <v>39</v>
      </c>
      <c r="T545" s="514">
        <v>2</v>
      </c>
      <c r="U545" s="413">
        <v>1</v>
      </c>
      <c r="V545" s="413">
        <f t="shared" si="893"/>
        <v>0</v>
      </c>
      <c r="W545" s="419">
        <f t="shared" si="894"/>
        <v>975</v>
      </c>
      <c r="X545" s="415">
        <f t="shared" si="895"/>
        <v>0</v>
      </c>
      <c r="Y545" s="415">
        <f t="shared" si="896"/>
        <v>975</v>
      </c>
      <c r="Z545" s="415"/>
      <c r="AA545" s="415"/>
      <c r="AB545" s="416">
        <v>0</v>
      </c>
      <c r="AC545" s="417" t="s">
        <v>1626</v>
      </c>
      <c r="AD545" s="227"/>
      <c r="AE545" s="241">
        <v>5</v>
      </c>
      <c r="AF545" s="204" t="str">
        <f t="shared" si="873"/>
        <v>Frais de facilitation des ECZ et IT déjà formé sur le mechanisme de veille communautaire</v>
      </c>
      <c r="AG545" s="413">
        <f t="shared" si="897"/>
        <v>1</v>
      </c>
      <c r="AH545" s="413">
        <f t="shared" si="898"/>
        <v>0</v>
      </c>
      <c r="AI545" s="419">
        <f t="shared" si="899"/>
        <v>1500</v>
      </c>
      <c r="AJ545" s="419">
        <f t="shared" si="849"/>
        <v>0</v>
      </c>
      <c r="AK545" s="415">
        <f t="shared" si="900"/>
        <v>0</v>
      </c>
      <c r="AL545" s="415">
        <f t="shared" si="845"/>
        <v>1500</v>
      </c>
      <c r="AM545" s="323">
        <f t="shared" si="861"/>
        <v>525</v>
      </c>
      <c r="AN545" s="323">
        <f t="shared" si="862"/>
        <v>0</v>
      </c>
      <c r="AO545" s="323">
        <f t="shared" si="863"/>
        <v>975</v>
      </c>
      <c r="AP545" s="323">
        <f t="shared" si="864"/>
        <v>0</v>
      </c>
      <c r="AQ545" s="169" t="s">
        <v>1153</v>
      </c>
      <c r="AT545" s="169"/>
      <c r="AU545" s="169"/>
    </row>
    <row r="546" spans="1:47" s="172" customFormat="1" ht="26" x14ac:dyDescent="0.3">
      <c r="A546" s="509">
        <v>6</v>
      </c>
      <c r="B546" s="510" t="s">
        <v>565</v>
      </c>
      <c r="C546" s="409" t="s">
        <v>90</v>
      </c>
      <c r="D546" s="536">
        <v>53</v>
      </c>
      <c r="E546" s="411">
        <v>3</v>
      </c>
      <c r="F546" s="512">
        <v>3</v>
      </c>
      <c r="G546" s="413">
        <v>1</v>
      </c>
      <c r="H546" s="413">
        <f t="shared" si="889"/>
        <v>0</v>
      </c>
      <c r="I546" s="414">
        <f t="shared" si="890"/>
        <v>477</v>
      </c>
      <c r="J546" s="415">
        <f t="shared" si="891"/>
        <v>0</v>
      </c>
      <c r="K546" s="415">
        <f t="shared" si="892"/>
        <v>477</v>
      </c>
      <c r="L546" s="415"/>
      <c r="M546" s="415"/>
      <c r="N546" s="416">
        <v>0</v>
      </c>
      <c r="O546" s="507" t="s">
        <v>1627</v>
      </c>
      <c r="Q546" s="409" t="s">
        <v>90</v>
      </c>
      <c r="R546" s="516">
        <v>53</v>
      </c>
      <c r="S546" s="411">
        <v>3</v>
      </c>
      <c r="T546" s="514">
        <v>3</v>
      </c>
      <c r="U546" s="413">
        <v>1</v>
      </c>
      <c r="V546" s="413">
        <f t="shared" si="893"/>
        <v>0</v>
      </c>
      <c r="W546" s="419">
        <f t="shared" si="894"/>
        <v>477</v>
      </c>
      <c r="X546" s="415">
        <f t="shared" si="895"/>
        <v>0</v>
      </c>
      <c r="Y546" s="415">
        <f t="shared" si="896"/>
        <v>477</v>
      </c>
      <c r="Z546" s="415"/>
      <c r="AA546" s="415"/>
      <c r="AB546" s="416">
        <v>0</v>
      </c>
      <c r="AC546" s="417" t="s">
        <v>1627</v>
      </c>
      <c r="AD546" s="227"/>
      <c r="AE546" s="241">
        <v>6</v>
      </c>
      <c r="AF546" s="204" t="str">
        <f t="shared" si="873"/>
        <v>DSA des experts du Groupe de travail sur la Réponse Rapide GTRR, la DPS et TASK FORCE pour supervision des activités de formation réalisées par les ECZ et IT</v>
      </c>
      <c r="AG546" s="413">
        <f t="shared" si="897"/>
        <v>1</v>
      </c>
      <c r="AH546" s="413">
        <f t="shared" si="898"/>
        <v>0</v>
      </c>
      <c r="AI546" s="419">
        <f t="shared" si="899"/>
        <v>954</v>
      </c>
      <c r="AJ546" s="419">
        <f t="shared" si="849"/>
        <v>0</v>
      </c>
      <c r="AK546" s="415">
        <f t="shared" si="900"/>
        <v>0</v>
      </c>
      <c r="AL546" s="415">
        <f t="shared" si="845"/>
        <v>954</v>
      </c>
      <c r="AM546" s="323">
        <f t="shared" si="861"/>
        <v>477</v>
      </c>
      <c r="AN546" s="323">
        <f t="shared" si="862"/>
        <v>0</v>
      </c>
      <c r="AO546" s="323">
        <f t="shared" si="863"/>
        <v>477</v>
      </c>
      <c r="AP546" s="323">
        <f t="shared" si="864"/>
        <v>0</v>
      </c>
      <c r="AQ546" s="169" t="s">
        <v>1153</v>
      </c>
      <c r="AT546" s="169"/>
      <c r="AU546" s="169"/>
    </row>
    <row r="547" spans="1:47" s="172" customFormat="1" x14ac:dyDescent="0.3">
      <c r="A547" s="509">
        <v>7</v>
      </c>
      <c r="B547" s="510" t="s">
        <v>487</v>
      </c>
      <c r="C547" s="409" t="s">
        <v>90</v>
      </c>
      <c r="D547" s="537">
        <v>2.5</v>
      </c>
      <c r="E547" s="411">
        <v>146</v>
      </c>
      <c r="F547" s="512">
        <v>1</v>
      </c>
      <c r="G547" s="413">
        <v>1</v>
      </c>
      <c r="H547" s="413">
        <f t="shared" si="889"/>
        <v>0</v>
      </c>
      <c r="I547" s="414">
        <f t="shared" si="890"/>
        <v>365</v>
      </c>
      <c r="J547" s="415">
        <f t="shared" si="891"/>
        <v>0</v>
      </c>
      <c r="K547" s="415">
        <f t="shared" si="892"/>
        <v>365</v>
      </c>
      <c r="L547" s="415"/>
      <c r="M547" s="415"/>
      <c r="N547" s="416">
        <v>0</v>
      </c>
      <c r="O547" s="507" t="s">
        <v>562</v>
      </c>
      <c r="Q547" s="409" t="s">
        <v>90</v>
      </c>
      <c r="R547" s="516">
        <v>2.5</v>
      </c>
      <c r="S547" s="411">
        <v>258</v>
      </c>
      <c r="T547" s="514">
        <v>1</v>
      </c>
      <c r="U547" s="413">
        <v>1</v>
      </c>
      <c r="V547" s="413">
        <f t="shared" si="893"/>
        <v>0</v>
      </c>
      <c r="W547" s="419">
        <f t="shared" si="894"/>
        <v>645</v>
      </c>
      <c r="X547" s="415">
        <f t="shared" si="895"/>
        <v>0</v>
      </c>
      <c r="Y547" s="415">
        <f t="shared" si="896"/>
        <v>645</v>
      </c>
      <c r="Z547" s="415"/>
      <c r="AA547" s="415"/>
      <c r="AB547" s="416">
        <v>0</v>
      </c>
      <c r="AC547" s="417" t="s">
        <v>562</v>
      </c>
      <c r="AD547" s="227"/>
      <c r="AE547" s="241">
        <v>7</v>
      </c>
      <c r="AF547" s="204" t="str">
        <f t="shared" si="873"/>
        <v>Fournitures (Kit -Stylos et blocs notes)</v>
      </c>
      <c r="AG547" s="413">
        <f t="shared" si="897"/>
        <v>1</v>
      </c>
      <c r="AH547" s="413">
        <f t="shared" si="898"/>
        <v>0</v>
      </c>
      <c r="AI547" s="419">
        <f t="shared" si="899"/>
        <v>1010</v>
      </c>
      <c r="AJ547" s="419">
        <f t="shared" si="849"/>
        <v>0</v>
      </c>
      <c r="AK547" s="415">
        <f t="shared" si="900"/>
        <v>0</v>
      </c>
      <c r="AL547" s="415">
        <f t="shared" si="845"/>
        <v>1010</v>
      </c>
      <c r="AM547" s="323">
        <f t="shared" si="861"/>
        <v>365</v>
      </c>
      <c r="AN547" s="323">
        <f t="shared" si="862"/>
        <v>0</v>
      </c>
      <c r="AO547" s="323">
        <f t="shared" si="863"/>
        <v>645</v>
      </c>
      <c r="AP547" s="323">
        <f t="shared" si="864"/>
        <v>0</v>
      </c>
      <c r="AQ547" s="169" t="s">
        <v>1153</v>
      </c>
      <c r="AT547" s="169"/>
      <c r="AU547" s="169"/>
    </row>
    <row r="548" spans="1:47" s="172" customFormat="1" ht="22.5" customHeight="1" x14ac:dyDescent="0.3">
      <c r="A548" s="488"/>
      <c r="B548" s="489" t="s">
        <v>1628</v>
      </c>
      <c r="C548" s="489"/>
      <c r="D548" s="490"/>
      <c r="E548" s="491"/>
      <c r="F548" s="492"/>
      <c r="G548" s="493"/>
      <c r="H548" s="493"/>
      <c r="I548" s="494"/>
      <c r="J548" s="495"/>
      <c r="K548" s="495"/>
      <c r="L548" s="495"/>
      <c r="M548" s="495"/>
      <c r="N548" s="494"/>
      <c r="O548" s="496"/>
      <c r="P548" s="169"/>
      <c r="Q548" s="489"/>
      <c r="R548" s="490"/>
      <c r="S548" s="491"/>
      <c r="T548" s="492"/>
      <c r="U548" s="493"/>
      <c r="V548" s="493"/>
      <c r="W548" s="495"/>
      <c r="X548" s="495"/>
      <c r="Y548" s="495"/>
      <c r="Z548" s="495"/>
      <c r="AA548" s="495"/>
      <c r="AB548" s="494"/>
      <c r="AC548" s="498"/>
      <c r="AD548" s="182"/>
      <c r="AE548" s="204"/>
      <c r="AF548" s="204" t="str">
        <f t="shared" si="873"/>
        <v>Appuyer les points focaux des villages avec les outils de veille humanitaire dans les Zones de santé de NYIRAGONGO et RWANGUBA</v>
      </c>
      <c r="AG548" s="493"/>
      <c r="AH548" s="493"/>
      <c r="AI548" s="495"/>
      <c r="AJ548" s="495">
        <f t="shared" si="849"/>
        <v>0</v>
      </c>
      <c r="AK548" s="495"/>
      <c r="AL548" s="495">
        <f t="shared" si="845"/>
        <v>0</v>
      </c>
      <c r="AM548" s="317">
        <f t="shared" si="861"/>
        <v>0</v>
      </c>
      <c r="AN548" s="317">
        <f t="shared" si="862"/>
        <v>0</v>
      </c>
      <c r="AO548" s="317">
        <f t="shared" si="863"/>
        <v>0</v>
      </c>
      <c r="AP548" s="317">
        <f t="shared" si="864"/>
        <v>0</v>
      </c>
      <c r="AQ548" s="169"/>
      <c r="AT548" s="169"/>
      <c r="AU548" s="169"/>
    </row>
    <row r="549" spans="1:47" s="172" customFormat="1" ht="26" x14ac:dyDescent="0.3">
      <c r="A549" s="509">
        <v>8</v>
      </c>
      <c r="B549" s="510" t="s">
        <v>566</v>
      </c>
      <c r="C549" s="409" t="s">
        <v>419</v>
      </c>
      <c r="D549" s="536">
        <v>50</v>
      </c>
      <c r="E549" s="411">
        <v>2</v>
      </c>
      <c r="F549" s="512">
        <v>9</v>
      </c>
      <c r="G549" s="413">
        <v>1</v>
      </c>
      <c r="H549" s="413">
        <f t="shared" si="889"/>
        <v>0</v>
      </c>
      <c r="I549" s="414">
        <f t="shared" si="890"/>
        <v>900</v>
      </c>
      <c r="J549" s="415">
        <f t="shared" ref="J549:J553" si="901">D549*E549*F549*H549</f>
        <v>0</v>
      </c>
      <c r="K549" s="415">
        <f t="shared" ref="K549:K553" si="902">I549</f>
        <v>900</v>
      </c>
      <c r="L549" s="415"/>
      <c r="M549" s="415"/>
      <c r="N549" s="416">
        <v>0</v>
      </c>
      <c r="O549" s="507" t="s">
        <v>567</v>
      </c>
      <c r="Q549" s="409" t="s">
        <v>419</v>
      </c>
      <c r="R549" s="516">
        <v>50</v>
      </c>
      <c r="S549" s="411">
        <v>2</v>
      </c>
      <c r="T549" s="514">
        <v>9</v>
      </c>
      <c r="U549" s="413">
        <v>1</v>
      </c>
      <c r="V549" s="413">
        <f t="shared" si="893"/>
        <v>0</v>
      </c>
      <c r="W549" s="419">
        <f t="shared" si="894"/>
        <v>900</v>
      </c>
      <c r="X549" s="415">
        <f t="shared" si="895"/>
        <v>0</v>
      </c>
      <c r="Y549" s="415">
        <f t="shared" si="896"/>
        <v>900</v>
      </c>
      <c r="Z549" s="415"/>
      <c r="AA549" s="415"/>
      <c r="AB549" s="416">
        <v>0</v>
      </c>
      <c r="AC549" s="417" t="s">
        <v>567</v>
      </c>
      <c r="AD549" s="227"/>
      <c r="AE549" s="241">
        <v>10</v>
      </c>
      <c r="AF549" s="204" t="str">
        <f t="shared" si="873"/>
        <v>Transport des chargés de suivi zonal et superviseurs de proximités pour suivi des alertes et documentation (monitoring continue)</v>
      </c>
      <c r="AG549" s="413">
        <f t="shared" ref="AG549:AG578" si="903">AI549/($AI549+$AK549)</f>
        <v>1</v>
      </c>
      <c r="AH549" s="413">
        <f t="shared" ref="AH549:AH578" si="904">AK549/($AI549+$AK549)</f>
        <v>0</v>
      </c>
      <c r="AI549" s="419">
        <f t="shared" ref="AI549:AI580" si="905">I549+W549</f>
        <v>1800</v>
      </c>
      <c r="AJ549" s="419">
        <f t="shared" si="849"/>
        <v>0</v>
      </c>
      <c r="AK549" s="415">
        <f t="shared" ref="AK549:AK580" si="906">J549+X549</f>
        <v>0</v>
      </c>
      <c r="AL549" s="415">
        <f t="shared" si="845"/>
        <v>1800</v>
      </c>
      <c r="AM549" s="323">
        <f t="shared" si="861"/>
        <v>900</v>
      </c>
      <c r="AN549" s="323">
        <f t="shared" si="862"/>
        <v>0</v>
      </c>
      <c r="AO549" s="323">
        <f t="shared" si="863"/>
        <v>900</v>
      </c>
      <c r="AP549" s="323">
        <f t="shared" si="864"/>
        <v>0</v>
      </c>
      <c r="AQ549" s="169" t="s">
        <v>1153</v>
      </c>
      <c r="AT549" s="169"/>
      <c r="AU549" s="169"/>
    </row>
    <row r="550" spans="1:47" s="199" customFormat="1" x14ac:dyDescent="0.35">
      <c r="A550" s="408">
        <v>9</v>
      </c>
      <c r="B550" s="409" t="s">
        <v>1629</v>
      </c>
      <c r="C550" s="409" t="s">
        <v>90</v>
      </c>
      <c r="D550" s="410">
        <v>53</v>
      </c>
      <c r="E550" s="411">
        <v>5</v>
      </c>
      <c r="F550" s="412">
        <v>15</v>
      </c>
      <c r="G550" s="413">
        <v>1</v>
      </c>
      <c r="H550" s="413">
        <f t="shared" si="889"/>
        <v>0</v>
      </c>
      <c r="I550" s="414">
        <f t="shared" si="890"/>
        <v>3975</v>
      </c>
      <c r="J550" s="415">
        <f t="shared" si="901"/>
        <v>0</v>
      </c>
      <c r="K550" s="415">
        <f t="shared" si="902"/>
        <v>3975</v>
      </c>
      <c r="L550" s="415"/>
      <c r="M550" s="415"/>
      <c r="N550" s="416">
        <v>0</v>
      </c>
      <c r="O550" s="417" t="s">
        <v>1630</v>
      </c>
      <c r="Q550" s="409" t="s">
        <v>90</v>
      </c>
      <c r="R550" s="418">
        <v>53</v>
      </c>
      <c r="S550" s="411">
        <v>5</v>
      </c>
      <c r="T550" s="411">
        <v>15</v>
      </c>
      <c r="U550" s="413">
        <v>1</v>
      </c>
      <c r="V550" s="413">
        <f t="shared" si="893"/>
        <v>0</v>
      </c>
      <c r="W550" s="419">
        <f t="shared" si="894"/>
        <v>3975</v>
      </c>
      <c r="X550" s="415">
        <f t="shared" si="895"/>
        <v>0</v>
      </c>
      <c r="Y550" s="415">
        <f t="shared" si="896"/>
        <v>3975</v>
      </c>
      <c r="Z550" s="415"/>
      <c r="AA550" s="415"/>
      <c r="AB550" s="416">
        <v>0</v>
      </c>
      <c r="AC550" s="417" t="s">
        <v>1630</v>
      </c>
      <c r="AD550" s="227"/>
      <c r="AE550" s="241">
        <v>11</v>
      </c>
      <c r="AF550" s="204" t="str">
        <f t="shared" si="873"/>
        <v xml:space="preserve">DSA pour le groupe de travaille GTRR pour des missions d'ERM en cas d'alerte prioritaire </v>
      </c>
      <c r="AG550" s="413">
        <f t="shared" si="903"/>
        <v>1</v>
      </c>
      <c r="AH550" s="413">
        <f t="shared" si="904"/>
        <v>0</v>
      </c>
      <c r="AI550" s="419">
        <f t="shared" si="905"/>
        <v>7950</v>
      </c>
      <c r="AJ550" s="419">
        <f t="shared" si="849"/>
        <v>0</v>
      </c>
      <c r="AK550" s="415">
        <f t="shared" si="906"/>
        <v>0</v>
      </c>
      <c r="AL550" s="415">
        <f t="shared" si="845"/>
        <v>7950</v>
      </c>
      <c r="AM550" s="323">
        <f t="shared" si="861"/>
        <v>3975</v>
      </c>
      <c r="AN550" s="323">
        <f t="shared" si="862"/>
        <v>0</v>
      </c>
      <c r="AO550" s="323">
        <f t="shared" si="863"/>
        <v>3975</v>
      </c>
      <c r="AP550" s="323">
        <f t="shared" si="864"/>
        <v>0</v>
      </c>
      <c r="AQ550" s="186" t="s">
        <v>1153</v>
      </c>
      <c r="AT550" s="186"/>
      <c r="AU550" s="186"/>
    </row>
    <row r="551" spans="1:47" s="199" customFormat="1" x14ac:dyDescent="0.35">
      <c r="A551" s="408">
        <v>10</v>
      </c>
      <c r="B551" s="409" t="s">
        <v>568</v>
      </c>
      <c r="C551" s="409" t="s">
        <v>90</v>
      </c>
      <c r="D551" s="410">
        <v>80</v>
      </c>
      <c r="E551" s="411">
        <v>5</v>
      </c>
      <c r="F551" s="412">
        <v>3</v>
      </c>
      <c r="G551" s="413">
        <v>1</v>
      </c>
      <c r="H551" s="413">
        <f t="shared" si="889"/>
        <v>0</v>
      </c>
      <c r="I551" s="414">
        <f t="shared" si="890"/>
        <v>1200</v>
      </c>
      <c r="J551" s="415">
        <f t="shared" si="901"/>
        <v>0</v>
      </c>
      <c r="K551" s="415">
        <f t="shared" si="902"/>
        <v>1200</v>
      </c>
      <c r="L551" s="415"/>
      <c r="M551" s="415"/>
      <c r="N551" s="416">
        <v>0</v>
      </c>
      <c r="O551" s="417" t="s">
        <v>1631</v>
      </c>
      <c r="Q551" s="409" t="s">
        <v>90</v>
      </c>
      <c r="R551" s="418">
        <v>80</v>
      </c>
      <c r="S551" s="411">
        <v>5</v>
      </c>
      <c r="T551" s="411">
        <v>3</v>
      </c>
      <c r="U551" s="413">
        <v>1</v>
      </c>
      <c r="V551" s="413">
        <f t="shared" si="893"/>
        <v>0</v>
      </c>
      <c r="W551" s="419">
        <f t="shared" si="894"/>
        <v>1200</v>
      </c>
      <c r="X551" s="415">
        <f t="shared" si="895"/>
        <v>0</v>
      </c>
      <c r="Y551" s="415">
        <f t="shared" si="896"/>
        <v>1200</v>
      </c>
      <c r="Z551" s="415"/>
      <c r="AA551" s="415"/>
      <c r="AB551" s="416">
        <v>0</v>
      </c>
      <c r="AC551" s="417" t="s">
        <v>1631</v>
      </c>
      <c r="AD551" s="227"/>
      <c r="AE551" s="241">
        <v>12</v>
      </c>
      <c r="AF551" s="204" t="str">
        <f t="shared" si="873"/>
        <v>Location véhicule pour les missions d'ERM et verification pour le GTRR</v>
      </c>
      <c r="AG551" s="413">
        <f t="shared" si="903"/>
        <v>1</v>
      </c>
      <c r="AH551" s="413">
        <f t="shared" si="904"/>
        <v>0</v>
      </c>
      <c r="AI551" s="419">
        <f t="shared" si="905"/>
        <v>2400</v>
      </c>
      <c r="AJ551" s="419">
        <f t="shared" si="849"/>
        <v>0</v>
      </c>
      <c r="AK551" s="415">
        <f t="shared" si="906"/>
        <v>0</v>
      </c>
      <c r="AL551" s="415">
        <f t="shared" si="845"/>
        <v>2400</v>
      </c>
      <c r="AM551" s="323">
        <f t="shared" si="861"/>
        <v>1200</v>
      </c>
      <c r="AN551" s="323">
        <f t="shared" si="862"/>
        <v>0</v>
      </c>
      <c r="AO551" s="323">
        <f t="shared" si="863"/>
        <v>1200</v>
      </c>
      <c r="AP551" s="323">
        <f t="shared" si="864"/>
        <v>0</v>
      </c>
      <c r="AQ551" s="186" t="s">
        <v>1153</v>
      </c>
      <c r="AT551" s="186"/>
      <c r="AU551" s="186"/>
    </row>
    <row r="552" spans="1:47" s="199" customFormat="1" ht="26" x14ac:dyDescent="0.35">
      <c r="A552" s="408">
        <v>11</v>
      </c>
      <c r="B552" s="409" t="s">
        <v>569</v>
      </c>
      <c r="C552" s="409" t="s">
        <v>90</v>
      </c>
      <c r="D552" s="410">
        <v>2</v>
      </c>
      <c r="E552" s="411">
        <v>620</v>
      </c>
      <c r="F552" s="412">
        <v>9</v>
      </c>
      <c r="G552" s="413">
        <v>1</v>
      </c>
      <c r="H552" s="413">
        <f t="shared" si="889"/>
        <v>0</v>
      </c>
      <c r="I552" s="414">
        <f t="shared" si="890"/>
        <v>11160</v>
      </c>
      <c r="J552" s="415">
        <f t="shared" si="901"/>
        <v>0</v>
      </c>
      <c r="K552" s="415">
        <f t="shared" si="902"/>
        <v>11160</v>
      </c>
      <c r="L552" s="415"/>
      <c r="M552" s="415"/>
      <c r="N552" s="416">
        <v>0</v>
      </c>
      <c r="O552" s="417" t="s">
        <v>1632</v>
      </c>
      <c r="Q552" s="409" t="s">
        <v>90</v>
      </c>
      <c r="R552" s="418">
        <v>2</v>
      </c>
      <c r="S552" s="411">
        <v>620</v>
      </c>
      <c r="T552" s="411">
        <v>9</v>
      </c>
      <c r="U552" s="413">
        <v>1</v>
      </c>
      <c r="V552" s="413">
        <f t="shared" si="893"/>
        <v>0</v>
      </c>
      <c r="W552" s="419">
        <f t="shared" si="894"/>
        <v>11160</v>
      </c>
      <c r="X552" s="415">
        <f t="shared" si="895"/>
        <v>0</v>
      </c>
      <c r="Y552" s="415">
        <f t="shared" si="896"/>
        <v>11160</v>
      </c>
      <c r="Z552" s="415"/>
      <c r="AA552" s="415"/>
      <c r="AB552" s="416">
        <v>0</v>
      </c>
      <c r="AC552" s="417" t="s">
        <v>1632</v>
      </c>
      <c r="AD552" s="227"/>
      <c r="AE552" s="241">
        <v>13</v>
      </c>
      <c r="AF552" s="204" t="str">
        <f t="shared" si="873"/>
        <v>Collation des équipes pour organisation des réunions de monitoring des alertes avec les ECZ,APA et Representant communautaire</v>
      </c>
      <c r="AG552" s="413">
        <f t="shared" si="903"/>
        <v>1</v>
      </c>
      <c r="AH552" s="413">
        <f t="shared" si="904"/>
        <v>0</v>
      </c>
      <c r="AI552" s="419">
        <f t="shared" si="905"/>
        <v>22320</v>
      </c>
      <c r="AJ552" s="419">
        <f t="shared" si="849"/>
        <v>0</v>
      </c>
      <c r="AK552" s="415">
        <f t="shared" si="906"/>
        <v>0</v>
      </c>
      <c r="AL552" s="415">
        <f t="shared" si="845"/>
        <v>22320</v>
      </c>
      <c r="AM552" s="323">
        <f t="shared" si="861"/>
        <v>11160</v>
      </c>
      <c r="AN552" s="323">
        <f t="shared" si="862"/>
        <v>0</v>
      </c>
      <c r="AO552" s="323">
        <f t="shared" si="863"/>
        <v>11160</v>
      </c>
      <c r="AP552" s="323">
        <f t="shared" si="864"/>
        <v>0</v>
      </c>
      <c r="AQ552" s="186" t="s">
        <v>1153</v>
      </c>
      <c r="AT552" s="186"/>
      <c r="AU552" s="186"/>
    </row>
    <row r="553" spans="1:47" s="199" customFormat="1" x14ac:dyDescent="0.35">
      <c r="A553" s="408">
        <v>12</v>
      </c>
      <c r="B553" s="409" t="s">
        <v>570</v>
      </c>
      <c r="C553" s="409" t="s">
        <v>90</v>
      </c>
      <c r="D553" s="410">
        <v>10</v>
      </c>
      <c r="E553" s="411">
        <v>2</v>
      </c>
      <c r="F553" s="412">
        <v>9</v>
      </c>
      <c r="G553" s="413">
        <v>1</v>
      </c>
      <c r="H553" s="413">
        <f t="shared" si="889"/>
        <v>0</v>
      </c>
      <c r="I553" s="414">
        <f t="shared" si="890"/>
        <v>180</v>
      </c>
      <c r="J553" s="415">
        <f t="shared" si="901"/>
        <v>0</v>
      </c>
      <c r="K553" s="415">
        <f t="shared" si="902"/>
        <v>180</v>
      </c>
      <c r="L553" s="415"/>
      <c r="M553" s="415"/>
      <c r="N553" s="416">
        <v>0</v>
      </c>
      <c r="O553" s="417" t="s">
        <v>571</v>
      </c>
      <c r="Q553" s="409" t="s">
        <v>90</v>
      </c>
      <c r="R553" s="418">
        <v>10</v>
      </c>
      <c r="S553" s="411">
        <v>2</v>
      </c>
      <c r="T553" s="411">
        <v>9</v>
      </c>
      <c r="U553" s="413">
        <v>1</v>
      </c>
      <c r="V553" s="413">
        <f t="shared" si="893"/>
        <v>0</v>
      </c>
      <c r="W553" s="419">
        <f t="shared" si="894"/>
        <v>180</v>
      </c>
      <c r="X553" s="415">
        <f t="shared" si="895"/>
        <v>0</v>
      </c>
      <c r="Y553" s="415">
        <f t="shared" si="896"/>
        <v>180</v>
      </c>
      <c r="Z553" s="415"/>
      <c r="AA553" s="415"/>
      <c r="AB553" s="416">
        <v>0</v>
      </c>
      <c r="AC553" s="417" t="s">
        <v>571</v>
      </c>
      <c r="AD553" s="227"/>
      <c r="AE553" s="241">
        <v>14</v>
      </c>
      <c r="AF553" s="204" t="str">
        <f t="shared" si="873"/>
        <v>Connexion pour le Point focal chargé de suivi évaluation au niveau zonal</v>
      </c>
      <c r="AG553" s="413">
        <f t="shared" si="903"/>
        <v>1</v>
      </c>
      <c r="AH553" s="413">
        <f t="shared" si="904"/>
        <v>0</v>
      </c>
      <c r="AI553" s="419">
        <f t="shared" si="905"/>
        <v>360</v>
      </c>
      <c r="AJ553" s="419">
        <f t="shared" si="849"/>
        <v>0</v>
      </c>
      <c r="AK553" s="415">
        <f t="shared" si="906"/>
        <v>0</v>
      </c>
      <c r="AL553" s="415">
        <f t="shared" si="845"/>
        <v>360</v>
      </c>
      <c r="AM553" s="323">
        <f t="shared" si="861"/>
        <v>180</v>
      </c>
      <c r="AN553" s="323">
        <f t="shared" si="862"/>
        <v>0</v>
      </c>
      <c r="AO553" s="323">
        <f t="shared" si="863"/>
        <v>180</v>
      </c>
      <c r="AP553" s="323">
        <f t="shared" si="864"/>
        <v>0</v>
      </c>
      <c r="AQ553" s="186" t="s">
        <v>1153</v>
      </c>
      <c r="AT553" s="186"/>
      <c r="AU553" s="186"/>
    </row>
    <row r="554" spans="1:47" s="182" customFormat="1" ht="12.75" customHeight="1" x14ac:dyDescent="0.35">
      <c r="A554" s="480" t="s">
        <v>1633</v>
      </c>
      <c r="B554" s="861" t="s">
        <v>572</v>
      </c>
      <c r="C554" s="862"/>
      <c r="D554" s="862"/>
      <c r="E554" s="862"/>
      <c r="F554" s="862"/>
      <c r="G554" s="862"/>
      <c r="H554" s="863"/>
      <c r="I554" s="481">
        <f>SUM(I555:I561)</f>
        <v>16533</v>
      </c>
      <c r="J554" s="482">
        <f t="shared" ref="J554:M554" si="907">SUM(J555:J561)</f>
        <v>0</v>
      </c>
      <c r="K554" s="482">
        <f t="shared" si="907"/>
        <v>6012</v>
      </c>
      <c r="L554" s="482">
        <f t="shared" si="907"/>
        <v>6012</v>
      </c>
      <c r="M554" s="482">
        <f t="shared" si="907"/>
        <v>4509</v>
      </c>
      <c r="N554" s="481">
        <f>SUM(N555:N561)</f>
        <v>0</v>
      </c>
      <c r="O554" s="508"/>
      <c r="Q554" s="538"/>
      <c r="R554" s="538"/>
      <c r="S554" s="538"/>
      <c r="T554" s="538"/>
      <c r="U554" s="538"/>
      <c r="V554" s="484"/>
      <c r="W554" s="482">
        <f>SUM(W555:W561)</f>
        <v>16533</v>
      </c>
      <c r="X554" s="482">
        <f t="shared" ref="X554:Y554" si="908">SUM(X555:X561)</f>
        <v>0</v>
      </c>
      <c r="Y554" s="482">
        <f t="shared" si="908"/>
        <v>5511</v>
      </c>
      <c r="Z554" s="482">
        <f t="shared" ref="Z554:AA554" si="909">SUM(Z555:Z561)</f>
        <v>5511</v>
      </c>
      <c r="AA554" s="482">
        <f t="shared" si="909"/>
        <v>5511</v>
      </c>
      <c r="AB554" s="481">
        <f>SUM(AB555:AB561)</f>
        <v>0</v>
      </c>
      <c r="AC554" s="508"/>
      <c r="AD554" s="234"/>
      <c r="AE554" s="247" t="s">
        <v>1633</v>
      </c>
      <c r="AF554" s="204" t="str">
        <f t="shared" si="873"/>
        <v>Appuyer le suivi et supervision de la mise en oeuvre des activites de la nutrition dans les aires de sante</v>
      </c>
      <c r="AG554" s="485">
        <f t="shared" si="903"/>
        <v>1</v>
      </c>
      <c r="AH554" s="485">
        <f t="shared" si="904"/>
        <v>0</v>
      </c>
      <c r="AI554" s="482">
        <f t="shared" si="905"/>
        <v>33066</v>
      </c>
      <c r="AJ554" s="482">
        <f t="shared" si="849"/>
        <v>0</v>
      </c>
      <c r="AK554" s="482">
        <f t="shared" si="906"/>
        <v>0</v>
      </c>
      <c r="AL554" s="482">
        <f t="shared" si="845"/>
        <v>33066</v>
      </c>
      <c r="AM554" s="314">
        <f t="shared" si="861"/>
        <v>16533</v>
      </c>
      <c r="AN554" s="314">
        <f t="shared" si="862"/>
        <v>0</v>
      </c>
      <c r="AO554" s="314">
        <f t="shared" si="863"/>
        <v>16533</v>
      </c>
      <c r="AP554" s="314">
        <f t="shared" si="864"/>
        <v>0</v>
      </c>
    </row>
    <row r="555" spans="1:47" s="186" customFormat="1" ht="26" x14ac:dyDescent="0.35">
      <c r="A555" s="408">
        <v>1</v>
      </c>
      <c r="B555" s="409" t="s">
        <v>1634</v>
      </c>
      <c r="C555" s="409" t="s">
        <v>1635</v>
      </c>
      <c r="D555" s="410">
        <f>10*2</f>
        <v>20</v>
      </c>
      <c r="E555" s="411">
        <v>6</v>
      </c>
      <c r="F555" s="412">
        <v>9</v>
      </c>
      <c r="G555" s="486">
        <v>1</v>
      </c>
      <c r="H555" s="486">
        <f t="shared" ref="H555:H561" si="910">100%-G555</f>
        <v>0</v>
      </c>
      <c r="I555" s="416">
        <f t="shared" ref="I555:I561" si="911">D555*E555*F555*G555</f>
        <v>1080</v>
      </c>
      <c r="J555" s="487">
        <f t="shared" ref="J555:J561" si="912">D555*E555*F555*H555</f>
        <v>0</v>
      </c>
      <c r="K555" s="487">
        <f t="shared" ref="K555:K560" si="913">I555*4/11</f>
        <v>392.72727272727275</v>
      </c>
      <c r="L555" s="487">
        <f t="shared" ref="L555:L560" si="914">I555*4/11</f>
        <v>392.72727272727275</v>
      </c>
      <c r="M555" s="487">
        <f t="shared" ref="M555:M560" si="915">I555*3/11</f>
        <v>294.54545454545456</v>
      </c>
      <c r="N555" s="416">
        <v>0</v>
      </c>
      <c r="O555" s="417" t="s">
        <v>1636</v>
      </c>
      <c r="Q555" s="409" t="s">
        <v>1635</v>
      </c>
      <c r="R555" s="418">
        <f>10*2</f>
        <v>20</v>
      </c>
      <c r="S555" s="411">
        <v>6</v>
      </c>
      <c r="T555" s="411">
        <v>9</v>
      </c>
      <c r="U555" s="486">
        <v>1</v>
      </c>
      <c r="V555" s="486">
        <f t="shared" ref="V555:V561" si="916">100%-U555</f>
        <v>0</v>
      </c>
      <c r="W555" s="506">
        <f t="shared" ref="W555:W561" si="917">R555*S555*T555*U555</f>
        <v>1080</v>
      </c>
      <c r="X555" s="487">
        <f t="shared" ref="X555:X561" si="918">R555*S555*T555*V555</f>
        <v>0</v>
      </c>
      <c r="Y555" s="487">
        <f t="shared" ref="Y555:Y561" si="919">W555*3/9</f>
        <v>360</v>
      </c>
      <c r="Z555" s="487">
        <f t="shared" ref="Z555:Z561" si="920">W555*3/9</f>
        <v>360</v>
      </c>
      <c r="AA555" s="487">
        <f t="shared" ref="AA555:AA561" si="921">W555*3/9</f>
        <v>360</v>
      </c>
      <c r="AB555" s="416">
        <v>0</v>
      </c>
      <c r="AC555" s="417" t="s">
        <v>1637</v>
      </c>
      <c r="AD555" s="227"/>
      <c r="AE555" s="241">
        <v>1</v>
      </c>
      <c r="AF555" s="204" t="str">
        <f t="shared" si="873"/>
        <v>Location motos pour les 2 BCZS</v>
      </c>
      <c r="AG555" s="486">
        <f t="shared" si="903"/>
        <v>1</v>
      </c>
      <c r="AH555" s="486">
        <f t="shared" si="904"/>
        <v>0</v>
      </c>
      <c r="AI555" s="506">
        <f t="shared" si="905"/>
        <v>2160</v>
      </c>
      <c r="AJ555" s="506">
        <f t="shared" si="849"/>
        <v>0</v>
      </c>
      <c r="AK555" s="487">
        <f t="shared" si="906"/>
        <v>0</v>
      </c>
      <c r="AL555" s="487">
        <f t="shared" si="845"/>
        <v>2160</v>
      </c>
      <c r="AM555" s="316">
        <f t="shared" si="861"/>
        <v>1080</v>
      </c>
      <c r="AN555" s="316">
        <f t="shared" si="862"/>
        <v>0</v>
      </c>
      <c r="AO555" s="316">
        <f t="shared" si="863"/>
        <v>1080</v>
      </c>
      <c r="AP555" s="316">
        <f t="shared" si="864"/>
        <v>0</v>
      </c>
      <c r="AQ555" s="186" t="s">
        <v>898</v>
      </c>
      <c r="AR555" s="186" t="s">
        <v>420</v>
      </c>
      <c r="AT555" s="284" t="s">
        <v>1638</v>
      </c>
      <c r="AU555" s="186" t="s">
        <v>1639</v>
      </c>
    </row>
    <row r="556" spans="1:47" s="186" customFormat="1" x14ac:dyDescent="0.35">
      <c r="A556" s="408">
        <v>2</v>
      </c>
      <c r="B556" s="409" t="s">
        <v>1640</v>
      </c>
      <c r="C556" s="409" t="s">
        <v>1641</v>
      </c>
      <c r="D556" s="410">
        <v>2.5</v>
      </c>
      <c r="E556" s="411">
        <v>120</v>
      </c>
      <c r="F556" s="412">
        <v>9</v>
      </c>
      <c r="G556" s="486">
        <v>1</v>
      </c>
      <c r="H556" s="486">
        <f t="shared" si="910"/>
        <v>0</v>
      </c>
      <c r="I556" s="416">
        <f t="shared" si="911"/>
        <v>2700</v>
      </c>
      <c r="J556" s="487">
        <f t="shared" si="912"/>
        <v>0</v>
      </c>
      <c r="K556" s="487">
        <f t="shared" si="913"/>
        <v>981.81818181818187</v>
      </c>
      <c r="L556" s="487">
        <f t="shared" si="914"/>
        <v>981.81818181818187</v>
      </c>
      <c r="M556" s="487">
        <f t="shared" si="915"/>
        <v>736.36363636363637</v>
      </c>
      <c r="N556" s="416">
        <v>0</v>
      </c>
      <c r="O556" s="417" t="s">
        <v>1642</v>
      </c>
      <c r="Q556" s="409" t="s">
        <v>1641</v>
      </c>
      <c r="R556" s="418">
        <v>2.5</v>
      </c>
      <c r="S556" s="411">
        <v>120</v>
      </c>
      <c r="T556" s="411">
        <v>9</v>
      </c>
      <c r="U556" s="486">
        <v>1</v>
      </c>
      <c r="V556" s="486">
        <f t="shared" si="916"/>
        <v>0</v>
      </c>
      <c r="W556" s="506">
        <f t="shared" si="917"/>
        <v>2700</v>
      </c>
      <c r="X556" s="487">
        <f t="shared" si="918"/>
        <v>0</v>
      </c>
      <c r="Y556" s="487">
        <f t="shared" si="919"/>
        <v>900</v>
      </c>
      <c r="Z556" s="487">
        <f t="shared" si="920"/>
        <v>900</v>
      </c>
      <c r="AA556" s="487">
        <f t="shared" si="921"/>
        <v>900</v>
      </c>
      <c r="AB556" s="416">
        <v>0</v>
      </c>
      <c r="AC556" s="417" t="s">
        <v>1643</v>
      </c>
      <c r="AD556" s="227"/>
      <c r="AE556" s="241">
        <v>2</v>
      </c>
      <c r="AF556" s="204" t="str">
        <f t="shared" si="873"/>
        <v>Carburant Essence</v>
      </c>
      <c r="AG556" s="486">
        <f t="shared" si="903"/>
        <v>1</v>
      </c>
      <c r="AH556" s="486">
        <f t="shared" si="904"/>
        <v>0</v>
      </c>
      <c r="AI556" s="506">
        <f t="shared" si="905"/>
        <v>5400</v>
      </c>
      <c r="AJ556" s="506">
        <f t="shared" si="849"/>
        <v>0</v>
      </c>
      <c r="AK556" s="487">
        <f t="shared" si="906"/>
        <v>0</v>
      </c>
      <c r="AL556" s="487">
        <f t="shared" si="845"/>
        <v>5400</v>
      </c>
      <c r="AM556" s="316">
        <f t="shared" si="861"/>
        <v>2700</v>
      </c>
      <c r="AN556" s="316">
        <f t="shared" si="862"/>
        <v>0</v>
      </c>
      <c r="AO556" s="316">
        <f t="shared" si="863"/>
        <v>2700</v>
      </c>
      <c r="AP556" s="316">
        <f t="shared" si="864"/>
        <v>0</v>
      </c>
      <c r="AQ556" s="186" t="s">
        <v>898</v>
      </c>
      <c r="AR556" s="186" t="s">
        <v>420</v>
      </c>
    </row>
    <row r="557" spans="1:47" s="186" customFormat="1" x14ac:dyDescent="0.35">
      <c r="A557" s="408">
        <v>3</v>
      </c>
      <c r="B557" s="409" t="s">
        <v>1644</v>
      </c>
      <c r="C557" s="409" t="s">
        <v>1635</v>
      </c>
      <c r="D557" s="410">
        <v>0</v>
      </c>
      <c r="E557" s="411">
        <v>6</v>
      </c>
      <c r="F557" s="412">
        <v>9</v>
      </c>
      <c r="G557" s="486">
        <v>1</v>
      </c>
      <c r="H557" s="486">
        <f t="shared" si="910"/>
        <v>0</v>
      </c>
      <c r="I557" s="416">
        <f t="shared" si="911"/>
        <v>0</v>
      </c>
      <c r="J557" s="487">
        <f t="shared" si="912"/>
        <v>0</v>
      </c>
      <c r="K557" s="487">
        <f t="shared" si="913"/>
        <v>0</v>
      </c>
      <c r="L557" s="487">
        <f t="shared" si="914"/>
        <v>0</v>
      </c>
      <c r="M557" s="487">
        <f t="shared" si="915"/>
        <v>0</v>
      </c>
      <c r="N557" s="416">
        <v>0</v>
      </c>
      <c r="O557" s="417" t="s">
        <v>1636</v>
      </c>
      <c r="Q557" s="409" t="s">
        <v>1635</v>
      </c>
      <c r="R557" s="418">
        <v>0</v>
      </c>
      <c r="S557" s="411">
        <v>6</v>
      </c>
      <c r="T557" s="411">
        <v>9</v>
      </c>
      <c r="U557" s="486">
        <v>1</v>
      </c>
      <c r="V557" s="486">
        <f t="shared" si="916"/>
        <v>0</v>
      </c>
      <c r="W557" s="506">
        <f t="shared" si="917"/>
        <v>0</v>
      </c>
      <c r="X557" s="487">
        <f t="shared" si="918"/>
        <v>0</v>
      </c>
      <c r="Y557" s="487">
        <f t="shared" si="919"/>
        <v>0</v>
      </c>
      <c r="Z557" s="487">
        <f t="shared" si="920"/>
        <v>0</v>
      </c>
      <c r="AA557" s="487">
        <f t="shared" si="921"/>
        <v>0</v>
      </c>
      <c r="AB557" s="416">
        <v>0</v>
      </c>
      <c r="AC557" s="417" t="s">
        <v>1637</v>
      </c>
      <c r="AD557" s="227"/>
      <c r="AE557" s="241">
        <v>3</v>
      </c>
      <c r="AF557" s="204" t="str">
        <f t="shared" si="873"/>
        <v>Entretien Moto</v>
      </c>
      <c r="AG557" s="486"/>
      <c r="AH557" s="486"/>
      <c r="AI557" s="506">
        <f t="shared" si="905"/>
        <v>0</v>
      </c>
      <c r="AJ557" s="506">
        <f t="shared" si="849"/>
        <v>0</v>
      </c>
      <c r="AK557" s="487">
        <f t="shared" si="906"/>
        <v>0</v>
      </c>
      <c r="AL557" s="487">
        <f t="shared" si="845"/>
        <v>0</v>
      </c>
      <c r="AM557" s="316">
        <f t="shared" si="861"/>
        <v>0</v>
      </c>
      <c r="AN557" s="316">
        <f t="shared" si="862"/>
        <v>0</v>
      </c>
      <c r="AO557" s="316">
        <f t="shared" si="863"/>
        <v>0</v>
      </c>
      <c r="AP557" s="316">
        <f t="shared" si="864"/>
        <v>0</v>
      </c>
      <c r="AQ557" s="186" t="s">
        <v>898</v>
      </c>
      <c r="AR557" s="186" t="s">
        <v>420</v>
      </c>
    </row>
    <row r="558" spans="1:47" s="186" customFormat="1" ht="26" x14ac:dyDescent="0.35">
      <c r="A558" s="408">
        <v>4</v>
      </c>
      <c r="B558" s="409" t="s">
        <v>1645</v>
      </c>
      <c r="C558" s="409" t="s">
        <v>1646</v>
      </c>
      <c r="D558" s="410">
        <v>30</v>
      </c>
      <c r="E558" s="411">
        <v>37</v>
      </c>
      <c r="F558" s="412">
        <v>9</v>
      </c>
      <c r="G558" s="486">
        <v>1</v>
      </c>
      <c r="H558" s="486">
        <f t="shared" si="910"/>
        <v>0</v>
      </c>
      <c r="I558" s="416">
        <f t="shared" si="911"/>
        <v>9990</v>
      </c>
      <c r="J558" s="487">
        <f t="shared" si="912"/>
        <v>0</v>
      </c>
      <c r="K558" s="487">
        <f t="shared" si="913"/>
        <v>3632.7272727272725</v>
      </c>
      <c r="L558" s="487">
        <f t="shared" si="914"/>
        <v>3632.7272727272725</v>
      </c>
      <c r="M558" s="487">
        <f t="shared" si="915"/>
        <v>2724.5454545454545</v>
      </c>
      <c r="N558" s="416">
        <v>0</v>
      </c>
      <c r="O558" s="417" t="s">
        <v>1647</v>
      </c>
      <c r="Q558" s="409" t="s">
        <v>1646</v>
      </c>
      <c r="R558" s="418">
        <v>30</v>
      </c>
      <c r="S558" s="411">
        <v>37</v>
      </c>
      <c r="T558" s="411">
        <v>9</v>
      </c>
      <c r="U558" s="486">
        <v>1</v>
      </c>
      <c r="V558" s="486">
        <f t="shared" si="916"/>
        <v>0</v>
      </c>
      <c r="W558" s="506">
        <f t="shared" si="917"/>
        <v>9990</v>
      </c>
      <c r="X558" s="487">
        <f t="shared" si="918"/>
        <v>0</v>
      </c>
      <c r="Y558" s="487">
        <f t="shared" si="919"/>
        <v>3330</v>
      </c>
      <c r="Z558" s="487">
        <f t="shared" si="920"/>
        <v>3330</v>
      </c>
      <c r="AA558" s="487">
        <f t="shared" si="921"/>
        <v>3330</v>
      </c>
      <c r="AB558" s="416">
        <v>0</v>
      </c>
      <c r="AC558" s="417" t="s">
        <v>1648</v>
      </c>
      <c r="AD558" s="227"/>
      <c r="AE558" s="241">
        <v>4</v>
      </c>
      <c r="AF558" s="204" t="str">
        <f t="shared" si="873"/>
        <v>Perdiem des agents de suivi</v>
      </c>
      <c r="AG558" s="486">
        <f t="shared" si="903"/>
        <v>1</v>
      </c>
      <c r="AH558" s="486">
        <f t="shared" si="904"/>
        <v>0</v>
      </c>
      <c r="AI558" s="506">
        <f t="shared" si="905"/>
        <v>19980</v>
      </c>
      <c r="AJ558" s="506">
        <f t="shared" si="849"/>
        <v>0</v>
      </c>
      <c r="AK558" s="487">
        <f t="shared" si="906"/>
        <v>0</v>
      </c>
      <c r="AL558" s="487">
        <f t="shared" si="845"/>
        <v>19980</v>
      </c>
      <c r="AM558" s="316">
        <f t="shared" si="861"/>
        <v>9990</v>
      </c>
      <c r="AN558" s="316">
        <f t="shared" si="862"/>
        <v>0</v>
      </c>
      <c r="AO558" s="316">
        <f t="shared" si="863"/>
        <v>9990</v>
      </c>
      <c r="AP558" s="316">
        <f t="shared" si="864"/>
        <v>0</v>
      </c>
      <c r="AQ558" s="186" t="s">
        <v>898</v>
      </c>
      <c r="AR558" s="186" t="s">
        <v>420</v>
      </c>
    </row>
    <row r="559" spans="1:47" s="186" customFormat="1" ht="26" x14ac:dyDescent="0.35">
      <c r="A559" s="408">
        <v>5</v>
      </c>
      <c r="B559" s="409" t="s">
        <v>1649</v>
      </c>
      <c r="C559" s="409" t="s">
        <v>1026</v>
      </c>
      <c r="D559" s="410">
        <v>7</v>
      </c>
      <c r="E559" s="411">
        <v>31</v>
      </c>
      <c r="F559" s="412">
        <v>9</v>
      </c>
      <c r="G559" s="486">
        <v>1</v>
      </c>
      <c r="H559" s="486">
        <f t="shared" si="910"/>
        <v>0</v>
      </c>
      <c r="I559" s="416">
        <f t="shared" si="911"/>
        <v>1953</v>
      </c>
      <c r="J559" s="487">
        <f t="shared" si="912"/>
        <v>0</v>
      </c>
      <c r="K559" s="487">
        <f t="shared" si="913"/>
        <v>710.18181818181813</v>
      </c>
      <c r="L559" s="487">
        <f t="shared" si="914"/>
        <v>710.18181818181813</v>
      </c>
      <c r="M559" s="487">
        <f t="shared" si="915"/>
        <v>532.63636363636363</v>
      </c>
      <c r="N559" s="416">
        <v>0</v>
      </c>
      <c r="O559" s="417" t="s">
        <v>1650</v>
      </c>
      <c r="Q559" s="409" t="s">
        <v>1026</v>
      </c>
      <c r="R559" s="418">
        <v>7</v>
      </c>
      <c r="S559" s="411">
        <v>31</v>
      </c>
      <c r="T559" s="411">
        <v>9</v>
      </c>
      <c r="U559" s="486">
        <v>1</v>
      </c>
      <c r="V559" s="486">
        <f t="shared" si="916"/>
        <v>0</v>
      </c>
      <c r="W559" s="506">
        <f t="shared" si="917"/>
        <v>1953</v>
      </c>
      <c r="X559" s="487">
        <f t="shared" si="918"/>
        <v>0</v>
      </c>
      <c r="Y559" s="487">
        <f t="shared" si="919"/>
        <v>651</v>
      </c>
      <c r="Z559" s="487">
        <f t="shared" si="920"/>
        <v>651</v>
      </c>
      <c r="AA559" s="487">
        <f t="shared" si="921"/>
        <v>651</v>
      </c>
      <c r="AB559" s="416">
        <v>0</v>
      </c>
      <c r="AC559" s="417" t="s">
        <v>1651</v>
      </c>
      <c r="AD559" s="227"/>
      <c r="AE559" s="241">
        <v>5</v>
      </c>
      <c r="AF559" s="204" t="str">
        <f t="shared" si="873"/>
        <v>Collation à la Restitution des resultats de chaque mission de suivi et evaluation au CODESA</v>
      </c>
      <c r="AG559" s="486">
        <f t="shared" si="903"/>
        <v>1</v>
      </c>
      <c r="AH559" s="486">
        <f t="shared" si="904"/>
        <v>0</v>
      </c>
      <c r="AI559" s="506">
        <f t="shared" si="905"/>
        <v>3906</v>
      </c>
      <c r="AJ559" s="506">
        <f t="shared" si="849"/>
        <v>0</v>
      </c>
      <c r="AK559" s="487">
        <f t="shared" si="906"/>
        <v>0</v>
      </c>
      <c r="AL559" s="487">
        <f t="shared" si="845"/>
        <v>3906</v>
      </c>
      <c r="AM559" s="316">
        <f t="shared" si="861"/>
        <v>1953</v>
      </c>
      <c r="AN559" s="316">
        <f t="shared" si="862"/>
        <v>0</v>
      </c>
      <c r="AO559" s="316">
        <f t="shared" si="863"/>
        <v>1953</v>
      </c>
      <c r="AP559" s="316">
        <f t="shared" si="864"/>
        <v>0</v>
      </c>
      <c r="AQ559" s="186" t="s">
        <v>898</v>
      </c>
      <c r="AR559" s="186" t="s">
        <v>420</v>
      </c>
    </row>
    <row r="560" spans="1:47" s="186" customFormat="1" ht="26" x14ac:dyDescent="0.35">
      <c r="A560" s="408">
        <v>6</v>
      </c>
      <c r="B560" s="409" t="s">
        <v>1652</v>
      </c>
      <c r="C560" s="409" t="s">
        <v>1040</v>
      </c>
      <c r="D560" s="573">
        <v>15</v>
      </c>
      <c r="E560" s="411">
        <v>6</v>
      </c>
      <c r="F560" s="412">
        <v>9</v>
      </c>
      <c r="G560" s="486">
        <v>1</v>
      </c>
      <c r="H560" s="486">
        <f t="shared" si="910"/>
        <v>0</v>
      </c>
      <c r="I560" s="416">
        <f t="shared" si="911"/>
        <v>810</v>
      </c>
      <c r="J560" s="487">
        <f t="shared" si="912"/>
        <v>0</v>
      </c>
      <c r="K560" s="487">
        <f t="shared" si="913"/>
        <v>294.54545454545456</v>
      </c>
      <c r="L560" s="487">
        <f t="shared" si="914"/>
        <v>294.54545454545456</v>
      </c>
      <c r="M560" s="487">
        <f t="shared" si="915"/>
        <v>220.90909090909091</v>
      </c>
      <c r="N560" s="416">
        <v>0</v>
      </c>
      <c r="O560" s="417" t="s">
        <v>1653</v>
      </c>
      <c r="Q560" s="409" t="s">
        <v>1040</v>
      </c>
      <c r="R560" s="410">
        <v>15</v>
      </c>
      <c r="S560" s="411">
        <v>6</v>
      </c>
      <c r="T560" s="411">
        <v>9</v>
      </c>
      <c r="U560" s="486">
        <v>1</v>
      </c>
      <c r="V560" s="486">
        <f t="shared" si="916"/>
        <v>0</v>
      </c>
      <c r="W560" s="506">
        <f t="shared" si="917"/>
        <v>810</v>
      </c>
      <c r="X560" s="487">
        <f t="shared" si="918"/>
        <v>0</v>
      </c>
      <c r="Y560" s="487">
        <f t="shared" si="919"/>
        <v>270</v>
      </c>
      <c r="Z560" s="487">
        <f t="shared" si="920"/>
        <v>270</v>
      </c>
      <c r="AA560" s="487">
        <f t="shared" si="921"/>
        <v>270</v>
      </c>
      <c r="AB560" s="416">
        <v>0</v>
      </c>
      <c r="AC560" s="417" t="s">
        <v>1654</v>
      </c>
      <c r="AD560" s="227"/>
      <c r="AE560" s="241">
        <v>6</v>
      </c>
      <c r="AF560" s="204" t="str">
        <f t="shared" si="873"/>
        <v>Achat unités pour communication et connexion internet</v>
      </c>
      <c r="AG560" s="486">
        <f t="shared" si="903"/>
        <v>1</v>
      </c>
      <c r="AH560" s="486">
        <f t="shared" si="904"/>
        <v>0</v>
      </c>
      <c r="AI560" s="506">
        <f t="shared" si="905"/>
        <v>1620</v>
      </c>
      <c r="AJ560" s="506">
        <f t="shared" si="849"/>
        <v>0</v>
      </c>
      <c r="AK560" s="487">
        <f t="shared" si="906"/>
        <v>0</v>
      </c>
      <c r="AL560" s="487">
        <f t="shared" si="845"/>
        <v>1620</v>
      </c>
      <c r="AM560" s="316">
        <f t="shared" si="861"/>
        <v>810</v>
      </c>
      <c r="AN560" s="316">
        <f t="shared" si="862"/>
        <v>0</v>
      </c>
      <c r="AO560" s="316">
        <f t="shared" si="863"/>
        <v>810</v>
      </c>
      <c r="AP560" s="316">
        <f t="shared" si="864"/>
        <v>0</v>
      </c>
      <c r="AQ560" s="186" t="s">
        <v>898</v>
      </c>
      <c r="AR560" s="186" t="s">
        <v>420</v>
      </c>
    </row>
    <row r="561" spans="1:47" s="186" customFormat="1" x14ac:dyDescent="0.35">
      <c r="A561" s="408">
        <v>7</v>
      </c>
      <c r="B561" s="409" t="s">
        <v>1655</v>
      </c>
      <c r="C561" s="409" t="s">
        <v>425</v>
      </c>
      <c r="D561" s="410"/>
      <c r="E561" s="411">
        <v>6</v>
      </c>
      <c r="F561" s="412">
        <v>9</v>
      </c>
      <c r="G561" s="486">
        <v>1</v>
      </c>
      <c r="H561" s="486">
        <f t="shared" si="910"/>
        <v>0</v>
      </c>
      <c r="I561" s="416">
        <f t="shared" si="911"/>
        <v>0</v>
      </c>
      <c r="J561" s="487">
        <f t="shared" si="912"/>
        <v>0</v>
      </c>
      <c r="K561" s="487">
        <f>I561</f>
        <v>0</v>
      </c>
      <c r="L561" s="487"/>
      <c r="M561" s="487"/>
      <c r="N561" s="416">
        <v>0</v>
      </c>
      <c r="O561" s="417" t="s">
        <v>1656</v>
      </c>
      <c r="Q561" s="409" t="s">
        <v>425</v>
      </c>
      <c r="R561" s="418"/>
      <c r="S561" s="411">
        <v>6</v>
      </c>
      <c r="T561" s="411">
        <v>9</v>
      </c>
      <c r="U561" s="486">
        <v>1</v>
      </c>
      <c r="V561" s="486">
        <f t="shared" si="916"/>
        <v>0</v>
      </c>
      <c r="W561" s="506">
        <f t="shared" si="917"/>
        <v>0</v>
      </c>
      <c r="X561" s="487">
        <f t="shared" si="918"/>
        <v>0</v>
      </c>
      <c r="Y561" s="487">
        <f t="shared" si="919"/>
        <v>0</v>
      </c>
      <c r="Z561" s="487">
        <f t="shared" si="920"/>
        <v>0</v>
      </c>
      <c r="AA561" s="487">
        <f t="shared" si="921"/>
        <v>0</v>
      </c>
      <c r="AB561" s="416">
        <v>0</v>
      </c>
      <c r="AC561" s="417" t="s">
        <v>1656</v>
      </c>
      <c r="AD561" s="227"/>
      <c r="AE561" s="241">
        <v>7</v>
      </c>
      <c r="AF561" s="204" t="str">
        <f t="shared" si="873"/>
        <v xml:space="preserve">EPI COVID-19  pour les missionnaires </v>
      </c>
      <c r="AG561" s="486"/>
      <c r="AH561" s="486"/>
      <c r="AI561" s="506">
        <f t="shared" si="905"/>
        <v>0</v>
      </c>
      <c r="AJ561" s="506">
        <f t="shared" si="849"/>
        <v>0</v>
      </c>
      <c r="AK561" s="487">
        <f t="shared" si="906"/>
        <v>0</v>
      </c>
      <c r="AL561" s="487">
        <f t="shared" si="845"/>
        <v>0</v>
      </c>
      <c r="AM561" s="316">
        <f t="shared" si="861"/>
        <v>0</v>
      </c>
      <c r="AN561" s="316">
        <f t="shared" si="862"/>
        <v>0</v>
      </c>
      <c r="AO561" s="316">
        <f t="shared" si="863"/>
        <v>0</v>
      </c>
      <c r="AP561" s="316">
        <f t="shared" si="864"/>
        <v>0</v>
      </c>
      <c r="AQ561" s="186" t="s">
        <v>898</v>
      </c>
      <c r="AR561" s="186" t="s">
        <v>420</v>
      </c>
    </row>
    <row r="562" spans="1:47" s="187" customFormat="1" ht="12.75" customHeight="1" x14ac:dyDescent="0.35">
      <c r="A562" s="480" t="s">
        <v>1657</v>
      </c>
      <c r="B562" s="861" t="s">
        <v>1658</v>
      </c>
      <c r="C562" s="862"/>
      <c r="D562" s="862"/>
      <c r="E562" s="862"/>
      <c r="F562" s="862"/>
      <c r="G562" s="862"/>
      <c r="H562" s="863"/>
      <c r="I562" s="481">
        <f t="shared" ref="I562:J562" si="922">SUM(I563:I565)</f>
        <v>11340</v>
      </c>
      <c r="J562" s="482">
        <f t="shared" si="922"/>
        <v>0</v>
      </c>
      <c r="K562" s="482">
        <f>SUM(K563:K565)</f>
        <v>4536</v>
      </c>
      <c r="L562" s="482">
        <f t="shared" ref="L562:N562" si="923">SUM(L563:L565)</f>
        <v>4536</v>
      </c>
      <c r="M562" s="482">
        <f t="shared" si="923"/>
        <v>2268</v>
      </c>
      <c r="N562" s="481">
        <f t="shared" si="923"/>
        <v>0</v>
      </c>
      <c r="O562" s="508"/>
      <c r="P562" s="182"/>
      <c r="Q562" s="538"/>
      <c r="R562" s="538"/>
      <c r="S562" s="538"/>
      <c r="T562" s="538"/>
      <c r="U562" s="538"/>
      <c r="V562" s="484"/>
      <c r="W562" s="482">
        <f t="shared" ref="W562:X562" si="924">SUM(W563:W565)</f>
        <v>11340</v>
      </c>
      <c r="X562" s="482">
        <f t="shared" si="924"/>
        <v>0</v>
      </c>
      <c r="Y562" s="482">
        <f>SUM(Y563:Y565)</f>
        <v>4536</v>
      </c>
      <c r="Z562" s="482">
        <f t="shared" ref="Z562:AB562" si="925">SUM(Z563:Z565)</f>
        <v>4536</v>
      </c>
      <c r="AA562" s="482">
        <f t="shared" si="925"/>
        <v>2268</v>
      </c>
      <c r="AB562" s="481">
        <f t="shared" si="925"/>
        <v>0</v>
      </c>
      <c r="AC562" s="508"/>
      <c r="AD562" s="234"/>
      <c r="AE562" s="247" t="s">
        <v>1657</v>
      </c>
      <c r="AF562" s="204" t="str">
        <f t="shared" si="873"/>
        <v>Appuyer les missions de suivi et supervision conjointe (DIVICOM,TASK FORCE COMMUNICATION ET DPS / ZONE DE SANTE) de la mise en œuvre de la dynamique communautaire à NYIRAGONGO et RWANGUBA</v>
      </c>
      <c r="AG562" s="485">
        <f t="shared" si="903"/>
        <v>1</v>
      </c>
      <c r="AH562" s="485">
        <f t="shared" si="904"/>
        <v>0</v>
      </c>
      <c r="AI562" s="482">
        <f t="shared" si="905"/>
        <v>22680</v>
      </c>
      <c r="AJ562" s="482">
        <f t="shared" si="849"/>
        <v>0</v>
      </c>
      <c r="AK562" s="482">
        <f t="shared" si="906"/>
        <v>0</v>
      </c>
      <c r="AL562" s="482">
        <f t="shared" si="845"/>
        <v>22680</v>
      </c>
      <c r="AM562" s="314">
        <f t="shared" si="861"/>
        <v>11340</v>
      </c>
      <c r="AN562" s="314">
        <f t="shared" si="862"/>
        <v>0</v>
      </c>
      <c r="AO562" s="314">
        <f t="shared" si="863"/>
        <v>11340</v>
      </c>
      <c r="AP562" s="314">
        <f t="shared" si="864"/>
        <v>0</v>
      </c>
      <c r="AT562" s="182"/>
      <c r="AU562" s="182"/>
    </row>
    <row r="563" spans="1:47" s="199" customFormat="1" ht="39" x14ac:dyDescent="0.35">
      <c r="A563" s="408">
        <v>1</v>
      </c>
      <c r="B563" s="409" t="s">
        <v>1659</v>
      </c>
      <c r="C563" s="409" t="s">
        <v>90</v>
      </c>
      <c r="D563" s="410">
        <v>100</v>
      </c>
      <c r="E563" s="411">
        <v>2</v>
      </c>
      <c r="F563" s="412">
        <v>9</v>
      </c>
      <c r="G563" s="413">
        <v>1</v>
      </c>
      <c r="H563" s="413">
        <f t="shared" ref="H563:H565" si="926">100%-G563</f>
        <v>0</v>
      </c>
      <c r="I563" s="414">
        <f t="shared" ref="I563:I565" si="927">D563*E563*F563*G563</f>
        <v>1800</v>
      </c>
      <c r="J563" s="415">
        <f>D563*E563*F563*H563</f>
        <v>0</v>
      </c>
      <c r="K563" s="415">
        <f>I563*40%</f>
        <v>720</v>
      </c>
      <c r="L563" s="415">
        <f>I563*40%</f>
        <v>720</v>
      </c>
      <c r="M563" s="415">
        <f>I563*20%</f>
        <v>360</v>
      </c>
      <c r="N563" s="416">
        <v>0</v>
      </c>
      <c r="O563" s="417" t="s">
        <v>1660</v>
      </c>
      <c r="Q563" s="409" t="s">
        <v>90</v>
      </c>
      <c r="R563" s="418">
        <v>100</v>
      </c>
      <c r="S563" s="411">
        <v>2</v>
      </c>
      <c r="T563" s="411">
        <v>9</v>
      </c>
      <c r="U563" s="413">
        <v>1</v>
      </c>
      <c r="V563" s="413">
        <f t="shared" ref="V563:V565" si="928">100%-U563</f>
        <v>0</v>
      </c>
      <c r="W563" s="419">
        <f t="shared" ref="W563:W565" si="929">R563*S563*T563*U563</f>
        <v>1800</v>
      </c>
      <c r="X563" s="415">
        <f t="shared" ref="X563:X565" si="930">R563*S563*T563*V563</f>
        <v>0</v>
      </c>
      <c r="Y563" s="415">
        <f>W563*40%</f>
        <v>720</v>
      </c>
      <c r="Z563" s="415">
        <f>W563*40%</f>
        <v>720</v>
      </c>
      <c r="AA563" s="415">
        <f>W563*20%</f>
        <v>360</v>
      </c>
      <c r="AB563" s="416">
        <v>0</v>
      </c>
      <c r="AC563" s="417" t="s">
        <v>1661</v>
      </c>
      <c r="AD563" s="227"/>
      <c r="AE563" s="241">
        <v>1</v>
      </c>
      <c r="AF563" s="204" t="str">
        <f t="shared" si="873"/>
        <v>Transport et communication des AC de ZS pour le suivi et supervision permanent</v>
      </c>
      <c r="AG563" s="413">
        <f t="shared" si="903"/>
        <v>1</v>
      </c>
      <c r="AH563" s="413">
        <f t="shared" si="904"/>
        <v>0</v>
      </c>
      <c r="AI563" s="419">
        <f t="shared" si="905"/>
        <v>3600</v>
      </c>
      <c r="AJ563" s="419">
        <f t="shared" si="849"/>
        <v>0</v>
      </c>
      <c r="AK563" s="415">
        <f t="shared" si="906"/>
        <v>0</v>
      </c>
      <c r="AL563" s="415">
        <f t="shared" si="845"/>
        <v>3600</v>
      </c>
      <c r="AM563" s="323">
        <f t="shared" si="861"/>
        <v>1800</v>
      </c>
      <c r="AN563" s="323">
        <f t="shared" si="862"/>
        <v>0</v>
      </c>
      <c r="AO563" s="323">
        <f t="shared" si="863"/>
        <v>1800</v>
      </c>
      <c r="AP563" s="323">
        <f t="shared" si="864"/>
        <v>0</v>
      </c>
      <c r="AQ563" s="186" t="s">
        <v>1153</v>
      </c>
      <c r="AT563" s="284" t="s">
        <v>1662</v>
      </c>
      <c r="AU563" s="186" t="s">
        <v>1663</v>
      </c>
    </row>
    <row r="564" spans="1:47" s="199" customFormat="1" ht="41.9" customHeight="1" x14ac:dyDescent="0.35">
      <c r="A564" s="408">
        <v>2</v>
      </c>
      <c r="B564" s="409" t="s">
        <v>1664</v>
      </c>
      <c r="C564" s="409" t="s">
        <v>90</v>
      </c>
      <c r="D564" s="410">
        <v>53</v>
      </c>
      <c r="E564" s="411">
        <v>15</v>
      </c>
      <c r="F564" s="412">
        <v>3</v>
      </c>
      <c r="G564" s="413">
        <v>1</v>
      </c>
      <c r="H564" s="413">
        <f t="shared" si="926"/>
        <v>0</v>
      </c>
      <c r="I564" s="414">
        <f t="shared" si="927"/>
        <v>2385</v>
      </c>
      <c r="J564" s="415">
        <f>D564*E564*F564*H564</f>
        <v>0</v>
      </c>
      <c r="K564" s="415">
        <f>I564*40%</f>
        <v>954</v>
      </c>
      <c r="L564" s="415">
        <f>I564*40%</f>
        <v>954</v>
      </c>
      <c r="M564" s="415">
        <f>I564*20%</f>
        <v>477</v>
      </c>
      <c r="N564" s="416">
        <v>0</v>
      </c>
      <c r="O564" s="417" t="s">
        <v>1665</v>
      </c>
      <c r="Q564" s="409" t="s">
        <v>90</v>
      </c>
      <c r="R564" s="418">
        <v>53</v>
      </c>
      <c r="S564" s="411">
        <v>15</v>
      </c>
      <c r="T564" s="411">
        <v>3</v>
      </c>
      <c r="U564" s="413">
        <v>1</v>
      </c>
      <c r="V564" s="413">
        <f t="shared" si="928"/>
        <v>0</v>
      </c>
      <c r="W564" s="419">
        <f t="shared" si="929"/>
        <v>2385</v>
      </c>
      <c r="X564" s="415">
        <f t="shared" si="930"/>
        <v>0</v>
      </c>
      <c r="Y564" s="415">
        <f t="shared" ref="Y564:Y565" si="931">W564*40%</f>
        <v>954</v>
      </c>
      <c r="Z564" s="415">
        <f t="shared" ref="Z564:Z565" si="932">W564*40%</f>
        <v>954</v>
      </c>
      <c r="AA564" s="415">
        <f t="shared" ref="AA564:AA565" si="933">W564*20%</f>
        <v>477</v>
      </c>
      <c r="AB564" s="416">
        <v>0</v>
      </c>
      <c r="AC564" s="417" t="s">
        <v>1666</v>
      </c>
      <c r="AD564" s="227"/>
      <c r="AE564" s="241">
        <v>2</v>
      </c>
      <c r="AF564" s="204" t="str">
        <f t="shared" si="873"/>
        <v xml:space="preserve">DSA pour les suivis et supervisions conjoints trimestriels (DIVICOM,TASK FORCE COMMUNICATION ET DPS / ZONE DE SANTE) </v>
      </c>
      <c r="AG564" s="413">
        <f t="shared" si="903"/>
        <v>1</v>
      </c>
      <c r="AH564" s="413">
        <f t="shared" si="904"/>
        <v>0</v>
      </c>
      <c r="AI564" s="419">
        <f t="shared" si="905"/>
        <v>4770</v>
      </c>
      <c r="AJ564" s="419">
        <f t="shared" si="849"/>
        <v>0</v>
      </c>
      <c r="AK564" s="415">
        <f t="shared" si="906"/>
        <v>0</v>
      </c>
      <c r="AL564" s="415">
        <f t="shared" si="845"/>
        <v>4770</v>
      </c>
      <c r="AM564" s="323">
        <f t="shared" si="861"/>
        <v>2385</v>
      </c>
      <c r="AN564" s="323">
        <f t="shared" si="862"/>
        <v>0</v>
      </c>
      <c r="AO564" s="323">
        <f t="shared" si="863"/>
        <v>2385</v>
      </c>
      <c r="AP564" s="323">
        <f t="shared" si="864"/>
        <v>0</v>
      </c>
      <c r="AQ564" s="186" t="s">
        <v>1153</v>
      </c>
      <c r="AT564" s="284" t="s">
        <v>1667</v>
      </c>
      <c r="AU564" s="186" t="s">
        <v>1668</v>
      </c>
    </row>
    <row r="565" spans="1:47" s="199" customFormat="1" ht="52" x14ac:dyDescent="0.35">
      <c r="A565" s="408">
        <v>3</v>
      </c>
      <c r="B565" s="409" t="s">
        <v>574</v>
      </c>
      <c r="C565" s="409" t="s">
        <v>90</v>
      </c>
      <c r="D565" s="410">
        <v>53</v>
      </c>
      <c r="E565" s="411">
        <v>15</v>
      </c>
      <c r="F565" s="412">
        <v>9</v>
      </c>
      <c r="G565" s="413">
        <v>1</v>
      </c>
      <c r="H565" s="413">
        <f t="shared" si="926"/>
        <v>0</v>
      </c>
      <c r="I565" s="414">
        <f t="shared" si="927"/>
        <v>7155</v>
      </c>
      <c r="J565" s="415">
        <f>D565*E565*F565*H565</f>
        <v>0</v>
      </c>
      <c r="K565" s="415">
        <f>I565*40%</f>
        <v>2862</v>
      </c>
      <c r="L565" s="415">
        <f>I565*40%</f>
        <v>2862</v>
      </c>
      <c r="M565" s="415">
        <f>I565*20%</f>
        <v>1431</v>
      </c>
      <c r="N565" s="416">
        <v>0</v>
      </c>
      <c r="O565" s="417" t="s">
        <v>1669</v>
      </c>
      <c r="Q565" s="409" t="s">
        <v>90</v>
      </c>
      <c r="R565" s="418">
        <v>53</v>
      </c>
      <c r="S565" s="411">
        <v>15</v>
      </c>
      <c r="T565" s="411">
        <v>9</v>
      </c>
      <c r="U565" s="413">
        <v>1</v>
      </c>
      <c r="V565" s="413">
        <f t="shared" si="928"/>
        <v>0</v>
      </c>
      <c r="W565" s="419">
        <f t="shared" si="929"/>
        <v>7155</v>
      </c>
      <c r="X565" s="415">
        <f t="shared" si="930"/>
        <v>0</v>
      </c>
      <c r="Y565" s="415">
        <f t="shared" si="931"/>
        <v>2862</v>
      </c>
      <c r="Z565" s="415">
        <f t="shared" si="932"/>
        <v>2862</v>
      </c>
      <c r="AA565" s="415">
        <f t="shared" si="933"/>
        <v>1431</v>
      </c>
      <c r="AB565" s="416">
        <v>0</v>
      </c>
      <c r="AC565" s="417" t="s">
        <v>1669</v>
      </c>
      <c r="AD565" s="227"/>
      <c r="AE565" s="241">
        <v>3</v>
      </c>
      <c r="AF565" s="204" t="str">
        <f t="shared" si="873"/>
        <v>DSA pour les missions de suivi et évaluation mensuel des équipes du projet</v>
      </c>
      <c r="AG565" s="413">
        <f t="shared" si="903"/>
        <v>1</v>
      </c>
      <c r="AH565" s="413">
        <f t="shared" si="904"/>
        <v>0</v>
      </c>
      <c r="AI565" s="419">
        <f t="shared" si="905"/>
        <v>14310</v>
      </c>
      <c r="AJ565" s="419">
        <f t="shared" si="849"/>
        <v>0</v>
      </c>
      <c r="AK565" s="415">
        <f t="shared" si="906"/>
        <v>0</v>
      </c>
      <c r="AL565" s="415">
        <f t="shared" si="845"/>
        <v>14310</v>
      </c>
      <c r="AM565" s="323">
        <f t="shared" si="861"/>
        <v>7155</v>
      </c>
      <c r="AN565" s="323">
        <f t="shared" si="862"/>
        <v>0</v>
      </c>
      <c r="AO565" s="323">
        <f t="shared" si="863"/>
        <v>7155</v>
      </c>
      <c r="AP565" s="323">
        <f t="shared" si="864"/>
        <v>0</v>
      </c>
      <c r="AQ565" s="186" t="s">
        <v>1153</v>
      </c>
      <c r="AT565" s="284" t="s">
        <v>1670</v>
      </c>
      <c r="AU565" s="186" t="s">
        <v>1671</v>
      </c>
    </row>
    <row r="566" spans="1:47" s="181" customFormat="1" ht="26.25" customHeight="1" x14ac:dyDescent="0.3">
      <c r="A566" s="574" t="s">
        <v>575</v>
      </c>
      <c r="B566" s="575" t="s">
        <v>329</v>
      </c>
      <c r="C566" s="574"/>
      <c r="D566" s="576"/>
      <c r="E566" s="577"/>
      <c r="F566" s="577"/>
      <c r="G566" s="578"/>
      <c r="H566" s="578"/>
      <c r="I566" s="579">
        <f>I567+I611+I637+I667</f>
        <v>580181.08799999999</v>
      </c>
      <c r="J566" s="580">
        <f>J567+J611+J637</f>
        <v>194244.18</v>
      </c>
      <c r="K566" s="580">
        <f>K567+K611+K637+K667</f>
        <v>330773.68654545455</v>
      </c>
      <c r="L566" s="580">
        <f t="shared" ref="L566:N566" si="934">L567+L611+L637+L667</f>
        <v>145787.43654545455</v>
      </c>
      <c r="M566" s="580">
        <f t="shared" si="934"/>
        <v>103619.96490909091</v>
      </c>
      <c r="N566" s="579">
        <f t="shared" si="934"/>
        <v>0</v>
      </c>
      <c r="O566" s="581"/>
      <c r="Q566" s="574"/>
      <c r="R566" s="576"/>
      <c r="S566" s="577"/>
      <c r="T566" s="577"/>
      <c r="U566" s="578"/>
      <c r="V566" s="578"/>
      <c r="W566" s="580">
        <f>W567+W611+W637+W667</f>
        <v>556190.08799999999</v>
      </c>
      <c r="X566" s="580">
        <f t="shared" ref="X566:AB566" si="935">X567+X611+X637+X667</f>
        <v>186855.18</v>
      </c>
      <c r="Y566" s="580">
        <f t="shared" si="935"/>
        <v>377593.37418181822</v>
      </c>
      <c r="Z566" s="580">
        <f t="shared" si="935"/>
        <v>91792.83418181818</v>
      </c>
      <c r="AA566" s="580">
        <f t="shared" si="935"/>
        <v>86803.879636363636</v>
      </c>
      <c r="AB566" s="579">
        <f t="shared" si="935"/>
        <v>0</v>
      </c>
      <c r="AC566" s="581"/>
      <c r="AD566" s="232"/>
      <c r="AE566" s="338" t="s">
        <v>575</v>
      </c>
      <c r="AF566" s="245" t="str">
        <f t="shared" si="873"/>
        <v>GESTION EFFICACE ET EFFICIENTE DU PROGRAMME</v>
      </c>
      <c r="AG566" s="578">
        <f t="shared" si="903"/>
        <v>0.74885880749647726</v>
      </c>
      <c r="AH566" s="578">
        <f t="shared" si="904"/>
        <v>0.25114119250352285</v>
      </c>
      <c r="AI566" s="580">
        <f t="shared" si="905"/>
        <v>1136371.176</v>
      </c>
      <c r="AJ566" s="580">
        <f>IFERROR((N566+AB566)," ")</f>
        <v>0</v>
      </c>
      <c r="AK566" s="580">
        <f t="shared" si="906"/>
        <v>381099.36</v>
      </c>
      <c r="AL566" s="580">
        <f>IFERROR((AI566+AK566)," ")</f>
        <v>1517470.5359999998</v>
      </c>
      <c r="AM566" s="325">
        <f t="shared" si="861"/>
        <v>580181.08799999999</v>
      </c>
      <c r="AN566" s="325">
        <f t="shared" si="862"/>
        <v>0</v>
      </c>
      <c r="AO566" s="325">
        <f t="shared" si="863"/>
        <v>556190.08799999999</v>
      </c>
      <c r="AP566" s="325">
        <f t="shared" si="864"/>
        <v>0</v>
      </c>
    </row>
    <row r="567" spans="1:47" s="181" customFormat="1" ht="24" customHeight="1" x14ac:dyDescent="0.3">
      <c r="A567" s="473" t="s">
        <v>288</v>
      </c>
      <c r="B567" s="474" t="s">
        <v>576</v>
      </c>
      <c r="C567" s="473"/>
      <c r="D567" s="475"/>
      <c r="E567" s="476"/>
      <c r="F567" s="476"/>
      <c r="G567" s="477"/>
      <c r="H567" s="477"/>
      <c r="I567" s="478">
        <f>I568+I583+I604</f>
        <v>282491.68799999997</v>
      </c>
      <c r="J567" s="534">
        <f t="shared" ref="J567:N567" si="936">J568+J583+J604</f>
        <v>25862.58</v>
      </c>
      <c r="K567" s="534">
        <f t="shared" si="936"/>
        <v>118989.70472727274</v>
      </c>
      <c r="L567" s="534">
        <f t="shared" si="936"/>
        <v>93429.704727272736</v>
      </c>
      <c r="M567" s="534">
        <f t="shared" si="936"/>
        <v>70072.278545454552</v>
      </c>
      <c r="N567" s="478">
        <f t="shared" si="936"/>
        <v>0</v>
      </c>
      <c r="O567" s="479"/>
      <c r="Q567" s="473"/>
      <c r="R567" s="475"/>
      <c r="S567" s="476"/>
      <c r="T567" s="476"/>
      <c r="U567" s="477"/>
      <c r="V567" s="477"/>
      <c r="W567" s="478">
        <f>W568+W583+W604</f>
        <v>239830.68800000002</v>
      </c>
      <c r="X567" s="478">
        <f t="shared" ref="X567:AB567" si="937">X568+X583+X604</f>
        <v>24923.58</v>
      </c>
      <c r="Y567" s="478">
        <f t="shared" si="937"/>
        <v>110622.48690909091</v>
      </c>
      <c r="Z567" s="478">
        <f t="shared" si="937"/>
        <v>65062.486909090905</v>
      </c>
      <c r="AA567" s="478">
        <f t="shared" si="937"/>
        <v>64145.714181818184</v>
      </c>
      <c r="AB567" s="478">
        <f t="shared" si="937"/>
        <v>0</v>
      </c>
      <c r="AC567" s="479"/>
      <c r="AD567" s="232"/>
      <c r="AE567" s="338" t="s">
        <v>288</v>
      </c>
      <c r="AF567" s="245" t="str">
        <f t="shared" si="873"/>
        <v>Couts operationnels Education et Nutrition</v>
      </c>
      <c r="AG567" s="477">
        <f t="shared" si="903"/>
        <v>0.91138474336037467</v>
      </c>
      <c r="AH567" s="477">
        <f t="shared" si="904"/>
        <v>8.8615256639625425E-2</v>
      </c>
      <c r="AI567" s="534">
        <f t="shared" si="905"/>
        <v>522322.37599999999</v>
      </c>
      <c r="AJ567" s="534">
        <f t="shared" ref="AJ567:AJ598" si="938">N567+AB567</f>
        <v>0</v>
      </c>
      <c r="AK567" s="534">
        <f t="shared" si="906"/>
        <v>50786.16</v>
      </c>
      <c r="AL567" s="534">
        <f>AI567+AJ567+AK567</f>
        <v>573108.53599999996</v>
      </c>
      <c r="AM567" s="321">
        <f t="shared" si="861"/>
        <v>282491.68799999997</v>
      </c>
      <c r="AN567" s="321">
        <f t="shared" si="862"/>
        <v>0</v>
      </c>
      <c r="AO567" s="321">
        <f t="shared" si="863"/>
        <v>239830.68800000002</v>
      </c>
      <c r="AP567" s="321">
        <f t="shared" si="864"/>
        <v>0</v>
      </c>
    </row>
    <row r="568" spans="1:47" ht="12.75" customHeight="1" x14ac:dyDescent="0.3">
      <c r="A568" s="480" t="s">
        <v>291</v>
      </c>
      <c r="B568" s="861" t="s">
        <v>577</v>
      </c>
      <c r="C568" s="862"/>
      <c r="D568" s="862"/>
      <c r="E568" s="862"/>
      <c r="F568" s="862"/>
      <c r="G568" s="862"/>
      <c r="H568" s="863"/>
      <c r="I568" s="481">
        <f>SUM(I569:I582)</f>
        <v>56118.168000000005</v>
      </c>
      <c r="J568" s="482">
        <f t="shared" ref="J568:M568" si="939">SUM(J569:J582)</f>
        <v>1174.5</v>
      </c>
      <c r="K568" s="482">
        <f t="shared" si="939"/>
        <v>20406.606545454546</v>
      </c>
      <c r="L568" s="482">
        <f t="shared" si="939"/>
        <v>20406.606545454546</v>
      </c>
      <c r="M568" s="482">
        <f t="shared" si="939"/>
        <v>15304.954909090909</v>
      </c>
      <c r="N568" s="481">
        <f>SUM(N569:N582)</f>
        <v>0</v>
      </c>
      <c r="O568" s="508"/>
      <c r="Q568" s="538"/>
      <c r="R568" s="539"/>
      <c r="S568" s="538"/>
      <c r="T568" s="539"/>
      <c r="U568" s="539"/>
      <c r="V568" s="484"/>
      <c r="W568" s="482">
        <f>SUM(W569:W582)</f>
        <v>53877.168000000005</v>
      </c>
      <c r="X568" s="482">
        <f t="shared" ref="X568:Y568" si="940">SUM(X569:X582)</f>
        <v>3415.5</v>
      </c>
      <c r="Y568" s="482">
        <f t="shared" si="940"/>
        <v>18264.646909090905</v>
      </c>
      <c r="Z568" s="482">
        <f t="shared" ref="Z568:AA568" si="941">SUM(Z569:Z582)</f>
        <v>18264.646909090905</v>
      </c>
      <c r="AA568" s="482">
        <f t="shared" si="941"/>
        <v>17347.874181818181</v>
      </c>
      <c r="AB568" s="481">
        <f>SUM(AB569:AB582)</f>
        <v>0</v>
      </c>
      <c r="AC568" s="508"/>
      <c r="AD568" s="234"/>
      <c r="AE568" s="247" t="s">
        <v>291</v>
      </c>
      <c r="AF568" s="204" t="str">
        <f t="shared" si="873"/>
        <v>In-country management and support staff costs, pro-rated to their contribution to the programme (representation, planning, coordination, logistics, admin, finance)</v>
      </c>
      <c r="AG568" s="485">
        <f t="shared" si="903"/>
        <v>0.95994251829920019</v>
      </c>
      <c r="AH568" s="485">
        <f t="shared" si="904"/>
        <v>4.0057481700799827E-2</v>
      </c>
      <c r="AI568" s="482">
        <f t="shared" si="905"/>
        <v>109995.33600000001</v>
      </c>
      <c r="AJ568" s="482">
        <f t="shared" si="938"/>
        <v>0</v>
      </c>
      <c r="AK568" s="482">
        <f t="shared" si="906"/>
        <v>4590</v>
      </c>
      <c r="AL568" s="482">
        <f t="shared" si="845"/>
        <v>114585.33600000001</v>
      </c>
      <c r="AM568" s="314">
        <f t="shared" si="861"/>
        <v>56118.168000000005</v>
      </c>
      <c r="AN568" s="314">
        <f t="shared" si="862"/>
        <v>0</v>
      </c>
      <c r="AO568" s="314">
        <f t="shared" si="863"/>
        <v>53877.168000000005</v>
      </c>
      <c r="AP568" s="314">
        <f t="shared" si="864"/>
        <v>0</v>
      </c>
    </row>
    <row r="569" spans="1:47" s="169" customFormat="1" ht="26" x14ac:dyDescent="0.3">
      <c r="A569" s="582">
        <v>1</v>
      </c>
      <c r="B569" s="583" t="s">
        <v>578</v>
      </c>
      <c r="C569" s="562" t="s">
        <v>401</v>
      </c>
      <c r="D569" s="536">
        <f>(4881.94)</f>
        <v>4881.9399999999996</v>
      </c>
      <c r="E569" s="584">
        <f>1*10%</f>
        <v>0.1</v>
      </c>
      <c r="F569" s="512">
        <v>9</v>
      </c>
      <c r="G569" s="503">
        <v>1</v>
      </c>
      <c r="H569" s="503">
        <v>0</v>
      </c>
      <c r="I569" s="416">
        <f t="shared" ref="I569:I582" si="942">D569*E569*F569*G569</f>
        <v>4393.7459999999992</v>
      </c>
      <c r="J569" s="487">
        <f t="shared" ref="J569:J579" si="943">D569*E569*F569*H569</f>
        <v>0</v>
      </c>
      <c r="K569" s="487">
        <f t="shared" ref="K569:K582" si="944">I569*4/11</f>
        <v>1597.7258181818179</v>
      </c>
      <c r="L569" s="487">
        <f t="shared" ref="L569:L582" si="945">I569*4/11</f>
        <v>1597.7258181818179</v>
      </c>
      <c r="M569" s="487">
        <f t="shared" ref="M569:M582" si="946">I569*3/11</f>
        <v>1198.2943636363634</v>
      </c>
      <c r="N569" s="416">
        <v>0</v>
      </c>
      <c r="O569" s="518" t="s">
        <v>579</v>
      </c>
      <c r="Q569" s="562" t="s">
        <v>401</v>
      </c>
      <c r="R569" s="516">
        <f>(4881.94)</f>
        <v>4881.9399999999996</v>
      </c>
      <c r="S569" s="584">
        <f>1*10%</f>
        <v>0.1</v>
      </c>
      <c r="T569" s="514">
        <v>9</v>
      </c>
      <c r="U569" s="503">
        <v>1</v>
      </c>
      <c r="V569" s="503">
        <v>0</v>
      </c>
      <c r="W569" s="506">
        <f t="shared" ref="W569:W582" si="947">R569*S569*T569*U569</f>
        <v>4393.7459999999992</v>
      </c>
      <c r="X569" s="487">
        <f t="shared" ref="X569:X582" si="948">R569*S569*T569*V569</f>
        <v>0</v>
      </c>
      <c r="Y569" s="513">
        <f>W569*3/9</f>
        <v>1464.5819999999997</v>
      </c>
      <c r="Z569" s="513">
        <f>W569*3/9</f>
        <v>1464.5819999999997</v>
      </c>
      <c r="AA569" s="513">
        <f>W569*3/9</f>
        <v>1464.5819999999997</v>
      </c>
      <c r="AB569" s="416">
        <v>0</v>
      </c>
      <c r="AC569" s="563" t="s">
        <v>1672</v>
      </c>
      <c r="AD569" s="239"/>
      <c r="AE569" s="237">
        <v>1</v>
      </c>
      <c r="AF569" s="204" t="str">
        <f t="shared" si="873"/>
        <v>1 Base Manager (10%)</v>
      </c>
      <c r="AG569" s="486">
        <f t="shared" si="903"/>
        <v>1</v>
      </c>
      <c r="AH569" s="486">
        <f t="shared" si="904"/>
        <v>0</v>
      </c>
      <c r="AI569" s="506">
        <f t="shared" si="905"/>
        <v>8787.4919999999984</v>
      </c>
      <c r="AJ569" s="506">
        <f t="shared" si="938"/>
        <v>0</v>
      </c>
      <c r="AK569" s="487">
        <f t="shared" si="906"/>
        <v>0</v>
      </c>
      <c r="AL569" s="487">
        <f t="shared" si="845"/>
        <v>8787.4919999999984</v>
      </c>
      <c r="AM569" s="316">
        <f t="shared" si="861"/>
        <v>4393.7459999999992</v>
      </c>
      <c r="AN569" s="316">
        <f t="shared" si="862"/>
        <v>0</v>
      </c>
      <c r="AO569" s="316">
        <f t="shared" si="863"/>
        <v>4393.7459999999992</v>
      </c>
      <c r="AP569" s="316">
        <f t="shared" si="864"/>
        <v>0</v>
      </c>
      <c r="AQ569" s="169" t="s">
        <v>898</v>
      </c>
      <c r="AR569" s="169" t="s">
        <v>349</v>
      </c>
      <c r="AS569" s="169" t="s">
        <v>420</v>
      </c>
    </row>
    <row r="570" spans="1:47" s="169" customFormat="1" ht="26" x14ac:dyDescent="0.3">
      <c r="A570" s="582">
        <v>2</v>
      </c>
      <c r="B570" s="583" t="s">
        <v>580</v>
      </c>
      <c r="C570" s="562" t="s">
        <v>401</v>
      </c>
      <c r="D570" s="536">
        <f>2425.69</f>
        <v>2425.69</v>
      </c>
      <c r="E570" s="584">
        <f>1*20%</f>
        <v>0.2</v>
      </c>
      <c r="F570" s="512">
        <v>9</v>
      </c>
      <c r="G570" s="503">
        <v>1</v>
      </c>
      <c r="H570" s="503">
        <v>0</v>
      </c>
      <c r="I570" s="416">
        <f t="shared" si="942"/>
        <v>4366.2420000000002</v>
      </c>
      <c r="J570" s="487">
        <f t="shared" si="943"/>
        <v>0</v>
      </c>
      <c r="K570" s="487">
        <f t="shared" si="944"/>
        <v>1587.7243636363637</v>
      </c>
      <c r="L570" s="487">
        <f t="shared" si="945"/>
        <v>1587.7243636363637</v>
      </c>
      <c r="M570" s="487">
        <f t="shared" si="946"/>
        <v>1190.7932727272728</v>
      </c>
      <c r="N570" s="416">
        <v>0</v>
      </c>
      <c r="O570" s="518" t="s">
        <v>581</v>
      </c>
      <c r="Q570" s="562" t="s">
        <v>401</v>
      </c>
      <c r="R570" s="516">
        <f>2425.69</f>
        <v>2425.69</v>
      </c>
      <c r="S570" s="584">
        <f>1*20%</f>
        <v>0.2</v>
      </c>
      <c r="T570" s="514">
        <v>9</v>
      </c>
      <c r="U570" s="503">
        <v>1</v>
      </c>
      <c r="V570" s="503">
        <v>0</v>
      </c>
      <c r="W570" s="506">
        <f t="shared" si="947"/>
        <v>4366.2420000000002</v>
      </c>
      <c r="X570" s="487">
        <f t="shared" si="948"/>
        <v>0</v>
      </c>
      <c r="Y570" s="513">
        <f t="shared" ref="Y570:Y582" si="949">W570*3/9</f>
        <v>1455.414</v>
      </c>
      <c r="Z570" s="513">
        <f t="shared" ref="Z570:Z582" si="950">W570*3/9</f>
        <v>1455.414</v>
      </c>
      <c r="AA570" s="513">
        <f t="shared" ref="AA570:AA582" si="951">W570*3/9</f>
        <v>1455.414</v>
      </c>
      <c r="AB570" s="416">
        <v>0</v>
      </c>
      <c r="AC570" s="518" t="s">
        <v>1673</v>
      </c>
      <c r="AD570" s="235"/>
      <c r="AE570" s="237">
        <v>2</v>
      </c>
      <c r="AF570" s="204" t="str">
        <f t="shared" si="873"/>
        <v>Field Security Officer (20%)</v>
      </c>
      <c r="AG570" s="486">
        <f t="shared" si="903"/>
        <v>1</v>
      </c>
      <c r="AH570" s="486">
        <f t="shared" si="904"/>
        <v>0</v>
      </c>
      <c r="AI570" s="506">
        <f t="shared" si="905"/>
        <v>8732.4840000000004</v>
      </c>
      <c r="AJ570" s="506">
        <f t="shared" si="938"/>
        <v>0</v>
      </c>
      <c r="AK570" s="487">
        <f t="shared" si="906"/>
        <v>0</v>
      </c>
      <c r="AL570" s="487">
        <f t="shared" si="845"/>
        <v>8732.4840000000004</v>
      </c>
      <c r="AM570" s="316">
        <f t="shared" si="861"/>
        <v>4366.2420000000002</v>
      </c>
      <c r="AN570" s="316">
        <f t="shared" si="862"/>
        <v>0</v>
      </c>
      <c r="AO570" s="316">
        <f t="shared" si="863"/>
        <v>4366.2420000000002</v>
      </c>
      <c r="AP570" s="316">
        <f t="shared" si="864"/>
        <v>0</v>
      </c>
      <c r="AQ570" s="169" t="s">
        <v>898</v>
      </c>
      <c r="AR570" s="169" t="s">
        <v>349</v>
      </c>
      <c r="AS570" s="169" t="s">
        <v>420</v>
      </c>
    </row>
    <row r="571" spans="1:47" s="169" customFormat="1" x14ac:dyDescent="0.3">
      <c r="A571" s="582">
        <v>3</v>
      </c>
      <c r="B571" s="583" t="s">
        <v>582</v>
      </c>
      <c r="C571" s="562" t="s">
        <v>401</v>
      </c>
      <c r="D571" s="536">
        <f>1756.87</f>
        <v>1756.87</v>
      </c>
      <c r="E571" s="584">
        <f>1*20%</f>
        <v>0.2</v>
      </c>
      <c r="F571" s="512">
        <v>9</v>
      </c>
      <c r="G571" s="503">
        <v>1</v>
      </c>
      <c r="H571" s="503">
        <v>0</v>
      </c>
      <c r="I571" s="416">
        <f t="shared" si="942"/>
        <v>3162.366</v>
      </c>
      <c r="J571" s="487">
        <f t="shared" si="943"/>
        <v>0</v>
      </c>
      <c r="K571" s="487">
        <f t="shared" si="944"/>
        <v>1149.9512727272727</v>
      </c>
      <c r="L571" s="487">
        <f t="shared" si="945"/>
        <v>1149.9512727272727</v>
      </c>
      <c r="M571" s="487">
        <f t="shared" si="946"/>
        <v>862.46345454545451</v>
      </c>
      <c r="N571" s="416">
        <v>0</v>
      </c>
      <c r="O571" s="518" t="s">
        <v>583</v>
      </c>
      <c r="Q571" s="562" t="s">
        <v>401</v>
      </c>
      <c r="R571" s="516">
        <f>1756.87</f>
        <v>1756.87</v>
      </c>
      <c r="S571" s="584">
        <f>1*20%</f>
        <v>0.2</v>
      </c>
      <c r="T571" s="514">
        <v>9</v>
      </c>
      <c r="U571" s="503">
        <v>1</v>
      </c>
      <c r="V571" s="503">
        <v>0</v>
      </c>
      <c r="W571" s="506">
        <f t="shared" si="947"/>
        <v>3162.366</v>
      </c>
      <c r="X571" s="487">
        <f t="shared" si="948"/>
        <v>0</v>
      </c>
      <c r="Y571" s="513">
        <f t="shared" si="949"/>
        <v>1054.1220000000001</v>
      </c>
      <c r="Z571" s="513">
        <f t="shared" si="950"/>
        <v>1054.1220000000001</v>
      </c>
      <c r="AA571" s="513">
        <f t="shared" si="951"/>
        <v>1054.1220000000001</v>
      </c>
      <c r="AB571" s="416">
        <v>0</v>
      </c>
      <c r="AC571" s="518" t="s">
        <v>1674</v>
      </c>
      <c r="AD571" s="235"/>
      <c r="AE571" s="237">
        <v>3</v>
      </c>
      <c r="AF571" s="204" t="str">
        <f t="shared" si="873"/>
        <v>Radio Operator (20%)</v>
      </c>
      <c r="AG571" s="486">
        <f t="shared" si="903"/>
        <v>1</v>
      </c>
      <c r="AH571" s="486">
        <f t="shared" si="904"/>
        <v>0</v>
      </c>
      <c r="AI571" s="506">
        <f t="shared" si="905"/>
        <v>6324.732</v>
      </c>
      <c r="AJ571" s="506">
        <f t="shared" si="938"/>
        <v>0</v>
      </c>
      <c r="AK571" s="487">
        <f t="shared" si="906"/>
        <v>0</v>
      </c>
      <c r="AL571" s="487">
        <f t="shared" si="845"/>
        <v>6324.732</v>
      </c>
      <c r="AM571" s="316">
        <f t="shared" si="861"/>
        <v>3162.366</v>
      </c>
      <c r="AN571" s="316">
        <f t="shared" si="862"/>
        <v>0</v>
      </c>
      <c r="AO571" s="316">
        <f t="shared" si="863"/>
        <v>3162.366</v>
      </c>
      <c r="AP571" s="316">
        <f t="shared" si="864"/>
        <v>0</v>
      </c>
      <c r="AQ571" s="169" t="s">
        <v>898</v>
      </c>
      <c r="AR571" s="169" t="s">
        <v>349</v>
      </c>
      <c r="AS571" s="169" t="s">
        <v>420</v>
      </c>
    </row>
    <row r="572" spans="1:47" s="169" customFormat="1" ht="26" x14ac:dyDescent="0.3">
      <c r="A572" s="582">
        <v>4</v>
      </c>
      <c r="B572" s="583" t="s">
        <v>584</v>
      </c>
      <c r="C572" s="562" t="s">
        <v>401</v>
      </c>
      <c r="D572" s="536">
        <f>1147.43</f>
        <v>1147.43</v>
      </c>
      <c r="E572" s="584">
        <f>1*20%</f>
        <v>0.2</v>
      </c>
      <c r="F572" s="512">
        <v>9</v>
      </c>
      <c r="G572" s="503">
        <v>1</v>
      </c>
      <c r="H572" s="503">
        <v>0</v>
      </c>
      <c r="I572" s="416">
        <f t="shared" si="942"/>
        <v>2065.3740000000003</v>
      </c>
      <c r="J572" s="487">
        <f t="shared" si="943"/>
        <v>0</v>
      </c>
      <c r="K572" s="487">
        <f t="shared" si="944"/>
        <v>751.04509090909096</v>
      </c>
      <c r="L572" s="487">
        <f t="shared" si="945"/>
        <v>751.04509090909096</v>
      </c>
      <c r="M572" s="487">
        <f t="shared" si="946"/>
        <v>563.28381818181833</v>
      </c>
      <c r="N572" s="416">
        <v>0</v>
      </c>
      <c r="O572" s="518" t="s">
        <v>585</v>
      </c>
      <c r="Q572" s="562" t="s">
        <v>401</v>
      </c>
      <c r="R572" s="516">
        <f>1147.43</f>
        <v>1147.43</v>
      </c>
      <c r="S572" s="584">
        <f>1*20%</f>
        <v>0.2</v>
      </c>
      <c r="T572" s="514">
        <v>9</v>
      </c>
      <c r="U572" s="503">
        <v>1</v>
      </c>
      <c r="V572" s="503">
        <v>0</v>
      </c>
      <c r="W572" s="506">
        <f t="shared" si="947"/>
        <v>2065.3740000000003</v>
      </c>
      <c r="X572" s="487">
        <f t="shared" si="948"/>
        <v>0</v>
      </c>
      <c r="Y572" s="513">
        <f t="shared" si="949"/>
        <v>688.45800000000008</v>
      </c>
      <c r="Z572" s="513">
        <f t="shared" si="950"/>
        <v>688.45800000000008</v>
      </c>
      <c r="AA572" s="513">
        <f t="shared" si="951"/>
        <v>688.45800000000008</v>
      </c>
      <c r="AB572" s="416">
        <v>0</v>
      </c>
      <c r="AC572" s="518" t="s">
        <v>1675</v>
      </c>
      <c r="AD572" s="235"/>
      <c r="AE572" s="237">
        <v>4</v>
      </c>
      <c r="AF572" s="204" t="str">
        <f t="shared" si="873"/>
        <v>Cleaner (20%)</v>
      </c>
      <c r="AG572" s="486">
        <f t="shared" si="903"/>
        <v>1</v>
      </c>
      <c r="AH572" s="486">
        <f t="shared" si="904"/>
        <v>0</v>
      </c>
      <c r="AI572" s="506">
        <f t="shared" si="905"/>
        <v>4130.7480000000005</v>
      </c>
      <c r="AJ572" s="506">
        <f t="shared" si="938"/>
        <v>0</v>
      </c>
      <c r="AK572" s="487">
        <f t="shared" si="906"/>
        <v>0</v>
      </c>
      <c r="AL572" s="487">
        <f t="shared" si="845"/>
        <v>4130.7480000000005</v>
      </c>
      <c r="AM572" s="316">
        <f t="shared" si="861"/>
        <v>2065.3740000000003</v>
      </c>
      <c r="AN572" s="316">
        <f t="shared" si="862"/>
        <v>0</v>
      </c>
      <c r="AO572" s="316">
        <f t="shared" si="863"/>
        <v>2065.3740000000003</v>
      </c>
      <c r="AP572" s="316">
        <f t="shared" si="864"/>
        <v>0</v>
      </c>
      <c r="AQ572" s="169" t="s">
        <v>898</v>
      </c>
      <c r="AR572" s="169" t="s">
        <v>349</v>
      </c>
      <c r="AS572" s="169" t="s">
        <v>420</v>
      </c>
    </row>
    <row r="573" spans="1:47" s="169" customFormat="1" ht="39" x14ac:dyDescent="0.3">
      <c r="A573" s="582">
        <v>5</v>
      </c>
      <c r="B573" s="583" t="s">
        <v>586</v>
      </c>
      <c r="C573" s="562" t="s">
        <v>401</v>
      </c>
      <c r="D573" s="536">
        <f>12500</f>
        <v>12500</v>
      </c>
      <c r="E573" s="584">
        <f>1*5%</f>
        <v>0.05</v>
      </c>
      <c r="F573" s="512">
        <v>9</v>
      </c>
      <c r="G573" s="503">
        <v>1</v>
      </c>
      <c r="H573" s="503">
        <v>0</v>
      </c>
      <c r="I573" s="416">
        <f t="shared" si="942"/>
        <v>5625</v>
      </c>
      <c r="J573" s="487">
        <f t="shared" si="943"/>
        <v>0</v>
      </c>
      <c r="K573" s="487">
        <f t="shared" si="944"/>
        <v>2045.4545454545455</v>
      </c>
      <c r="L573" s="487">
        <f t="shared" si="945"/>
        <v>2045.4545454545455</v>
      </c>
      <c r="M573" s="487">
        <f t="shared" si="946"/>
        <v>1534.090909090909</v>
      </c>
      <c r="N573" s="416">
        <v>0</v>
      </c>
      <c r="O573" s="518" t="s">
        <v>587</v>
      </c>
      <c r="Q573" s="562" t="s">
        <v>401</v>
      </c>
      <c r="R573" s="516">
        <f>12500</f>
        <v>12500</v>
      </c>
      <c r="S573" s="584">
        <f>1*5%</f>
        <v>0.05</v>
      </c>
      <c r="T573" s="514">
        <v>9</v>
      </c>
      <c r="U573" s="503">
        <v>1</v>
      </c>
      <c r="V573" s="503">
        <v>0</v>
      </c>
      <c r="W573" s="506">
        <f t="shared" si="947"/>
        <v>5625</v>
      </c>
      <c r="X573" s="487">
        <f t="shared" si="948"/>
        <v>0</v>
      </c>
      <c r="Y573" s="513">
        <f t="shared" si="949"/>
        <v>1875</v>
      </c>
      <c r="Z573" s="513">
        <f t="shared" si="950"/>
        <v>1875</v>
      </c>
      <c r="AA573" s="513">
        <f t="shared" si="951"/>
        <v>1875</v>
      </c>
      <c r="AB573" s="416">
        <v>0</v>
      </c>
      <c r="AC573" s="518" t="s">
        <v>1676</v>
      </c>
      <c r="AD573" s="235"/>
      <c r="AE573" s="237">
        <v>5</v>
      </c>
      <c r="AF573" s="204" t="str">
        <f t="shared" si="873"/>
        <v>Zonal Director (5%)</v>
      </c>
      <c r="AG573" s="486">
        <f t="shared" si="903"/>
        <v>1</v>
      </c>
      <c r="AH573" s="486">
        <f t="shared" si="904"/>
        <v>0</v>
      </c>
      <c r="AI573" s="506">
        <f t="shared" si="905"/>
        <v>11250</v>
      </c>
      <c r="AJ573" s="506">
        <f t="shared" si="938"/>
        <v>0</v>
      </c>
      <c r="AK573" s="487">
        <f t="shared" si="906"/>
        <v>0</v>
      </c>
      <c r="AL573" s="487">
        <f t="shared" si="845"/>
        <v>11250</v>
      </c>
      <c r="AM573" s="316">
        <f t="shared" si="861"/>
        <v>5625</v>
      </c>
      <c r="AN573" s="316">
        <f t="shared" si="862"/>
        <v>0</v>
      </c>
      <c r="AO573" s="316">
        <f t="shared" si="863"/>
        <v>5625</v>
      </c>
      <c r="AP573" s="316">
        <f t="shared" si="864"/>
        <v>0</v>
      </c>
      <c r="AQ573" s="169" t="s">
        <v>898</v>
      </c>
      <c r="AR573" s="169" t="s">
        <v>349</v>
      </c>
      <c r="AS573" s="169" t="s">
        <v>420</v>
      </c>
    </row>
    <row r="574" spans="1:47" s="169" customFormat="1" ht="26" x14ac:dyDescent="0.3">
      <c r="A574" s="582">
        <v>6</v>
      </c>
      <c r="B574" s="583" t="s">
        <v>588</v>
      </c>
      <c r="C574" s="562" t="s">
        <v>401</v>
      </c>
      <c r="D574" s="536">
        <f>5000</f>
        <v>5000</v>
      </c>
      <c r="E574" s="584">
        <f>1*5%</f>
        <v>0.05</v>
      </c>
      <c r="F574" s="512">
        <v>9</v>
      </c>
      <c r="G574" s="503">
        <v>1</v>
      </c>
      <c r="H574" s="503">
        <v>0</v>
      </c>
      <c r="I574" s="416">
        <f t="shared" si="942"/>
        <v>2250</v>
      </c>
      <c r="J574" s="487">
        <f t="shared" si="943"/>
        <v>0</v>
      </c>
      <c r="K574" s="487">
        <f t="shared" si="944"/>
        <v>818.18181818181813</v>
      </c>
      <c r="L574" s="487">
        <f t="shared" si="945"/>
        <v>818.18181818181813</v>
      </c>
      <c r="M574" s="487">
        <f t="shared" si="946"/>
        <v>613.63636363636363</v>
      </c>
      <c r="N574" s="416">
        <v>0</v>
      </c>
      <c r="O574" s="518" t="s">
        <v>589</v>
      </c>
      <c r="Q574" s="562" t="s">
        <v>401</v>
      </c>
      <c r="R574" s="516">
        <f>5000</f>
        <v>5000</v>
      </c>
      <c r="S574" s="584">
        <f>1*5%</f>
        <v>0.05</v>
      </c>
      <c r="T574" s="514">
        <v>9</v>
      </c>
      <c r="U574" s="503">
        <v>1</v>
      </c>
      <c r="V574" s="503">
        <v>0</v>
      </c>
      <c r="W574" s="506">
        <f t="shared" si="947"/>
        <v>2250</v>
      </c>
      <c r="X574" s="487">
        <f t="shared" si="948"/>
        <v>0</v>
      </c>
      <c r="Y574" s="513">
        <f t="shared" si="949"/>
        <v>750</v>
      </c>
      <c r="Z574" s="513">
        <f t="shared" si="950"/>
        <v>750</v>
      </c>
      <c r="AA574" s="513">
        <f t="shared" si="951"/>
        <v>750</v>
      </c>
      <c r="AB574" s="416">
        <v>0</v>
      </c>
      <c r="AC574" s="518" t="s">
        <v>1677</v>
      </c>
      <c r="AD574" s="235"/>
      <c r="AE574" s="237">
        <v>6</v>
      </c>
      <c r="AF574" s="204" t="str">
        <f t="shared" si="873"/>
        <v>Operations Manager (5%)</v>
      </c>
      <c r="AG574" s="486">
        <f t="shared" si="903"/>
        <v>1</v>
      </c>
      <c r="AH574" s="486">
        <f t="shared" si="904"/>
        <v>0</v>
      </c>
      <c r="AI574" s="506">
        <f t="shared" si="905"/>
        <v>4500</v>
      </c>
      <c r="AJ574" s="506">
        <f t="shared" si="938"/>
        <v>0</v>
      </c>
      <c r="AK574" s="487">
        <f t="shared" si="906"/>
        <v>0</v>
      </c>
      <c r="AL574" s="487">
        <f t="shared" si="845"/>
        <v>4500</v>
      </c>
      <c r="AM574" s="316">
        <f t="shared" si="861"/>
        <v>2250</v>
      </c>
      <c r="AN574" s="316">
        <f t="shared" si="862"/>
        <v>0</v>
      </c>
      <c r="AO574" s="316">
        <f t="shared" si="863"/>
        <v>2250</v>
      </c>
      <c r="AP574" s="316">
        <f t="shared" si="864"/>
        <v>0</v>
      </c>
      <c r="AQ574" s="169" t="s">
        <v>898</v>
      </c>
      <c r="AR574" s="169" t="s">
        <v>349</v>
      </c>
      <c r="AS574" s="169" t="s">
        <v>420</v>
      </c>
    </row>
    <row r="575" spans="1:47" s="169" customFormat="1" ht="39" x14ac:dyDescent="0.3">
      <c r="A575" s="582">
        <v>7</v>
      </c>
      <c r="B575" s="583" t="s">
        <v>590</v>
      </c>
      <c r="C575" s="562" t="s">
        <v>401</v>
      </c>
      <c r="D575" s="536">
        <f>7500</f>
        <v>7500</v>
      </c>
      <c r="E575" s="584">
        <f>1*5%</f>
        <v>0.05</v>
      </c>
      <c r="F575" s="512">
        <v>9</v>
      </c>
      <c r="G575" s="503">
        <v>1</v>
      </c>
      <c r="H575" s="503">
        <v>0</v>
      </c>
      <c r="I575" s="416">
        <f t="shared" si="942"/>
        <v>3375</v>
      </c>
      <c r="J575" s="487">
        <f t="shared" si="943"/>
        <v>0</v>
      </c>
      <c r="K575" s="487">
        <f t="shared" si="944"/>
        <v>1227.2727272727273</v>
      </c>
      <c r="L575" s="487">
        <f t="shared" si="945"/>
        <v>1227.2727272727273</v>
      </c>
      <c r="M575" s="487">
        <f t="shared" si="946"/>
        <v>920.4545454545455</v>
      </c>
      <c r="N575" s="416">
        <v>0</v>
      </c>
      <c r="O575" s="518" t="s">
        <v>591</v>
      </c>
      <c r="Q575" s="562" t="s">
        <v>401</v>
      </c>
      <c r="R575" s="516">
        <f>7500</f>
        <v>7500</v>
      </c>
      <c r="S575" s="584">
        <f>1*5%</f>
        <v>0.05</v>
      </c>
      <c r="T575" s="514">
        <v>9</v>
      </c>
      <c r="U575" s="503">
        <v>1</v>
      </c>
      <c r="V575" s="503">
        <v>0</v>
      </c>
      <c r="W575" s="506">
        <f t="shared" si="947"/>
        <v>3375</v>
      </c>
      <c r="X575" s="487">
        <f t="shared" si="948"/>
        <v>0</v>
      </c>
      <c r="Y575" s="513">
        <f t="shared" si="949"/>
        <v>1125</v>
      </c>
      <c r="Z575" s="513">
        <f t="shared" si="950"/>
        <v>1125</v>
      </c>
      <c r="AA575" s="513">
        <f t="shared" si="951"/>
        <v>1125</v>
      </c>
      <c r="AB575" s="416">
        <v>0</v>
      </c>
      <c r="AC575" s="518" t="s">
        <v>1678</v>
      </c>
      <c r="AD575" s="235"/>
      <c r="AE575" s="237">
        <v>7</v>
      </c>
      <c r="AF575" s="204" t="str">
        <f t="shared" si="873"/>
        <v>Finance Manager(5%)</v>
      </c>
      <c r="AG575" s="486">
        <f t="shared" si="903"/>
        <v>1</v>
      </c>
      <c r="AH575" s="486">
        <f t="shared" si="904"/>
        <v>0</v>
      </c>
      <c r="AI575" s="506">
        <f t="shared" si="905"/>
        <v>6750</v>
      </c>
      <c r="AJ575" s="506">
        <f t="shared" si="938"/>
        <v>0</v>
      </c>
      <c r="AK575" s="487">
        <f t="shared" si="906"/>
        <v>0</v>
      </c>
      <c r="AL575" s="487">
        <f t="shared" si="845"/>
        <v>6750</v>
      </c>
      <c r="AM575" s="316">
        <f t="shared" si="861"/>
        <v>3375</v>
      </c>
      <c r="AN575" s="316">
        <f t="shared" si="862"/>
        <v>0</v>
      </c>
      <c r="AO575" s="316">
        <f t="shared" si="863"/>
        <v>3375</v>
      </c>
      <c r="AP575" s="316">
        <f t="shared" si="864"/>
        <v>0</v>
      </c>
      <c r="AQ575" s="169" t="s">
        <v>898</v>
      </c>
      <c r="AR575" s="169" t="s">
        <v>349</v>
      </c>
      <c r="AS575" s="169" t="s">
        <v>420</v>
      </c>
    </row>
    <row r="576" spans="1:47" s="169" customFormat="1" ht="39" x14ac:dyDescent="0.3">
      <c r="A576" s="582">
        <v>8</v>
      </c>
      <c r="B576" s="583" t="s">
        <v>592</v>
      </c>
      <c r="C576" s="562" t="s">
        <v>401</v>
      </c>
      <c r="D576" s="536">
        <f>5000</f>
        <v>5000</v>
      </c>
      <c r="E576" s="584">
        <f>1*5%</f>
        <v>0.05</v>
      </c>
      <c r="F576" s="512">
        <v>9</v>
      </c>
      <c r="G576" s="503">
        <v>1</v>
      </c>
      <c r="H576" s="503">
        <v>0</v>
      </c>
      <c r="I576" s="416">
        <f t="shared" si="942"/>
        <v>2250</v>
      </c>
      <c r="J576" s="487">
        <f t="shared" si="943"/>
        <v>0</v>
      </c>
      <c r="K576" s="487">
        <f t="shared" si="944"/>
        <v>818.18181818181813</v>
      </c>
      <c r="L576" s="487">
        <f t="shared" si="945"/>
        <v>818.18181818181813</v>
      </c>
      <c r="M576" s="487">
        <f t="shared" si="946"/>
        <v>613.63636363636363</v>
      </c>
      <c r="N576" s="416">
        <v>0</v>
      </c>
      <c r="O576" s="518" t="s">
        <v>593</v>
      </c>
      <c r="Q576" s="562" t="s">
        <v>401</v>
      </c>
      <c r="R576" s="516">
        <f>5000</f>
        <v>5000</v>
      </c>
      <c r="S576" s="584">
        <f>1*5%</f>
        <v>0.05</v>
      </c>
      <c r="T576" s="514">
        <v>9</v>
      </c>
      <c r="U576" s="503">
        <v>1</v>
      </c>
      <c r="V576" s="503">
        <v>0</v>
      </c>
      <c r="W576" s="506">
        <f t="shared" si="947"/>
        <v>2250</v>
      </c>
      <c r="X576" s="487">
        <f t="shared" si="948"/>
        <v>0</v>
      </c>
      <c r="Y576" s="513">
        <f t="shared" si="949"/>
        <v>750</v>
      </c>
      <c r="Z576" s="513">
        <f t="shared" si="950"/>
        <v>750</v>
      </c>
      <c r="AA576" s="513">
        <f t="shared" si="951"/>
        <v>750</v>
      </c>
      <c r="AB576" s="416">
        <v>0</v>
      </c>
      <c r="AC576" s="518" t="s">
        <v>1679</v>
      </c>
      <c r="AD576" s="235"/>
      <c r="AE576" s="237">
        <v>8</v>
      </c>
      <c r="AF576" s="204" t="str">
        <f t="shared" si="873"/>
        <v xml:space="preserve">Nutrition Advisor  (5%) </v>
      </c>
      <c r="AG576" s="486">
        <f t="shared" si="903"/>
        <v>1</v>
      </c>
      <c r="AH576" s="486">
        <f t="shared" si="904"/>
        <v>0</v>
      </c>
      <c r="AI576" s="506">
        <f t="shared" si="905"/>
        <v>4500</v>
      </c>
      <c r="AJ576" s="506">
        <f t="shared" si="938"/>
        <v>0</v>
      </c>
      <c r="AK576" s="487">
        <f t="shared" si="906"/>
        <v>0</v>
      </c>
      <c r="AL576" s="487">
        <f t="shared" ref="AL576:AL638" si="952">AI576+AJ576+AK576</f>
        <v>4500</v>
      </c>
      <c r="AM576" s="316">
        <f t="shared" si="861"/>
        <v>2250</v>
      </c>
      <c r="AN576" s="316">
        <f t="shared" si="862"/>
        <v>0</v>
      </c>
      <c r="AO576" s="316">
        <f t="shared" si="863"/>
        <v>2250</v>
      </c>
      <c r="AP576" s="316">
        <f t="shared" si="864"/>
        <v>0</v>
      </c>
      <c r="AQ576" s="169" t="s">
        <v>898</v>
      </c>
      <c r="AR576" s="169" t="s">
        <v>349</v>
      </c>
      <c r="AS576" s="169" t="s">
        <v>420</v>
      </c>
    </row>
    <row r="577" spans="1:45" s="169" customFormat="1" ht="39" x14ac:dyDescent="0.3">
      <c r="A577" s="582">
        <v>9</v>
      </c>
      <c r="B577" s="583" t="s">
        <v>594</v>
      </c>
      <c r="C577" s="562" t="s">
        <v>401</v>
      </c>
      <c r="D577" s="536">
        <f>10000</f>
        <v>10000</v>
      </c>
      <c r="E577" s="584">
        <f>1*10%</f>
        <v>0.1</v>
      </c>
      <c r="F577" s="512">
        <v>9</v>
      </c>
      <c r="G577" s="503">
        <v>1</v>
      </c>
      <c r="H577" s="503">
        <v>0</v>
      </c>
      <c r="I577" s="416">
        <f t="shared" si="942"/>
        <v>9000</v>
      </c>
      <c r="J577" s="487">
        <f t="shared" si="943"/>
        <v>0</v>
      </c>
      <c r="K577" s="487">
        <f t="shared" si="944"/>
        <v>3272.7272727272725</v>
      </c>
      <c r="L577" s="487">
        <f t="shared" si="945"/>
        <v>3272.7272727272725</v>
      </c>
      <c r="M577" s="487">
        <f t="shared" si="946"/>
        <v>2454.5454545454545</v>
      </c>
      <c r="N577" s="416">
        <v>0</v>
      </c>
      <c r="O577" s="518" t="s">
        <v>595</v>
      </c>
      <c r="Q577" s="562" t="s">
        <v>401</v>
      </c>
      <c r="R577" s="516">
        <f>10000</f>
        <v>10000</v>
      </c>
      <c r="S577" s="584">
        <f>1*10%</f>
        <v>0.1</v>
      </c>
      <c r="T577" s="514">
        <v>9</v>
      </c>
      <c r="U577" s="503">
        <v>1</v>
      </c>
      <c r="V577" s="503">
        <v>0</v>
      </c>
      <c r="W577" s="506">
        <f t="shared" si="947"/>
        <v>9000</v>
      </c>
      <c r="X577" s="487">
        <f t="shared" si="948"/>
        <v>0</v>
      </c>
      <c r="Y577" s="513">
        <f t="shared" si="949"/>
        <v>3000</v>
      </c>
      <c r="Z577" s="513">
        <f t="shared" si="950"/>
        <v>3000</v>
      </c>
      <c r="AA577" s="513">
        <f t="shared" si="951"/>
        <v>3000</v>
      </c>
      <c r="AB577" s="416">
        <v>0</v>
      </c>
      <c r="AC577" s="518" t="s">
        <v>1680</v>
      </c>
      <c r="AD577" s="235"/>
      <c r="AE577" s="237">
        <v>9</v>
      </c>
      <c r="AF577" s="204" t="str">
        <f t="shared" si="873"/>
        <v xml:space="preserve">Education Advisor (10%) </v>
      </c>
      <c r="AG577" s="486">
        <f t="shared" si="903"/>
        <v>1</v>
      </c>
      <c r="AH577" s="486">
        <f t="shared" si="904"/>
        <v>0</v>
      </c>
      <c r="AI577" s="506">
        <f t="shared" si="905"/>
        <v>18000</v>
      </c>
      <c r="AJ577" s="506">
        <f t="shared" si="938"/>
        <v>0</v>
      </c>
      <c r="AK577" s="487">
        <f t="shared" si="906"/>
        <v>0</v>
      </c>
      <c r="AL577" s="487">
        <f t="shared" si="952"/>
        <v>18000</v>
      </c>
      <c r="AM577" s="316">
        <f t="shared" si="861"/>
        <v>9000</v>
      </c>
      <c r="AN577" s="316">
        <f t="shared" si="862"/>
        <v>0</v>
      </c>
      <c r="AO577" s="316">
        <f t="shared" si="863"/>
        <v>9000</v>
      </c>
      <c r="AP577" s="316">
        <f t="shared" si="864"/>
        <v>0</v>
      </c>
      <c r="AQ577" s="169" t="s">
        <v>898</v>
      </c>
      <c r="AR577" s="169" t="s">
        <v>349</v>
      </c>
      <c r="AS577" s="169" t="s">
        <v>420</v>
      </c>
    </row>
    <row r="578" spans="1:45" s="169" customFormat="1" ht="26" x14ac:dyDescent="0.3">
      <c r="A578" s="582">
        <v>10</v>
      </c>
      <c r="B578" s="583" t="s">
        <v>596</v>
      </c>
      <c r="C578" s="562" t="s">
        <v>401</v>
      </c>
      <c r="D578" s="536">
        <f>7500</f>
        <v>7500</v>
      </c>
      <c r="E578" s="584">
        <f>1*5%</f>
        <v>0.05</v>
      </c>
      <c r="F578" s="512">
        <v>9</v>
      </c>
      <c r="G578" s="503">
        <v>1</v>
      </c>
      <c r="H578" s="503">
        <v>0</v>
      </c>
      <c r="I578" s="416">
        <f t="shared" si="942"/>
        <v>3375</v>
      </c>
      <c r="J578" s="487">
        <f t="shared" si="943"/>
        <v>0</v>
      </c>
      <c r="K578" s="487">
        <f t="shared" si="944"/>
        <v>1227.2727272727273</v>
      </c>
      <c r="L578" s="487">
        <f t="shared" si="945"/>
        <v>1227.2727272727273</v>
      </c>
      <c r="M578" s="487">
        <f t="shared" si="946"/>
        <v>920.4545454545455</v>
      </c>
      <c r="N578" s="416">
        <v>0</v>
      </c>
      <c r="O578" s="518" t="s">
        <v>597</v>
      </c>
      <c r="Q578" s="562" t="s">
        <v>401</v>
      </c>
      <c r="R578" s="516">
        <f>7500</f>
        <v>7500</v>
      </c>
      <c r="S578" s="584">
        <f>1*5%</f>
        <v>0.05</v>
      </c>
      <c r="T578" s="514">
        <v>9</v>
      </c>
      <c r="U578" s="503">
        <v>1</v>
      </c>
      <c r="V578" s="503">
        <v>0</v>
      </c>
      <c r="W578" s="506">
        <f t="shared" si="947"/>
        <v>3375</v>
      </c>
      <c r="X578" s="487">
        <f t="shared" si="948"/>
        <v>0</v>
      </c>
      <c r="Y578" s="513">
        <f t="shared" si="949"/>
        <v>1125</v>
      </c>
      <c r="Z578" s="513">
        <f t="shared" si="950"/>
        <v>1125</v>
      </c>
      <c r="AA578" s="513">
        <f t="shared" si="951"/>
        <v>1125</v>
      </c>
      <c r="AB578" s="416">
        <v>0</v>
      </c>
      <c r="AC578" s="518" t="s">
        <v>1681</v>
      </c>
      <c r="AD578" s="235"/>
      <c r="AE578" s="237">
        <v>10</v>
      </c>
      <c r="AF578" s="204" t="str">
        <f t="shared" si="873"/>
        <v>GAM Program Manager (5%)</v>
      </c>
      <c r="AG578" s="486">
        <f t="shared" si="903"/>
        <v>1</v>
      </c>
      <c r="AH578" s="486">
        <f t="shared" si="904"/>
        <v>0</v>
      </c>
      <c r="AI578" s="506">
        <f t="shared" si="905"/>
        <v>6750</v>
      </c>
      <c r="AJ578" s="506">
        <f t="shared" si="938"/>
        <v>0</v>
      </c>
      <c r="AK578" s="487">
        <f t="shared" si="906"/>
        <v>0</v>
      </c>
      <c r="AL578" s="487">
        <f t="shared" si="952"/>
        <v>6750</v>
      </c>
      <c r="AM578" s="316">
        <f t="shared" si="861"/>
        <v>3375</v>
      </c>
      <c r="AN578" s="316">
        <f t="shared" si="862"/>
        <v>0</v>
      </c>
      <c r="AO578" s="316">
        <f t="shared" si="863"/>
        <v>3375</v>
      </c>
      <c r="AP578" s="316">
        <f t="shared" si="864"/>
        <v>0</v>
      </c>
      <c r="AQ578" s="169" t="s">
        <v>898</v>
      </c>
      <c r="AR578" s="169" t="s">
        <v>349</v>
      </c>
      <c r="AS578" s="169" t="s">
        <v>420</v>
      </c>
    </row>
    <row r="579" spans="1:45" s="169" customFormat="1" ht="26" x14ac:dyDescent="0.3">
      <c r="A579" s="582">
        <v>11</v>
      </c>
      <c r="B579" s="583" t="s">
        <v>598</v>
      </c>
      <c r="C579" s="562" t="s">
        <v>401</v>
      </c>
      <c r="D579" s="536">
        <f>4021.16</f>
        <v>4021.16</v>
      </c>
      <c r="E579" s="584">
        <f>1*5%</f>
        <v>0.05</v>
      </c>
      <c r="F579" s="512">
        <v>9</v>
      </c>
      <c r="G579" s="503">
        <v>1</v>
      </c>
      <c r="H579" s="503">
        <v>0</v>
      </c>
      <c r="I579" s="416">
        <f t="shared" si="942"/>
        <v>1809.5219999999999</v>
      </c>
      <c r="J579" s="487">
        <f t="shared" si="943"/>
        <v>0</v>
      </c>
      <c r="K579" s="487">
        <f t="shared" si="944"/>
        <v>658.00799999999992</v>
      </c>
      <c r="L579" s="487">
        <f t="shared" si="945"/>
        <v>658.00799999999992</v>
      </c>
      <c r="M579" s="487">
        <f t="shared" si="946"/>
        <v>493.50599999999997</v>
      </c>
      <c r="N579" s="416">
        <v>0</v>
      </c>
      <c r="O579" s="518" t="s">
        <v>599</v>
      </c>
      <c r="Q579" s="562" t="s">
        <v>401</v>
      </c>
      <c r="R579" s="516">
        <f>4021.16</f>
        <v>4021.16</v>
      </c>
      <c r="S579" s="584">
        <f>1*5%</f>
        <v>0.05</v>
      </c>
      <c r="T579" s="514">
        <v>9</v>
      </c>
      <c r="U579" s="503">
        <v>1</v>
      </c>
      <c r="V579" s="503">
        <v>0</v>
      </c>
      <c r="W579" s="506">
        <f t="shared" si="947"/>
        <v>1809.5219999999999</v>
      </c>
      <c r="X579" s="487">
        <f t="shared" si="948"/>
        <v>0</v>
      </c>
      <c r="Y579" s="513">
        <f t="shared" si="949"/>
        <v>603.17399999999998</v>
      </c>
      <c r="Z579" s="513">
        <f t="shared" si="950"/>
        <v>603.17399999999998</v>
      </c>
      <c r="AA579" s="513">
        <f t="shared" si="951"/>
        <v>603.17399999999998</v>
      </c>
      <c r="AB579" s="416">
        <v>0</v>
      </c>
      <c r="AC579" s="518" t="s">
        <v>1682</v>
      </c>
      <c r="AD579" s="235"/>
      <c r="AE579" s="237">
        <v>11</v>
      </c>
      <c r="AF579" s="204" t="str">
        <f t="shared" si="873"/>
        <v>P&amp;C Manager (5%)</v>
      </c>
      <c r="AG579" s="486">
        <f t="shared" ref="AG579:AG610" si="953">AI579/($AI579+$AK579)</f>
        <v>1</v>
      </c>
      <c r="AH579" s="486">
        <f t="shared" ref="AH579:AH610" si="954">AK579/($AI579+$AK579)</f>
        <v>0</v>
      </c>
      <c r="AI579" s="506">
        <f t="shared" si="905"/>
        <v>3619.0439999999999</v>
      </c>
      <c r="AJ579" s="506">
        <f t="shared" si="938"/>
        <v>0</v>
      </c>
      <c r="AK579" s="487">
        <f t="shared" si="906"/>
        <v>0</v>
      </c>
      <c r="AL579" s="487">
        <f t="shared" si="952"/>
        <v>3619.0439999999999</v>
      </c>
      <c r="AM579" s="316">
        <f t="shared" si="861"/>
        <v>1809.5219999999999</v>
      </c>
      <c r="AN579" s="316">
        <f t="shared" si="862"/>
        <v>0</v>
      </c>
      <c r="AO579" s="316">
        <f t="shared" si="863"/>
        <v>1809.5219999999999</v>
      </c>
      <c r="AP579" s="316">
        <f t="shared" si="864"/>
        <v>0</v>
      </c>
      <c r="AQ579" s="169" t="s">
        <v>898</v>
      </c>
      <c r="AR579" s="169" t="s">
        <v>349</v>
      </c>
      <c r="AS579" s="169" t="s">
        <v>420</v>
      </c>
    </row>
    <row r="580" spans="1:45" s="169" customFormat="1" ht="26" x14ac:dyDescent="0.3">
      <c r="A580" s="582">
        <v>12</v>
      </c>
      <c r="B580" s="583" t="s">
        <v>600</v>
      </c>
      <c r="C580" s="562" t="s">
        <v>401</v>
      </c>
      <c r="D580" s="536">
        <f>3000</f>
        <v>3000</v>
      </c>
      <c r="E580" s="584">
        <f>1*50%</f>
        <v>0.5</v>
      </c>
      <c r="F580" s="512">
        <v>9</v>
      </c>
      <c r="G580" s="503">
        <f>I580/(I580+J580)</f>
        <v>0.91300000000000003</v>
      </c>
      <c r="H580" s="503">
        <f>J580/(I580+J580)</f>
        <v>8.6999999999999994E-2</v>
      </c>
      <c r="I580" s="416">
        <f>1120.5*11</f>
        <v>12325.5</v>
      </c>
      <c r="J580" s="506">
        <f>(D580*E580*F580)-I580</f>
        <v>1174.5</v>
      </c>
      <c r="K580" s="506">
        <f t="shared" si="944"/>
        <v>4482</v>
      </c>
      <c r="L580" s="506">
        <f t="shared" si="945"/>
        <v>4482</v>
      </c>
      <c r="M580" s="506">
        <f t="shared" si="946"/>
        <v>3361.5</v>
      </c>
      <c r="N580" s="416">
        <v>0</v>
      </c>
      <c r="O580" s="518" t="s">
        <v>601</v>
      </c>
      <c r="Q580" s="562" t="s">
        <v>401</v>
      </c>
      <c r="R580" s="516">
        <f>3000</f>
        <v>3000</v>
      </c>
      <c r="S580" s="584">
        <f>1*50%</f>
        <v>0.5</v>
      </c>
      <c r="T580" s="514">
        <v>9</v>
      </c>
      <c r="U580" s="503">
        <f>W580/(W580+X580)</f>
        <v>0.747</v>
      </c>
      <c r="V580" s="503">
        <f>X580/(W580+X580)</f>
        <v>0.253</v>
      </c>
      <c r="W580" s="416">
        <f>1120.5*9</f>
        <v>10084.5</v>
      </c>
      <c r="X580" s="506">
        <f>(R580*S580*T580)-W580</f>
        <v>3415.5</v>
      </c>
      <c r="Y580" s="506">
        <f>W580*4/11</f>
        <v>3667.090909090909</v>
      </c>
      <c r="Z580" s="506">
        <f>W580*4/11</f>
        <v>3667.090909090909</v>
      </c>
      <c r="AA580" s="506">
        <f>W580*3/11</f>
        <v>2750.318181818182</v>
      </c>
      <c r="AB580" s="416">
        <v>0</v>
      </c>
      <c r="AC580" s="518" t="s">
        <v>1683</v>
      </c>
      <c r="AD580" s="235"/>
      <c r="AE580" s="237">
        <v>12</v>
      </c>
      <c r="AF580" s="204" t="str">
        <f t="shared" si="873"/>
        <v>1 Cashier (50%) </v>
      </c>
      <c r="AG580" s="486">
        <f t="shared" si="953"/>
        <v>0.83</v>
      </c>
      <c r="AH580" s="486">
        <f t="shared" si="954"/>
        <v>0.17</v>
      </c>
      <c r="AI580" s="506">
        <f t="shared" si="905"/>
        <v>22410</v>
      </c>
      <c r="AJ580" s="506">
        <f t="shared" si="938"/>
        <v>0</v>
      </c>
      <c r="AK580" s="487">
        <f t="shared" si="906"/>
        <v>4590</v>
      </c>
      <c r="AL580" s="487">
        <f t="shared" si="952"/>
        <v>27000</v>
      </c>
      <c r="AM580" s="316">
        <f t="shared" si="861"/>
        <v>12325.5</v>
      </c>
      <c r="AN580" s="316">
        <f t="shared" si="862"/>
        <v>0</v>
      </c>
      <c r="AO580" s="316">
        <f t="shared" si="863"/>
        <v>10084.5</v>
      </c>
      <c r="AP580" s="316">
        <f t="shared" si="864"/>
        <v>0</v>
      </c>
      <c r="AQ580" s="169" t="s">
        <v>898</v>
      </c>
      <c r="AR580" s="169" t="s">
        <v>349</v>
      </c>
      <c r="AS580" s="169" t="s">
        <v>420</v>
      </c>
    </row>
    <row r="581" spans="1:45" s="169" customFormat="1" ht="26" x14ac:dyDescent="0.3">
      <c r="A581" s="582">
        <v>13</v>
      </c>
      <c r="B581" s="583" t="s">
        <v>602</v>
      </c>
      <c r="C581" s="562" t="s">
        <v>401</v>
      </c>
      <c r="D581" s="536">
        <f>2356.02</f>
        <v>2356.02</v>
      </c>
      <c r="E581" s="584">
        <f>1*5%</f>
        <v>0.05</v>
      </c>
      <c r="F581" s="512">
        <v>9</v>
      </c>
      <c r="G581" s="503">
        <v>1</v>
      </c>
      <c r="H581" s="503">
        <v>0</v>
      </c>
      <c r="I581" s="416">
        <f t="shared" si="942"/>
        <v>1060.2090000000001</v>
      </c>
      <c r="J581" s="487">
        <f>D581*E581*F581*H581</f>
        <v>0</v>
      </c>
      <c r="K581" s="487">
        <f t="shared" si="944"/>
        <v>385.53054545454546</v>
      </c>
      <c r="L581" s="487">
        <f t="shared" si="945"/>
        <v>385.53054545454546</v>
      </c>
      <c r="M581" s="487">
        <f t="shared" si="946"/>
        <v>289.14790909090914</v>
      </c>
      <c r="N581" s="416">
        <v>0</v>
      </c>
      <c r="O581" s="518" t="s">
        <v>603</v>
      </c>
      <c r="Q581" s="562" t="s">
        <v>401</v>
      </c>
      <c r="R581" s="516">
        <f>2356.02</f>
        <v>2356.02</v>
      </c>
      <c r="S581" s="584">
        <f>1*5%</f>
        <v>0.05</v>
      </c>
      <c r="T581" s="514">
        <v>9</v>
      </c>
      <c r="U581" s="503">
        <v>1</v>
      </c>
      <c r="V581" s="503">
        <v>0</v>
      </c>
      <c r="W581" s="506">
        <f t="shared" si="947"/>
        <v>1060.2090000000001</v>
      </c>
      <c r="X581" s="487">
        <f t="shared" si="948"/>
        <v>0</v>
      </c>
      <c r="Y581" s="513">
        <f t="shared" si="949"/>
        <v>353.40300000000002</v>
      </c>
      <c r="Z581" s="513">
        <f t="shared" si="950"/>
        <v>353.40300000000002</v>
      </c>
      <c r="AA581" s="513">
        <f t="shared" si="951"/>
        <v>353.40300000000002</v>
      </c>
      <c r="AB581" s="416">
        <v>0</v>
      </c>
      <c r="AC581" s="518" t="s">
        <v>1684</v>
      </c>
      <c r="AD581" s="235"/>
      <c r="AE581" s="237">
        <v>13</v>
      </c>
      <c r="AF581" s="204" t="str">
        <f t="shared" si="873"/>
        <v>Admin Coordinator (5%)</v>
      </c>
      <c r="AG581" s="486">
        <f t="shared" si="953"/>
        <v>1</v>
      </c>
      <c r="AH581" s="486">
        <f t="shared" si="954"/>
        <v>0</v>
      </c>
      <c r="AI581" s="506">
        <f t="shared" ref="AI581:AI603" si="955">I581+W581</f>
        <v>2120.4180000000001</v>
      </c>
      <c r="AJ581" s="506">
        <f t="shared" si="938"/>
        <v>0</v>
      </c>
      <c r="AK581" s="487">
        <f t="shared" ref="AK581:AK603" si="956">J581+X581</f>
        <v>0</v>
      </c>
      <c r="AL581" s="487">
        <f t="shared" si="952"/>
        <v>2120.4180000000001</v>
      </c>
      <c r="AM581" s="316">
        <f t="shared" si="861"/>
        <v>1060.2090000000001</v>
      </c>
      <c r="AN581" s="316">
        <f t="shared" si="862"/>
        <v>0</v>
      </c>
      <c r="AO581" s="316">
        <f t="shared" si="863"/>
        <v>1060.2090000000001</v>
      </c>
      <c r="AP581" s="316">
        <f t="shared" si="864"/>
        <v>0</v>
      </c>
      <c r="AQ581" s="169" t="s">
        <v>898</v>
      </c>
      <c r="AR581" s="169" t="s">
        <v>349</v>
      </c>
      <c r="AS581" s="169" t="s">
        <v>420</v>
      </c>
    </row>
    <row r="582" spans="1:45" s="169" customFormat="1" ht="26" x14ac:dyDescent="0.3">
      <c r="A582" s="582">
        <v>14</v>
      </c>
      <c r="B582" s="583" t="s">
        <v>604</v>
      </c>
      <c r="C582" s="562" t="s">
        <v>401</v>
      </c>
      <c r="D582" s="536">
        <f>2356.02</f>
        <v>2356.02</v>
      </c>
      <c r="E582" s="584">
        <f>1*5%</f>
        <v>0.05</v>
      </c>
      <c r="F582" s="512">
        <v>9</v>
      </c>
      <c r="G582" s="503">
        <v>1</v>
      </c>
      <c r="H582" s="503">
        <v>0</v>
      </c>
      <c r="I582" s="416">
        <f t="shared" si="942"/>
        <v>1060.2090000000001</v>
      </c>
      <c r="J582" s="487">
        <f>D582*E582*F582*H582</f>
        <v>0</v>
      </c>
      <c r="K582" s="487">
        <f t="shared" si="944"/>
        <v>385.53054545454546</v>
      </c>
      <c r="L582" s="487">
        <f t="shared" si="945"/>
        <v>385.53054545454546</v>
      </c>
      <c r="M582" s="487">
        <f t="shared" si="946"/>
        <v>289.14790909090914</v>
      </c>
      <c r="N582" s="416">
        <v>0</v>
      </c>
      <c r="O582" s="518" t="s">
        <v>605</v>
      </c>
      <c r="Q582" s="562" t="s">
        <v>401</v>
      </c>
      <c r="R582" s="516">
        <f>2356.02</f>
        <v>2356.02</v>
      </c>
      <c r="S582" s="584">
        <f>1*5%</f>
        <v>0.05</v>
      </c>
      <c r="T582" s="514">
        <v>9</v>
      </c>
      <c r="U582" s="503">
        <v>1</v>
      </c>
      <c r="V582" s="503">
        <v>0</v>
      </c>
      <c r="W582" s="506">
        <f t="shared" si="947"/>
        <v>1060.2090000000001</v>
      </c>
      <c r="X582" s="487">
        <f t="shared" si="948"/>
        <v>0</v>
      </c>
      <c r="Y582" s="513">
        <f t="shared" si="949"/>
        <v>353.40300000000002</v>
      </c>
      <c r="Z582" s="513">
        <f t="shared" si="950"/>
        <v>353.40300000000002</v>
      </c>
      <c r="AA582" s="513">
        <f t="shared" si="951"/>
        <v>353.40300000000002</v>
      </c>
      <c r="AB582" s="416">
        <v>0</v>
      </c>
      <c r="AC582" s="518" t="s">
        <v>1685</v>
      </c>
      <c r="AD582" s="235"/>
      <c r="AE582" s="237">
        <v>14</v>
      </c>
      <c r="AF582" s="204" t="str">
        <f t="shared" si="873"/>
        <v>Supply chain coordinotor (10%)</v>
      </c>
      <c r="AG582" s="486">
        <f t="shared" si="953"/>
        <v>1</v>
      </c>
      <c r="AH582" s="486">
        <f t="shared" si="954"/>
        <v>0</v>
      </c>
      <c r="AI582" s="506">
        <f t="shared" si="955"/>
        <v>2120.4180000000001</v>
      </c>
      <c r="AJ582" s="506">
        <f t="shared" si="938"/>
        <v>0</v>
      </c>
      <c r="AK582" s="487">
        <f t="shared" si="956"/>
        <v>0</v>
      </c>
      <c r="AL582" s="487">
        <f t="shared" si="952"/>
        <v>2120.4180000000001</v>
      </c>
      <c r="AM582" s="316">
        <f t="shared" si="861"/>
        <v>1060.2090000000001</v>
      </c>
      <c r="AN582" s="316">
        <f t="shared" si="862"/>
        <v>0</v>
      </c>
      <c r="AO582" s="316">
        <f t="shared" si="863"/>
        <v>1060.2090000000001</v>
      </c>
      <c r="AP582" s="316">
        <f t="shared" si="864"/>
        <v>0</v>
      </c>
      <c r="AQ582" s="169" t="s">
        <v>898</v>
      </c>
      <c r="AR582" s="169" t="s">
        <v>349</v>
      </c>
      <c r="AS582" s="169" t="s">
        <v>420</v>
      </c>
    </row>
    <row r="583" spans="1:45" ht="12.75" customHeight="1" x14ac:dyDescent="0.3">
      <c r="A583" s="480" t="s">
        <v>292</v>
      </c>
      <c r="B583" s="861" t="s">
        <v>606</v>
      </c>
      <c r="C583" s="862"/>
      <c r="D583" s="862"/>
      <c r="E583" s="862"/>
      <c r="F583" s="862"/>
      <c r="G583" s="862"/>
      <c r="H583" s="863"/>
      <c r="I583" s="481">
        <f>SUM(I584:I603)</f>
        <v>158513.51999999999</v>
      </c>
      <c r="J583" s="482">
        <f t="shared" ref="J583:M583" si="957">SUM(J584:J603)</f>
        <v>24448.080000000002</v>
      </c>
      <c r="K583" s="482">
        <f t="shared" si="957"/>
        <v>57641.280000000013</v>
      </c>
      <c r="L583" s="482">
        <f t="shared" si="957"/>
        <v>57641.280000000013</v>
      </c>
      <c r="M583" s="482">
        <f t="shared" si="957"/>
        <v>43230.960000000014</v>
      </c>
      <c r="N583" s="481">
        <f>SUM(N584:N603)</f>
        <v>0</v>
      </c>
      <c r="O583" s="508"/>
      <c r="Q583" s="538"/>
      <c r="R583" s="539"/>
      <c r="S583" s="538"/>
      <c r="T583" s="539"/>
      <c r="U583" s="539"/>
      <c r="V583" s="484"/>
      <c r="W583" s="482">
        <f>SUM(W584:W603)</f>
        <v>98093.52</v>
      </c>
      <c r="X583" s="482">
        <f>SUM(X584:X603)</f>
        <v>21268.080000000002</v>
      </c>
      <c r="Y583" s="482">
        <f>SUM(Y584:Y603)</f>
        <v>32697.84</v>
      </c>
      <c r="Z583" s="482">
        <f t="shared" ref="Z583:AA583" si="958">SUM(Z584:Z603)</f>
        <v>32697.84</v>
      </c>
      <c r="AA583" s="482">
        <f t="shared" si="958"/>
        <v>32697.84</v>
      </c>
      <c r="AB583" s="481">
        <f>SUM(AB584:AB603)</f>
        <v>0</v>
      </c>
      <c r="AC583" s="508"/>
      <c r="AD583" s="234"/>
      <c r="AE583" s="247" t="s">
        <v>292</v>
      </c>
      <c r="AF583" s="204" t="str">
        <f t="shared" si="873"/>
        <v>Operational costs, pro-rated to their contribution to the programme (office space, equipment, office supplies, maintenance)</v>
      </c>
      <c r="AG583" s="485">
        <f t="shared" si="953"/>
        <v>0.84878381811253656</v>
      </c>
      <c r="AH583" s="485">
        <f t="shared" si="954"/>
        <v>0.15121618188746352</v>
      </c>
      <c r="AI583" s="482">
        <f t="shared" si="955"/>
        <v>256607.03999999998</v>
      </c>
      <c r="AJ583" s="482">
        <f t="shared" si="938"/>
        <v>0</v>
      </c>
      <c r="AK583" s="482">
        <f t="shared" si="956"/>
        <v>45716.160000000003</v>
      </c>
      <c r="AL583" s="482">
        <f t="shared" si="952"/>
        <v>302323.19999999995</v>
      </c>
      <c r="AM583" s="314">
        <f t="shared" si="861"/>
        <v>158513.51999999999</v>
      </c>
      <c r="AN583" s="314">
        <f t="shared" si="862"/>
        <v>0</v>
      </c>
      <c r="AO583" s="314">
        <f t="shared" si="863"/>
        <v>98093.52</v>
      </c>
      <c r="AP583" s="314">
        <f t="shared" si="864"/>
        <v>0</v>
      </c>
    </row>
    <row r="584" spans="1:45" s="169" customFormat="1" ht="39" x14ac:dyDescent="0.3">
      <c r="A584" s="582">
        <v>1</v>
      </c>
      <c r="B584" s="583" t="s">
        <v>607</v>
      </c>
      <c r="C584" s="562" t="s">
        <v>498</v>
      </c>
      <c r="D584" s="536">
        <v>1200</v>
      </c>
      <c r="E584" s="411">
        <v>18</v>
      </c>
      <c r="F584" s="512">
        <v>1</v>
      </c>
      <c r="G584" s="503">
        <v>0.95</v>
      </c>
      <c r="H584" s="503">
        <v>0.05</v>
      </c>
      <c r="I584" s="416">
        <f t="shared" ref="I584:I610" si="959">D584*E584*F584*G584</f>
        <v>20520</v>
      </c>
      <c r="J584" s="487">
        <f t="shared" ref="J584:J603" si="960">D584*E584*F584*H584</f>
        <v>1080</v>
      </c>
      <c r="K584" s="487">
        <f t="shared" ref="K584:K603" si="961">I584*4/11</f>
        <v>7461.818181818182</v>
      </c>
      <c r="L584" s="487">
        <f t="shared" ref="L584:L603" si="962">I584*4/11</f>
        <v>7461.818181818182</v>
      </c>
      <c r="M584" s="487">
        <f t="shared" ref="M584:M603" si="963">I584*3/11</f>
        <v>5596.363636363636</v>
      </c>
      <c r="N584" s="416">
        <v>0</v>
      </c>
      <c r="O584" s="507" t="s">
        <v>608</v>
      </c>
      <c r="P584" s="171"/>
      <c r="Q584" s="562" t="s">
        <v>498</v>
      </c>
      <c r="R584" s="516">
        <v>1200</v>
      </c>
      <c r="S584" s="411">
        <v>0</v>
      </c>
      <c r="T584" s="514">
        <v>1</v>
      </c>
      <c r="U584" s="503">
        <v>0.95</v>
      </c>
      <c r="V584" s="503">
        <v>0.05</v>
      </c>
      <c r="W584" s="506">
        <f t="shared" ref="W584:W610" si="964">R584*S584*T584*U584</f>
        <v>0</v>
      </c>
      <c r="X584" s="487">
        <f t="shared" ref="X584:X610" si="965">R584*S584*T584*V584</f>
        <v>0</v>
      </c>
      <c r="Y584" s="487">
        <f t="shared" ref="Y584:Y605" si="966">W584</f>
        <v>0</v>
      </c>
      <c r="Z584" s="487"/>
      <c r="AA584" s="487"/>
      <c r="AB584" s="416">
        <v>0</v>
      </c>
      <c r="AC584" s="417" t="s">
        <v>608</v>
      </c>
      <c r="AD584" s="227"/>
      <c r="AE584" s="241">
        <v>1</v>
      </c>
      <c r="AF584" s="204" t="str">
        <f t="shared" si="873"/>
        <v>Laptop Computer</v>
      </c>
      <c r="AG584" s="486">
        <f t="shared" si="953"/>
        <v>0.95</v>
      </c>
      <c r="AH584" s="486">
        <f t="shared" si="954"/>
        <v>0.05</v>
      </c>
      <c r="AI584" s="506">
        <f t="shared" si="955"/>
        <v>20520</v>
      </c>
      <c r="AJ584" s="506">
        <f t="shared" si="938"/>
        <v>0</v>
      </c>
      <c r="AK584" s="487">
        <f t="shared" si="956"/>
        <v>1080</v>
      </c>
      <c r="AL584" s="487">
        <f t="shared" si="952"/>
        <v>21600</v>
      </c>
      <c r="AM584" s="316">
        <f t="shared" si="861"/>
        <v>20520</v>
      </c>
      <c r="AN584" s="316">
        <f t="shared" si="862"/>
        <v>0</v>
      </c>
      <c r="AO584" s="316">
        <f t="shared" si="863"/>
        <v>0</v>
      </c>
      <c r="AP584" s="316">
        <f t="shared" si="864"/>
        <v>0</v>
      </c>
      <c r="AQ584" s="169" t="s">
        <v>898</v>
      </c>
      <c r="AR584" s="169" t="s">
        <v>349</v>
      </c>
      <c r="AS584" s="169" t="s">
        <v>420</v>
      </c>
    </row>
    <row r="585" spans="1:45" s="169" customFormat="1" ht="26" x14ac:dyDescent="0.3">
      <c r="A585" s="582">
        <v>2</v>
      </c>
      <c r="B585" s="583" t="s">
        <v>609</v>
      </c>
      <c r="C585" s="562" t="s">
        <v>498</v>
      </c>
      <c r="D585" s="536">
        <v>1000</v>
      </c>
      <c r="E585" s="411">
        <v>2</v>
      </c>
      <c r="F585" s="512">
        <v>1</v>
      </c>
      <c r="G585" s="503">
        <v>0.95</v>
      </c>
      <c r="H585" s="503">
        <v>0.05</v>
      </c>
      <c r="I585" s="416">
        <f t="shared" si="959"/>
        <v>1900</v>
      </c>
      <c r="J585" s="487">
        <f t="shared" si="960"/>
        <v>100</v>
      </c>
      <c r="K585" s="487">
        <f t="shared" si="961"/>
        <v>690.90909090909088</v>
      </c>
      <c r="L585" s="487">
        <f t="shared" si="962"/>
        <v>690.90909090909088</v>
      </c>
      <c r="M585" s="487">
        <f t="shared" si="963"/>
        <v>518.18181818181813</v>
      </c>
      <c r="N585" s="416">
        <v>0</v>
      </c>
      <c r="O585" s="507" t="s">
        <v>610</v>
      </c>
      <c r="P585" s="171"/>
      <c r="Q585" s="562" t="s">
        <v>498</v>
      </c>
      <c r="R585" s="516">
        <v>1000</v>
      </c>
      <c r="S585" s="411">
        <v>0</v>
      </c>
      <c r="T585" s="514">
        <v>1</v>
      </c>
      <c r="U585" s="503">
        <v>0.95</v>
      </c>
      <c r="V585" s="503">
        <v>0.05</v>
      </c>
      <c r="W585" s="506">
        <f t="shared" si="964"/>
        <v>0</v>
      </c>
      <c r="X585" s="487">
        <f t="shared" si="965"/>
        <v>0</v>
      </c>
      <c r="Y585" s="487">
        <f t="shared" si="966"/>
        <v>0</v>
      </c>
      <c r="Z585" s="487"/>
      <c r="AA585" s="487"/>
      <c r="AB585" s="416">
        <v>0</v>
      </c>
      <c r="AC585" s="417" t="s">
        <v>610</v>
      </c>
      <c r="AD585" s="227"/>
      <c r="AE585" s="241">
        <v>2</v>
      </c>
      <c r="AF585" s="204" t="str">
        <f t="shared" si="873"/>
        <v>Printers</v>
      </c>
      <c r="AG585" s="486">
        <f t="shared" si="953"/>
        <v>0.95</v>
      </c>
      <c r="AH585" s="486">
        <f t="shared" si="954"/>
        <v>0.05</v>
      </c>
      <c r="AI585" s="506">
        <f t="shared" si="955"/>
        <v>1900</v>
      </c>
      <c r="AJ585" s="506">
        <f t="shared" si="938"/>
        <v>0</v>
      </c>
      <c r="AK585" s="487">
        <f t="shared" si="956"/>
        <v>100</v>
      </c>
      <c r="AL585" s="487">
        <f t="shared" si="952"/>
        <v>2000</v>
      </c>
      <c r="AM585" s="316">
        <f t="shared" si="861"/>
        <v>1900</v>
      </c>
      <c r="AN585" s="316">
        <f t="shared" si="862"/>
        <v>0</v>
      </c>
      <c r="AO585" s="316">
        <f t="shared" si="863"/>
        <v>0</v>
      </c>
      <c r="AP585" s="316">
        <f t="shared" si="864"/>
        <v>0</v>
      </c>
      <c r="AQ585" s="169" t="s">
        <v>898</v>
      </c>
      <c r="AR585" s="169" t="s">
        <v>349</v>
      </c>
      <c r="AS585" s="169" t="s">
        <v>420</v>
      </c>
    </row>
    <row r="586" spans="1:45" s="169" customFormat="1" ht="26" x14ac:dyDescent="0.3">
      <c r="A586" s="582">
        <v>3</v>
      </c>
      <c r="B586" s="583" t="s">
        <v>611</v>
      </c>
      <c r="C586" s="562" t="s">
        <v>612</v>
      </c>
      <c r="D586" s="536">
        <v>120</v>
      </c>
      <c r="E586" s="411">
        <v>2</v>
      </c>
      <c r="F586" s="585">
        <v>202.5</v>
      </c>
      <c r="G586" s="503">
        <v>0.95</v>
      </c>
      <c r="H586" s="503">
        <v>0.05</v>
      </c>
      <c r="I586" s="416">
        <f t="shared" si="959"/>
        <v>46170</v>
      </c>
      <c r="J586" s="487">
        <f t="shared" si="960"/>
        <v>2430</v>
      </c>
      <c r="K586" s="487">
        <f t="shared" si="961"/>
        <v>16789.090909090908</v>
      </c>
      <c r="L586" s="487">
        <f t="shared" si="962"/>
        <v>16789.090909090908</v>
      </c>
      <c r="M586" s="487">
        <f t="shared" si="963"/>
        <v>12591.818181818182</v>
      </c>
      <c r="N586" s="416">
        <v>0</v>
      </c>
      <c r="O586" s="507" t="s">
        <v>1686</v>
      </c>
      <c r="P586" s="171"/>
      <c r="Q586" s="562" t="s">
        <v>612</v>
      </c>
      <c r="R586" s="516">
        <v>120</v>
      </c>
      <c r="S586" s="411">
        <v>2</v>
      </c>
      <c r="T586" s="555">
        <v>202.5</v>
      </c>
      <c r="U586" s="503">
        <v>0.95</v>
      </c>
      <c r="V586" s="503">
        <v>0.05</v>
      </c>
      <c r="W586" s="506">
        <f t="shared" si="964"/>
        <v>46170</v>
      </c>
      <c r="X586" s="487">
        <f t="shared" si="965"/>
        <v>2430</v>
      </c>
      <c r="Y586" s="513">
        <f t="shared" ref="Y586" si="967">W586*3/9</f>
        <v>15390</v>
      </c>
      <c r="Z586" s="513">
        <f t="shared" ref="Z586" si="968">W586*3/9</f>
        <v>15390</v>
      </c>
      <c r="AA586" s="513">
        <f t="shared" ref="AA586" si="969">W586*3/9</f>
        <v>15390</v>
      </c>
      <c r="AB586" s="416">
        <v>0</v>
      </c>
      <c r="AC586" s="507" t="s">
        <v>1686</v>
      </c>
      <c r="AD586" s="227"/>
      <c r="AE586" s="241">
        <v>3</v>
      </c>
      <c r="AF586" s="204" t="str">
        <f t="shared" si="873"/>
        <v>Location des vehicules</v>
      </c>
      <c r="AG586" s="486">
        <f t="shared" si="953"/>
        <v>0.95</v>
      </c>
      <c r="AH586" s="486">
        <f t="shared" si="954"/>
        <v>0.05</v>
      </c>
      <c r="AI586" s="506">
        <f t="shared" si="955"/>
        <v>92340</v>
      </c>
      <c r="AJ586" s="506">
        <f t="shared" si="938"/>
        <v>0</v>
      </c>
      <c r="AK586" s="487">
        <f t="shared" si="956"/>
        <v>4860</v>
      </c>
      <c r="AL586" s="487">
        <f t="shared" si="952"/>
        <v>97200</v>
      </c>
      <c r="AM586" s="316">
        <f t="shared" ref="AM586:AM649" si="970">I586</f>
        <v>46170</v>
      </c>
      <c r="AN586" s="316">
        <f t="shared" ref="AN586:AN649" si="971">N586</f>
        <v>0</v>
      </c>
      <c r="AO586" s="316">
        <f t="shared" ref="AO586:AO649" si="972">W586</f>
        <v>46170</v>
      </c>
      <c r="AP586" s="316">
        <f t="shared" ref="AP586:AP649" si="973">AB586</f>
        <v>0</v>
      </c>
      <c r="AQ586" s="169" t="s">
        <v>898</v>
      </c>
      <c r="AR586" s="169" t="s">
        <v>349</v>
      </c>
      <c r="AS586" s="169" t="s">
        <v>420</v>
      </c>
    </row>
    <row r="587" spans="1:45" s="169" customFormat="1" ht="26" x14ac:dyDescent="0.3">
      <c r="A587" s="582">
        <v>4</v>
      </c>
      <c r="B587" s="583" t="s">
        <v>613</v>
      </c>
      <c r="C587" s="562" t="s">
        <v>498</v>
      </c>
      <c r="D587" s="536">
        <v>5000</v>
      </c>
      <c r="E587" s="411">
        <v>2</v>
      </c>
      <c r="F587" s="512">
        <v>4</v>
      </c>
      <c r="G587" s="503">
        <v>0.95</v>
      </c>
      <c r="H587" s="503">
        <v>0.05</v>
      </c>
      <c r="I587" s="416">
        <f t="shared" si="959"/>
        <v>38000</v>
      </c>
      <c r="J587" s="487">
        <f t="shared" si="960"/>
        <v>2000</v>
      </c>
      <c r="K587" s="487">
        <f t="shared" si="961"/>
        <v>13818.181818181818</v>
      </c>
      <c r="L587" s="487">
        <f t="shared" si="962"/>
        <v>13818.181818181818</v>
      </c>
      <c r="M587" s="487">
        <f t="shared" si="963"/>
        <v>10363.636363636364</v>
      </c>
      <c r="N587" s="416">
        <v>0</v>
      </c>
      <c r="O587" s="507" t="s">
        <v>614</v>
      </c>
      <c r="P587" s="171"/>
      <c r="Q587" s="562" t="s">
        <v>498</v>
      </c>
      <c r="R587" s="516">
        <v>0</v>
      </c>
      <c r="S587" s="411">
        <v>1</v>
      </c>
      <c r="T587" s="514">
        <v>8</v>
      </c>
      <c r="U587" s="503">
        <v>0.95</v>
      </c>
      <c r="V587" s="503">
        <v>0.05</v>
      </c>
      <c r="W587" s="506">
        <f t="shared" si="964"/>
        <v>0</v>
      </c>
      <c r="X587" s="487">
        <f t="shared" si="965"/>
        <v>0</v>
      </c>
      <c r="Y587" s="487">
        <f t="shared" si="966"/>
        <v>0</v>
      </c>
      <c r="Z587" s="487"/>
      <c r="AA587" s="487"/>
      <c r="AB587" s="416">
        <v>0</v>
      </c>
      <c r="AC587" s="417" t="s">
        <v>614</v>
      </c>
      <c r="AD587" s="227"/>
      <c r="AE587" s="241">
        <v>4</v>
      </c>
      <c r="AF587" s="204" t="str">
        <f t="shared" si="873"/>
        <v>Purchase of motorcycles de marque Yamaha DT-125</v>
      </c>
      <c r="AG587" s="486">
        <f t="shared" si="953"/>
        <v>0.95</v>
      </c>
      <c r="AH587" s="486">
        <f t="shared" si="954"/>
        <v>0.05</v>
      </c>
      <c r="AI587" s="506">
        <f t="shared" si="955"/>
        <v>38000</v>
      </c>
      <c r="AJ587" s="506">
        <f t="shared" si="938"/>
        <v>0</v>
      </c>
      <c r="AK587" s="487">
        <f t="shared" si="956"/>
        <v>2000</v>
      </c>
      <c r="AL587" s="487">
        <f t="shared" si="952"/>
        <v>40000</v>
      </c>
      <c r="AM587" s="316">
        <f t="shared" si="970"/>
        <v>38000</v>
      </c>
      <c r="AN587" s="316">
        <f t="shared" si="971"/>
        <v>0</v>
      </c>
      <c r="AO587" s="316">
        <f t="shared" si="972"/>
        <v>0</v>
      </c>
      <c r="AP587" s="316">
        <f t="shared" si="973"/>
        <v>0</v>
      </c>
      <c r="AQ587" s="169" t="s">
        <v>898</v>
      </c>
      <c r="AR587" s="169" t="s">
        <v>349</v>
      </c>
      <c r="AS587" s="169" t="s">
        <v>420</v>
      </c>
    </row>
    <row r="588" spans="1:45" s="169" customFormat="1" x14ac:dyDescent="0.3">
      <c r="A588" s="582">
        <v>5</v>
      </c>
      <c r="B588" s="583" t="s">
        <v>1687</v>
      </c>
      <c r="C588" s="562" t="s">
        <v>126</v>
      </c>
      <c r="D588" s="537">
        <v>1.6</v>
      </c>
      <c r="E588" s="411">
        <v>440</v>
      </c>
      <c r="F588" s="512">
        <v>9</v>
      </c>
      <c r="G588" s="503">
        <v>0.95</v>
      </c>
      <c r="H588" s="503">
        <v>0.05</v>
      </c>
      <c r="I588" s="416">
        <f t="shared" si="959"/>
        <v>6019.2</v>
      </c>
      <c r="J588" s="487">
        <f t="shared" si="960"/>
        <v>316.8</v>
      </c>
      <c r="K588" s="487">
        <f t="shared" si="961"/>
        <v>2188.7999999999997</v>
      </c>
      <c r="L588" s="487">
        <f t="shared" si="962"/>
        <v>2188.7999999999997</v>
      </c>
      <c r="M588" s="487">
        <f t="shared" si="963"/>
        <v>1641.6</v>
      </c>
      <c r="N588" s="416">
        <v>0</v>
      </c>
      <c r="O588" s="507" t="s">
        <v>1688</v>
      </c>
      <c r="P588" s="171"/>
      <c r="Q588" s="562" t="s">
        <v>126</v>
      </c>
      <c r="R588" s="516">
        <v>1.6</v>
      </c>
      <c r="S588" s="411">
        <v>440</v>
      </c>
      <c r="T588" s="514">
        <v>9</v>
      </c>
      <c r="U588" s="503">
        <v>0.95</v>
      </c>
      <c r="V588" s="503">
        <v>0.05</v>
      </c>
      <c r="W588" s="506">
        <f t="shared" si="964"/>
        <v>6019.2</v>
      </c>
      <c r="X588" s="487">
        <f t="shared" si="965"/>
        <v>316.8</v>
      </c>
      <c r="Y588" s="513">
        <f t="shared" ref="Y588:Y603" si="974">W588*3/9</f>
        <v>2006.3999999999999</v>
      </c>
      <c r="Z588" s="513">
        <f t="shared" ref="Z588:Z603" si="975">W588*3/9</f>
        <v>2006.3999999999999</v>
      </c>
      <c r="AA588" s="513">
        <f t="shared" ref="AA588:AA603" si="976">W588*3/9</f>
        <v>2006.3999999999999</v>
      </c>
      <c r="AB588" s="416">
        <v>0</v>
      </c>
      <c r="AC588" s="417" t="s">
        <v>1688</v>
      </c>
      <c r="AD588" s="227"/>
      <c r="AE588" s="241">
        <v>5</v>
      </c>
      <c r="AF588" s="204" t="str">
        <f t="shared" ref="AF588:AF651" si="977">B588</f>
        <v>Carburant Vehicle</v>
      </c>
      <c r="AG588" s="486">
        <f t="shared" si="953"/>
        <v>0.95</v>
      </c>
      <c r="AH588" s="486">
        <f t="shared" si="954"/>
        <v>0.05</v>
      </c>
      <c r="AI588" s="506">
        <f t="shared" si="955"/>
        <v>12038.4</v>
      </c>
      <c r="AJ588" s="506">
        <f t="shared" si="938"/>
        <v>0</v>
      </c>
      <c r="AK588" s="487">
        <f t="shared" si="956"/>
        <v>633.6</v>
      </c>
      <c r="AL588" s="487">
        <f t="shared" si="952"/>
        <v>12672</v>
      </c>
      <c r="AM588" s="316">
        <f t="shared" si="970"/>
        <v>6019.2</v>
      </c>
      <c r="AN588" s="316">
        <f t="shared" si="971"/>
        <v>0</v>
      </c>
      <c r="AO588" s="316">
        <f t="shared" si="972"/>
        <v>6019.2</v>
      </c>
      <c r="AP588" s="316">
        <f t="shared" si="973"/>
        <v>0</v>
      </c>
      <c r="AQ588" s="169" t="s">
        <v>898</v>
      </c>
      <c r="AR588" s="169" t="s">
        <v>349</v>
      </c>
      <c r="AS588" s="169" t="s">
        <v>420</v>
      </c>
    </row>
    <row r="589" spans="1:45" s="169" customFormat="1" x14ac:dyDescent="0.3">
      <c r="A589" s="582">
        <v>6</v>
      </c>
      <c r="B589" s="583" t="s">
        <v>1689</v>
      </c>
      <c r="C589" s="562" t="s">
        <v>126</v>
      </c>
      <c r="D589" s="537">
        <v>1.6</v>
      </c>
      <c r="E589" s="411">
        <v>704</v>
      </c>
      <c r="F589" s="512">
        <v>9</v>
      </c>
      <c r="G589" s="503">
        <v>0.95</v>
      </c>
      <c r="H589" s="503">
        <v>0.05</v>
      </c>
      <c r="I589" s="416">
        <f t="shared" si="959"/>
        <v>9630.7199999999993</v>
      </c>
      <c r="J589" s="487">
        <f t="shared" si="960"/>
        <v>506.88000000000005</v>
      </c>
      <c r="K589" s="487">
        <f t="shared" si="961"/>
        <v>3502.08</v>
      </c>
      <c r="L589" s="487">
        <f t="shared" si="962"/>
        <v>3502.08</v>
      </c>
      <c r="M589" s="487">
        <f t="shared" si="963"/>
        <v>2626.5599999999995</v>
      </c>
      <c r="N589" s="416">
        <v>0</v>
      </c>
      <c r="O589" s="507" t="s">
        <v>1690</v>
      </c>
      <c r="P589" s="171"/>
      <c r="Q589" s="562" t="s">
        <v>126</v>
      </c>
      <c r="R589" s="516">
        <v>1.6</v>
      </c>
      <c r="S589" s="411">
        <v>704</v>
      </c>
      <c r="T589" s="514">
        <v>9</v>
      </c>
      <c r="U589" s="503">
        <v>0.95</v>
      </c>
      <c r="V589" s="503">
        <v>0.05</v>
      </c>
      <c r="W589" s="506">
        <f t="shared" si="964"/>
        <v>9630.7199999999993</v>
      </c>
      <c r="X589" s="487">
        <f t="shared" si="965"/>
        <v>506.88000000000005</v>
      </c>
      <c r="Y589" s="513">
        <f t="shared" si="974"/>
        <v>3210.24</v>
      </c>
      <c r="Z589" s="513">
        <f t="shared" si="975"/>
        <v>3210.24</v>
      </c>
      <c r="AA589" s="513">
        <f t="shared" si="976"/>
        <v>3210.24</v>
      </c>
      <c r="AB589" s="416">
        <v>0</v>
      </c>
      <c r="AC589" s="417" t="s">
        <v>1691</v>
      </c>
      <c r="AD589" s="227"/>
      <c r="AE589" s="241">
        <v>6</v>
      </c>
      <c r="AF589" s="204" t="str">
        <f t="shared" si="977"/>
        <v>Carburant pour 8 motos motocycles</v>
      </c>
      <c r="AG589" s="486">
        <f t="shared" si="953"/>
        <v>0.95000000000000007</v>
      </c>
      <c r="AH589" s="486">
        <f t="shared" si="954"/>
        <v>5.000000000000001E-2</v>
      </c>
      <c r="AI589" s="506">
        <f t="shared" si="955"/>
        <v>19261.439999999999</v>
      </c>
      <c r="AJ589" s="506">
        <f t="shared" si="938"/>
        <v>0</v>
      </c>
      <c r="AK589" s="487">
        <f t="shared" si="956"/>
        <v>1013.7600000000001</v>
      </c>
      <c r="AL589" s="487">
        <f t="shared" si="952"/>
        <v>20275.199999999997</v>
      </c>
      <c r="AM589" s="316">
        <f t="shared" si="970"/>
        <v>9630.7199999999993</v>
      </c>
      <c r="AN589" s="316">
        <f t="shared" si="971"/>
        <v>0</v>
      </c>
      <c r="AO589" s="316">
        <f t="shared" si="972"/>
        <v>9630.7199999999993</v>
      </c>
      <c r="AP589" s="316">
        <f t="shared" si="973"/>
        <v>0</v>
      </c>
      <c r="AQ589" s="169" t="s">
        <v>898</v>
      </c>
      <c r="AR589" s="169" t="s">
        <v>349</v>
      </c>
      <c r="AS589" s="169" t="s">
        <v>420</v>
      </c>
    </row>
    <row r="590" spans="1:45" s="169" customFormat="1" x14ac:dyDescent="0.3">
      <c r="A590" s="582">
        <v>7</v>
      </c>
      <c r="B590" s="583" t="s">
        <v>615</v>
      </c>
      <c r="C590" s="562" t="s">
        <v>124</v>
      </c>
      <c r="D590" s="536">
        <v>15</v>
      </c>
      <c r="E590" s="411">
        <v>8</v>
      </c>
      <c r="F590" s="512">
        <v>9</v>
      </c>
      <c r="G590" s="486">
        <v>0</v>
      </c>
      <c r="H590" s="486">
        <f t="shared" ref="H590:H617" si="978">100%-G590</f>
        <v>1</v>
      </c>
      <c r="I590" s="416">
        <f t="shared" si="959"/>
        <v>0</v>
      </c>
      <c r="J590" s="487">
        <f t="shared" si="960"/>
        <v>1080</v>
      </c>
      <c r="K590" s="487">
        <f t="shared" si="961"/>
        <v>0</v>
      </c>
      <c r="L590" s="487">
        <f t="shared" si="962"/>
        <v>0</v>
      </c>
      <c r="M590" s="487">
        <f t="shared" si="963"/>
        <v>0</v>
      </c>
      <c r="N590" s="416">
        <v>0</v>
      </c>
      <c r="O590" s="507" t="s">
        <v>616</v>
      </c>
      <c r="P590" s="171"/>
      <c r="Q590" s="562" t="s">
        <v>124</v>
      </c>
      <c r="R590" s="516">
        <v>15</v>
      </c>
      <c r="S590" s="411">
        <v>8</v>
      </c>
      <c r="T590" s="514">
        <v>9</v>
      </c>
      <c r="U590" s="486">
        <v>0</v>
      </c>
      <c r="V590" s="486">
        <f t="shared" ref="V590:V596" si="979">100%-U590</f>
        <v>1</v>
      </c>
      <c r="W590" s="506">
        <f t="shared" si="964"/>
        <v>0</v>
      </c>
      <c r="X590" s="487">
        <f t="shared" si="965"/>
        <v>1080</v>
      </c>
      <c r="Y590" s="513">
        <f t="shared" si="974"/>
        <v>0</v>
      </c>
      <c r="Z590" s="513">
        <f t="shared" si="975"/>
        <v>0</v>
      </c>
      <c r="AA590" s="513">
        <f t="shared" si="976"/>
        <v>0</v>
      </c>
      <c r="AB590" s="416">
        <v>0</v>
      </c>
      <c r="AC590" s="417" t="s">
        <v>616</v>
      </c>
      <c r="AD590" s="227"/>
      <c r="AE590" s="241">
        <v>7</v>
      </c>
      <c r="AF590" s="204" t="str">
        <f t="shared" si="977"/>
        <v>Maintenance motocycle</v>
      </c>
      <c r="AG590" s="486">
        <f t="shared" si="953"/>
        <v>0</v>
      </c>
      <c r="AH590" s="486">
        <f t="shared" si="954"/>
        <v>1</v>
      </c>
      <c r="AI590" s="506">
        <f t="shared" si="955"/>
        <v>0</v>
      </c>
      <c r="AJ590" s="506">
        <f t="shared" si="938"/>
        <v>0</v>
      </c>
      <c r="AK590" s="487">
        <f t="shared" si="956"/>
        <v>2160</v>
      </c>
      <c r="AL590" s="487">
        <f t="shared" si="952"/>
        <v>2160</v>
      </c>
      <c r="AM590" s="316">
        <f t="shared" si="970"/>
        <v>0</v>
      </c>
      <c r="AN590" s="316">
        <f t="shared" si="971"/>
        <v>0</v>
      </c>
      <c r="AO590" s="316">
        <f t="shared" si="972"/>
        <v>0</v>
      </c>
      <c r="AP590" s="316">
        <f t="shared" si="973"/>
        <v>0</v>
      </c>
      <c r="AQ590" s="169" t="s">
        <v>898</v>
      </c>
      <c r="AR590" s="169" t="s">
        <v>349</v>
      </c>
      <c r="AS590" s="169" t="s">
        <v>420</v>
      </c>
    </row>
    <row r="591" spans="1:45" s="169" customFormat="1" x14ac:dyDescent="0.3">
      <c r="A591" s="582">
        <v>8</v>
      </c>
      <c r="B591" s="583" t="s">
        <v>1692</v>
      </c>
      <c r="C591" s="562" t="s">
        <v>124</v>
      </c>
      <c r="D591" s="536">
        <v>800</v>
      </c>
      <c r="E591" s="411">
        <v>1</v>
      </c>
      <c r="F591" s="512">
        <v>9</v>
      </c>
      <c r="G591" s="503">
        <v>0.95</v>
      </c>
      <c r="H591" s="503">
        <v>0.05</v>
      </c>
      <c r="I591" s="416">
        <f t="shared" si="959"/>
        <v>6840</v>
      </c>
      <c r="J591" s="487">
        <f t="shared" si="960"/>
        <v>360</v>
      </c>
      <c r="K591" s="487">
        <f t="shared" si="961"/>
        <v>2487.2727272727275</v>
      </c>
      <c r="L591" s="487">
        <f t="shared" si="962"/>
        <v>2487.2727272727275</v>
      </c>
      <c r="M591" s="487">
        <f t="shared" si="963"/>
        <v>1865.4545454545455</v>
      </c>
      <c r="N591" s="416">
        <v>0</v>
      </c>
      <c r="O591" s="507" t="s">
        <v>1693</v>
      </c>
      <c r="P591" s="171"/>
      <c r="Q591" s="562" t="s">
        <v>124</v>
      </c>
      <c r="R591" s="516">
        <v>800</v>
      </c>
      <c r="S591" s="411">
        <v>1</v>
      </c>
      <c r="T591" s="514">
        <v>9</v>
      </c>
      <c r="U591" s="503">
        <v>0.95</v>
      </c>
      <c r="V591" s="503">
        <v>0.05</v>
      </c>
      <c r="W591" s="506">
        <f t="shared" si="964"/>
        <v>6840</v>
      </c>
      <c r="X591" s="487">
        <f t="shared" si="965"/>
        <v>360</v>
      </c>
      <c r="Y591" s="513">
        <f t="shared" si="974"/>
        <v>2280</v>
      </c>
      <c r="Z591" s="513">
        <f t="shared" si="975"/>
        <v>2280</v>
      </c>
      <c r="AA591" s="513">
        <f t="shared" si="976"/>
        <v>2280</v>
      </c>
      <c r="AB591" s="416">
        <v>0</v>
      </c>
      <c r="AC591" s="417" t="s">
        <v>1693</v>
      </c>
      <c r="AD591" s="227"/>
      <c r="AE591" s="241">
        <v>8</v>
      </c>
      <c r="AF591" s="204" t="str">
        <f t="shared" si="977"/>
        <v>Rent bureau - Rutshuru</v>
      </c>
      <c r="AG591" s="486">
        <f t="shared" si="953"/>
        <v>0.95</v>
      </c>
      <c r="AH591" s="486">
        <f t="shared" si="954"/>
        <v>0.05</v>
      </c>
      <c r="AI591" s="506">
        <f t="shared" si="955"/>
        <v>13680</v>
      </c>
      <c r="AJ591" s="506">
        <f t="shared" si="938"/>
        <v>0</v>
      </c>
      <c r="AK591" s="487">
        <f t="shared" si="956"/>
        <v>720</v>
      </c>
      <c r="AL591" s="487">
        <f t="shared" si="952"/>
        <v>14400</v>
      </c>
      <c r="AM591" s="316">
        <f t="shared" si="970"/>
        <v>6840</v>
      </c>
      <c r="AN591" s="316">
        <f t="shared" si="971"/>
        <v>0</v>
      </c>
      <c r="AO591" s="316">
        <f t="shared" si="972"/>
        <v>6840</v>
      </c>
      <c r="AP591" s="316">
        <f t="shared" si="973"/>
        <v>0</v>
      </c>
      <c r="AQ591" s="169" t="s">
        <v>898</v>
      </c>
      <c r="AR591" s="169" t="s">
        <v>349</v>
      </c>
      <c r="AS591" s="169" t="s">
        <v>420</v>
      </c>
    </row>
    <row r="592" spans="1:45" s="169" customFormat="1" x14ac:dyDescent="0.3">
      <c r="A592" s="582">
        <v>9</v>
      </c>
      <c r="B592" s="583" t="s">
        <v>1694</v>
      </c>
      <c r="C592" s="562" t="s">
        <v>124</v>
      </c>
      <c r="D592" s="536">
        <v>1000</v>
      </c>
      <c r="E592" s="411">
        <v>1</v>
      </c>
      <c r="F592" s="512">
        <v>9</v>
      </c>
      <c r="G592" s="503">
        <v>0.95</v>
      </c>
      <c r="H592" s="503">
        <v>0.05</v>
      </c>
      <c r="I592" s="416">
        <f t="shared" si="959"/>
        <v>8550</v>
      </c>
      <c r="J592" s="487">
        <f t="shared" si="960"/>
        <v>450</v>
      </c>
      <c r="K592" s="487">
        <f t="shared" si="961"/>
        <v>3109.090909090909</v>
      </c>
      <c r="L592" s="487">
        <f t="shared" si="962"/>
        <v>3109.090909090909</v>
      </c>
      <c r="M592" s="487">
        <f t="shared" si="963"/>
        <v>2331.818181818182</v>
      </c>
      <c r="N592" s="416">
        <v>0</v>
      </c>
      <c r="O592" s="507" t="s">
        <v>1695</v>
      </c>
      <c r="P592" s="171"/>
      <c r="Q592" s="562" t="s">
        <v>124</v>
      </c>
      <c r="R592" s="516">
        <v>1000</v>
      </c>
      <c r="S592" s="411">
        <v>1</v>
      </c>
      <c r="T592" s="514">
        <v>9</v>
      </c>
      <c r="U592" s="503">
        <v>0.95</v>
      </c>
      <c r="V592" s="503">
        <v>0.05</v>
      </c>
      <c r="W592" s="506">
        <f t="shared" si="964"/>
        <v>8550</v>
      </c>
      <c r="X592" s="487">
        <f t="shared" si="965"/>
        <v>450</v>
      </c>
      <c r="Y592" s="513">
        <f t="shared" si="974"/>
        <v>2850</v>
      </c>
      <c r="Z592" s="513">
        <f t="shared" si="975"/>
        <v>2850</v>
      </c>
      <c r="AA592" s="513">
        <f t="shared" si="976"/>
        <v>2850</v>
      </c>
      <c r="AB592" s="416">
        <v>0</v>
      </c>
      <c r="AC592" s="417" t="s">
        <v>1695</v>
      </c>
      <c r="AD592" s="227"/>
      <c r="AE592" s="241">
        <v>9</v>
      </c>
      <c r="AF592" s="204" t="str">
        <f t="shared" si="977"/>
        <v>Rent bureau -Goma</v>
      </c>
      <c r="AG592" s="486">
        <f t="shared" si="953"/>
        <v>0.95</v>
      </c>
      <c r="AH592" s="486">
        <f t="shared" si="954"/>
        <v>0.05</v>
      </c>
      <c r="AI592" s="506">
        <f t="shared" si="955"/>
        <v>17100</v>
      </c>
      <c r="AJ592" s="506">
        <f t="shared" si="938"/>
        <v>0</v>
      </c>
      <c r="AK592" s="487">
        <f t="shared" si="956"/>
        <v>900</v>
      </c>
      <c r="AL592" s="487">
        <f t="shared" si="952"/>
        <v>18000</v>
      </c>
      <c r="AM592" s="316">
        <f t="shared" si="970"/>
        <v>8550</v>
      </c>
      <c r="AN592" s="316">
        <f t="shared" si="971"/>
        <v>0</v>
      </c>
      <c r="AO592" s="316">
        <f t="shared" si="972"/>
        <v>8550</v>
      </c>
      <c r="AP592" s="316">
        <f t="shared" si="973"/>
        <v>0</v>
      </c>
      <c r="AQ592" s="169" t="s">
        <v>898</v>
      </c>
      <c r="AR592" s="169" t="s">
        <v>349</v>
      </c>
      <c r="AS592" s="169" t="s">
        <v>420</v>
      </c>
    </row>
    <row r="593" spans="1:45" s="169" customFormat="1" ht="26" x14ac:dyDescent="0.3">
      <c r="A593" s="582">
        <v>10</v>
      </c>
      <c r="B593" s="583" t="s">
        <v>1696</v>
      </c>
      <c r="C593" s="562" t="s">
        <v>124</v>
      </c>
      <c r="D593" s="536">
        <v>160</v>
      </c>
      <c r="E593" s="411">
        <v>1</v>
      </c>
      <c r="F593" s="512">
        <v>9</v>
      </c>
      <c r="G593" s="503">
        <v>0.95</v>
      </c>
      <c r="H593" s="503">
        <v>0.05</v>
      </c>
      <c r="I593" s="416">
        <f t="shared" si="959"/>
        <v>1368</v>
      </c>
      <c r="J593" s="487">
        <f t="shared" si="960"/>
        <v>72</v>
      </c>
      <c r="K593" s="487">
        <f t="shared" si="961"/>
        <v>497.45454545454544</v>
      </c>
      <c r="L593" s="487">
        <f t="shared" si="962"/>
        <v>497.45454545454544</v>
      </c>
      <c r="M593" s="487">
        <f t="shared" si="963"/>
        <v>373.09090909090907</v>
      </c>
      <c r="N593" s="416">
        <v>0</v>
      </c>
      <c r="O593" s="507" t="s">
        <v>1697</v>
      </c>
      <c r="P593" s="171"/>
      <c r="Q593" s="562" t="s">
        <v>124</v>
      </c>
      <c r="R593" s="516">
        <v>160</v>
      </c>
      <c r="S593" s="411">
        <v>1</v>
      </c>
      <c r="T593" s="514">
        <v>9</v>
      </c>
      <c r="U593" s="503">
        <v>0.95</v>
      </c>
      <c r="V593" s="503">
        <v>0.05</v>
      </c>
      <c r="W593" s="506">
        <f t="shared" si="964"/>
        <v>1368</v>
      </c>
      <c r="X593" s="487">
        <f t="shared" si="965"/>
        <v>72</v>
      </c>
      <c r="Y593" s="513">
        <f t="shared" si="974"/>
        <v>456</v>
      </c>
      <c r="Z593" s="513">
        <f t="shared" si="975"/>
        <v>456</v>
      </c>
      <c r="AA593" s="513">
        <f t="shared" si="976"/>
        <v>456</v>
      </c>
      <c r="AB593" s="416">
        <v>0</v>
      </c>
      <c r="AC593" s="417" t="s">
        <v>1697</v>
      </c>
      <c r="AD593" s="227"/>
      <c r="AE593" s="241">
        <v>10</v>
      </c>
      <c r="AF593" s="204" t="str">
        <f t="shared" si="977"/>
        <v>Fournitures de bureau - Rutshuru</v>
      </c>
      <c r="AG593" s="486">
        <f t="shared" si="953"/>
        <v>0.95</v>
      </c>
      <c r="AH593" s="486">
        <f t="shared" si="954"/>
        <v>0.05</v>
      </c>
      <c r="AI593" s="506">
        <f t="shared" si="955"/>
        <v>2736</v>
      </c>
      <c r="AJ593" s="506">
        <f t="shared" si="938"/>
        <v>0</v>
      </c>
      <c r="AK593" s="487">
        <f t="shared" si="956"/>
        <v>144</v>
      </c>
      <c r="AL593" s="487">
        <f t="shared" si="952"/>
        <v>2880</v>
      </c>
      <c r="AM593" s="316">
        <f t="shared" si="970"/>
        <v>1368</v>
      </c>
      <c r="AN593" s="316">
        <f t="shared" si="971"/>
        <v>0</v>
      </c>
      <c r="AO593" s="316">
        <f t="shared" si="972"/>
        <v>1368</v>
      </c>
      <c r="AP593" s="316">
        <f t="shared" si="973"/>
        <v>0</v>
      </c>
      <c r="AQ593" s="169" t="s">
        <v>898</v>
      </c>
      <c r="AR593" s="169" t="s">
        <v>349</v>
      </c>
      <c r="AS593" s="169" t="s">
        <v>420</v>
      </c>
    </row>
    <row r="594" spans="1:45" s="169" customFormat="1" ht="26" x14ac:dyDescent="0.3">
      <c r="A594" s="582">
        <v>11</v>
      </c>
      <c r="B594" s="583" t="s">
        <v>1698</v>
      </c>
      <c r="C594" s="562" t="s">
        <v>124</v>
      </c>
      <c r="D594" s="536">
        <v>200</v>
      </c>
      <c r="E594" s="411">
        <v>1</v>
      </c>
      <c r="F594" s="512">
        <v>9</v>
      </c>
      <c r="G594" s="503">
        <v>0.95</v>
      </c>
      <c r="H594" s="503">
        <v>0.05</v>
      </c>
      <c r="I594" s="416">
        <f t="shared" si="959"/>
        <v>1710</v>
      </c>
      <c r="J594" s="487">
        <f t="shared" si="960"/>
        <v>90</v>
      </c>
      <c r="K594" s="487">
        <f t="shared" si="961"/>
        <v>621.81818181818187</v>
      </c>
      <c r="L594" s="487">
        <f t="shared" si="962"/>
        <v>621.81818181818187</v>
      </c>
      <c r="M594" s="487">
        <f t="shared" si="963"/>
        <v>466.36363636363637</v>
      </c>
      <c r="N594" s="416">
        <v>0</v>
      </c>
      <c r="O594" s="507" t="s">
        <v>1699</v>
      </c>
      <c r="P594" s="171"/>
      <c r="Q594" s="562" t="s">
        <v>124</v>
      </c>
      <c r="R594" s="516">
        <v>200</v>
      </c>
      <c r="S594" s="411">
        <v>1</v>
      </c>
      <c r="T594" s="514">
        <v>9</v>
      </c>
      <c r="U594" s="503">
        <v>0.95</v>
      </c>
      <c r="V594" s="503">
        <v>0.05</v>
      </c>
      <c r="W594" s="506">
        <f t="shared" si="964"/>
        <v>1710</v>
      </c>
      <c r="X594" s="487">
        <f t="shared" si="965"/>
        <v>90</v>
      </c>
      <c r="Y594" s="513">
        <f t="shared" si="974"/>
        <v>570</v>
      </c>
      <c r="Z594" s="513">
        <f t="shared" si="975"/>
        <v>570</v>
      </c>
      <c r="AA594" s="513">
        <f t="shared" si="976"/>
        <v>570</v>
      </c>
      <c r="AB594" s="416">
        <v>0</v>
      </c>
      <c r="AC594" s="417" t="s">
        <v>1699</v>
      </c>
      <c r="AD594" s="227"/>
      <c r="AE594" s="241">
        <v>11</v>
      </c>
      <c r="AF594" s="204" t="str">
        <f t="shared" si="977"/>
        <v>Fournitures de bureau - Goma</v>
      </c>
      <c r="AG594" s="486">
        <f t="shared" si="953"/>
        <v>0.95</v>
      </c>
      <c r="AH594" s="486">
        <f t="shared" si="954"/>
        <v>0.05</v>
      </c>
      <c r="AI594" s="506">
        <f t="shared" si="955"/>
        <v>3420</v>
      </c>
      <c r="AJ594" s="506">
        <f t="shared" si="938"/>
        <v>0</v>
      </c>
      <c r="AK594" s="487">
        <f t="shared" si="956"/>
        <v>180</v>
      </c>
      <c r="AL594" s="487">
        <f t="shared" si="952"/>
        <v>3600</v>
      </c>
      <c r="AM594" s="316">
        <f t="shared" si="970"/>
        <v>1710</v>
      </c>
      <c r="AN594" s="316">
        <f t="shared" si="971"/>
        <v>0</v>
      </c>
      <c r="AO594" s="316">
        <f t="shared" si="972"/>
        <v>1710</v>
      </c>
      <c r="AP594" s="316">
        <f t="shared" si="973"/>
        <v>0</v>
      </c>
      <c r="AQ594" s="169" t="s">
        <v>898</v>
      </c>
      <c r="AR594" s="169" t="s">
        <v>349</v>
      </c>
      <c r="AS594" s="169" t="s">
        <v>420</v>
      </c>
    </row>
    <row r="595" spans="1:45" s="169" customFormat="1" x14ac:dyDescent="0.3">
      <c r="A595" s="582">
        <v>12</v>
      </c>
      <c r="B595" s="583" t="s">
        <v>1700</v>
      </c>
      <c r="C595" s="562" t="s">
        <v>124</v>
      </c>
      <c r="D595" s="536">
        <v>1200</v>
      </c>
      <c r="E595" s="411">
        <v>1</v>
      </c>
      <c r="F595" s="512">
        <v>9</v>
      </c>
      <c r="G595" s="486">
        <v>9.5000000000000001E-2</v>
      </c>
      <c r="H595" s="486">
        <f t="shared" si="978"/>
        <v>0.90500000000000003</v>
      </c>
      <c r="I595" s="416">
        <f t="shared" si="959"/>
        <v>1026</v>
      </c>
      <c r="J595" s="487">
        <f t="shared" si="960"/>
        <v>9774</v>
      </c>
      <c r="K595" s="487">
        <f t="shared" si="961"/>
        <v>373.09090909090907</v>
      </c>
      <c r="L595" s="487">
        <f t="shared" si="962"/>
        <v>373.09090909090907</v>
      </c>
      <c r="M595" s="487">
        <f t="shared" si="963"/>
        <v>279.81818181818181</v>
      </c>
      <c r="N595" s="416">
        <v>0</v>
      </c>
      <c r="O595" s="507" t="s">
        <v>617</v>
      </c>
      <c r="P595" s="171"/>
      <c r="Q595" s="562" t="s">
        <v>124</v>
      </c>
      <c r="R595" s="516">
        <v>1200</v>
      </c>
      <c r="S595" s="411">
        <v>1</v>
      </c>
      <c r="T595" s="514">
        <v>9</v>
      </c>
      <c r="U595" s="486">
        <v>9.5000000000000001E-2</v>
      </c>
      <c r="V595" s="486">
        <f t="shared" si="979"/>
        <v>0.90500000000000003</v>
      </c>
      <c r="W595" s="506">
        <f t="shared" si="964"/>
        <v>1026</v>
      </c>
      <c r="X595" s="487">
        <f t="shared" si="965"/>
        <v>9774</v>
      </c>
      <c r="Y595" s="513">
        <f t="shared" si="974"/>
        <v>342</v>
      </c>
      <c r="Z595" s="513">
        <f t="shared" si="975"/>
        <v>342</v>
      </c>
      <c r="AA595" s="513">
        <f t="shared" si="976"/>
        <v>342</v>
      </c>
      <c r="AB595" s="416">
        <v>0</v>
      </c>
      <c r="AC595" s="417" t="s">
        <v>617</v>
      </c>
      <c r="AD595" s="227"/>
      <c r="AE595" s="241">
        <v>12</v>
      </c>
      <c r="AF595" s="204" t="str">
        <f t="shared" si="977"/>
        <v>Internet et communication Rutshuru</v>
      </c>
      <c r="AG595" s="486">
        <f t="shared" si="953"/>
        <v>9.5000000000000001E-2</v>
      </c>
      <c r="AH595" s="486">
        <f t="shared" si="954"/>
        <v>0.90500000000000003</v>
      </c>
      <c r="AI595" s="506">
        <f t="shared" si="955"/>
        <v>2052</v>
      </c>
      <c r="AJ595" s="506">
        <f t="shared" si="938"/>
        <v>0</v>
      </c>
      <c r="AK595" s="487">
        <f t="shared" si="956"/>
        <v>19548</v>
      </c>
      <c r="AL595" s="487">
        <f t="shared" si="952"/>
        <v>21600</v>
      </c>
      <c r="AM595" s="316">
        <f t="shared" si="970"/>
        <v>1026</v>
      </c>
      <c r="AN595" s="316">
        <f t="shared" si="971"/>
        <v>0</v>
      </c>
      <c r="AO595" s="316">
        <f t="shared" si="972"/>
        <v>1026</v>
      </c>
      <c r="AP595" s="316">
        <f t="shared" si="973"/>
        <v>0</v>
      </c>
      <c r="AQ595" s="169" t="s">
        <v>898</v>
      </c>
      <c r="AR595" s="169" t="s">
        <v>349</v>
      </c>
      <c r="AS595" s="169" t="s">
        <v>420</v>
      </c>
    </row>
    <row r="596" spans="1:45" s="169" customFormat="1" x14ac:dyDescent="0.3">
      <c r="A596" s="582">
        <v>13</v>
      </c>
      <c r="B596" s="583" t="s">
        <v>1701</v>
      </c>
      <c r="C596" s="562" t="s">
        <v>124</v>
      </c>
      <c r="D596" s="536">
        <v>800</v>
      </c>
      <c r="E596" s="411">
        <v>1</v>
      </c>
      <c r="F596" s="512">
        <v>9</v>
      </c>
      <c r="G596" s="486">
        <v>0.25</v>
      </c>
      <c r="H596" s="486">
        <f t="shared" si="978"/>
        <v>0.75</v>
      </c>
      <c r="I596" s="416">
        <f t="shared" si="959"/>
        <v>1800</v>
      </c>
      <c r="J596" s="487">
        <f t="shared" si="960"/>
        <v>5400</v>
      </c>
      <c r="K596" s="487">
        <f t="shared" si="961"/>
        <v>654.5454545454545</v>
      </c>
      <c r="L596" s="487">
        <f t="shared" si="962"/>
        <v>654.5454545454545</v>
      </c>
      <c r="M596" s="487">
        <f t="shared" si="963"/>
        <v>490.90909090909093</v>
      </c>
      <c r="N596" s="416">
        <v>0</v>
      </c>
      <c r="O596" s="507" t="s">
        <v>617</v>
      </c>
      <c r="P596" s="171"/>
      <c r="Q596" s="562" t="s">
        <v>124</v>
      </c>
      <c r="R596" s="516">
        <v>800</v>
      </c>
      <c r="S596" s="411">
        <v>1</v>
      </c>
      <c r="T596" s="514">
        <v>9</v>
      </c>
      <c r="U596" s="486">
        <v>0.25</v>
      </c>
      <c r="V596" s="486">
        <f t="shared" si="979"/>
        <v>0.75</v>
      </c>
      <c r="W596" s="506">
        <f t="shared" si="964"/>
        <v>1800</v>
      </c>
      <c r="X596" s="487">
        <f t="shared" si="965"/>
        <v>5400</v>
      </c>
      <c r="Y596" s="513">
        <f t="shared" si="974"/>
        <v>600</v>
      </c>
      <c r="Z596" s="513">
        <f t="shared" si="975"/>
        <v>600</v>
      </c>
      <c r="AA596" s="513">
        <f t="shared" si="976"/>
        <v>600</v>
      </c>
      <c r="AB596" s="416">
        <v>0</v>
      </c>
      <c r="AC596" s="417" t="s">
        <v>617</v>
      </c>
      <c r="AD596" s="227"/>
      <c r="AE596" s="241">
        <v>13</v>
      </c>
      <c r="AF596" s="204" t="str">
        <f t="shared" si="977"/>
        <v>Internet et communication Goma</v>
      </c>
      <c r="AG596" s="486">
        <f t="shared" si="953"/>
        <v>0.25</v>
      </c>
      <c r="AH596" s="486">
        <f t="shared" si="954"/>
        <v>0.75</v>
      </c>
      <c r="AI596" s="506">
        <f t="shared" si="955"/>
        <v>3600</v>
      </c>
      <c r="AJ596" s="506">
        <f t="shared" si="938"/>
        <v>0</v>
      </c>
      <c r="AK596" s="487">
        <f t="shared" si="956"/>
        <v>10800</v>
      </c>
      <c r="AL596" s="487">
        <f t="shared" si="952"/>
        <v>14400</v>
      </c>
      <c r="AM596" s="316">
        <f t="shared" si="970"/>
        <v>1800</v>
      </c>
      <c r="AN596" s="316">
        <f t="shared" si="971"/>
        <v>0</v>
      </c>
      <c r="AO596" s="316">
        <f t="shared" si="972"/>
        <v>1800</v>
      </c>
      <c r="AP596" s="316">
        <f t="shared" si="973"/>
        <v>0</v>
      </c>
      <c r="AQ596" s="169" t="s">
        <v>898</v>
      </c>
      <c r="AR596" s="169" t="s">
        <v>349</v>
      </c>
      <c r="AS596" s="169" t="s">
        <v>420</v>
      </c>
    </row>
    <row r="597" spans="1:45" s="169" customFormat="1" ht="26" x14ac:dyDescent="0.3">
      <c r="A597" s="582">
        <v>14</v>
      </c>
      <c r="B597" s="583" t="s">
        <v>1702</v>
      </c>
      <c r="C597" s="562" t="s">
        <v>124</v>
      </c>
      <c r="D597" s="536">
        <v>600</v>
      </c>
      <c r="E597" s="411">
        <v>1</v>
      </c>
      <c r="F597" s="512">
        <v>9</v>
      </c>
      <c r="G597" s="503">
        <v>0.95</v>
      </c>
      <c r="H597" s="503">
        <v>0.05</v>
      </c>
      <c r="I597" s="416">
        <f t="shared" si="959"/>
        <v>5130</v>
      </c>
      <c r="J597" s="487">
        <f t="shared" si="960"/>
        <v>270</v>
      </c>
      <c r="K597" s="487">
        <f t="shared" si="961"/>
        <v>1865.4545454545455</v>
      </c>
      <c r="L597" s="487">
        <f t="shared" si="962"/>
        <v>1865.4545454545455</v>
      </c>
      <c r="M597" s="487">
        <f t="shared" si="963"/>
        <v>1399.090909090909</v>
      </c>
      <c r="N597" s="416">
        <v>0</v>
      </c>
      <c r="O597" s="507" t="s">
        <v>1703</v>
      </c>
      <c r="P597" s="171"/>
      <c r="Q597" s="562" t="s">
        <v>124</v>
      </c>
      <c r="R597" s="516">
        <v>600</v>
      </c>
      <c r="S597" s="411">
        <v>1</v>
      </c>
      <c r="T597" s="514">
        <v>9</v>
      </c>
      <c r="U597" s="503">
        <v>0.95</v>
      </c>
      <c r="V597" s="503">
        <v>0.05</v>
      </c>
      <c r="W597" s="506">
        <f t="shared" si="964"/>
        <v>5130</v>
      </c>
      <c r="X597" s="487">
        <f t="shared" si="965"/>
        <v>270</v>
      </c>
      <c r="Y597" s="513">
        <f t="shared" si="974"/>
        <v>1710</v>
      </c>
      <c r="Z597" s="513">
        <f t="shared" si="975"/>
        <v>1710</v>
      </c>
      <c r="AA597" s="513">
        <f t="shared" si="976"/>
        <v>1710</v>
      </c>
      <c r="AB597" s="416">
        <v>0</v>
      </c>
      <c r="AC597" s="417" t="s">
        <v>1703</v>
      </c>
      <c r="AD597" s="227"/>
      <c r="AE597" s="241">
        <v>14</v>
      </c>
      <c r="AF597" s="204" t="str">
        <f t="shared" si="977"/>
        <v>Securite bureau Rutshuru</v>
      </c>
      <c r="AG597" s="486">
        <f t="shared" si="953"/>
        <v>0.95</v>
      </c>
      <c r="AH597" s="486">
        <f t="shared" si="954"/>
        <v>0.05</v>
      </c>
      <c r="AI597" s="506">
        <f t="shared" si="955"/>
        <v>10260</v>
      </c>
      <c r="AJ597" s="506">
        <f t="shared" si="938"/>
        <v>0</v>
      </c>
      <c r="AK597" s="487">
        <f t="shared" si="956"/>
        <v>540</v>
      </c>
      <c r="AL597" s="487">
        <f t="shared" si="952"/>
        <v>10800</v>
      </c>
      <c r="AM597" s="316">
        <f t="shared" si="970"/>
        <v>5130</v>
      </c>
      <c r="AN597" s="316">
        <f t="shared" si="971"/>
        <v>0</v>
      </c>
      <c r="AO597" s="316">
        <f t="shared" si="972"/>
        <v>5130</v>
      </c>
      <c r="AP597" s="316">
        <f t="shared" si="973"/>
        <v>0</v>
      </c>
      <c r="AQ597" s="169" t="s">
        <v>898</v>
      </c>
      <c r="AR597" s="169" t="s">
        <v>349</v>
      </c>
      <c r="AS597" s="169" t="s">
        <v>420</v>
      </c>
    </row>
    <row r="598" spans="1:45" s="169" customFormat="1" ht="26" x14ac:dyDescent="0.3">
      <c r="A598" s="582">
        <v>15</v>
      </c>
      <c r="B598" s="583" t="s">
        <v>1704</v>
      </c>
      <c r="C598" s="562" t="s">
        <v>124</v>
      </c>
      <c r="D598" s="536">
        <v>200</v>
      </c>
      <c r="E598" s="411">
        <v>1</v>
      </c>
      <c r="F598" s="512">
        <v>9</v>
      </c>
      <c r="G598" s="503">
        <v>0.95</v>
      </c>
      <c r="H598" s="503">
        <v>0.05</v>
      </c>
      <c r="I598" s="416">
        <f t="shared" si="959"/>
        <v>1710</v>
      </c>
      <c r="J598" s="487">
        <f t="shared" si="960"/>
        <v>90</v>
      </c>
      <c r="K598" s="487">
        <f t="shared" si="961"/>
        <v>621.81818181818187</v>
      </c>
      <c r="L598" s="487">
        <f t="shared" si="962"/>
        <v>621.81818181818187</v>
      </c>
      <c r="M598" s="487">
        <f t="shared" si="963"/>
        <v>466.36363636363637</v>
      </c>
      <c r="N598" s="416">
        <v>0</v>
      </c>
      <c r="O598" s="507" t="s">
        <v>1705</v>
      </c>
      <c r="P598" s="171"/>
      <c r="Q598" s="562" t="s">
        <v>124</v>
      </c>
      <c r="R598" s="516">
        <v>200</v>
      </c>
      <c r="S598" s="411">
        <v>1</v>
      </c>
      <c r="T598" s="514">
        <v>9</v>
      </c>
      <c r="U598" s="503">
        <v>0.95</v>
      </c>
      <c r="V598" s="503">
        <v>0.05</v>
      </c>
      <c r="W598" s="506">
        <f t="shared" si="964"/>
        <v>1710</v>
      </c>
      <c r="X598" s="487">
        <f t="shared" si="965"/>
        <v>90</v>
      </c>
      <c r="Y598" s="513">
        <f t="shared" si="974"/>
        <v>570</v>
      </c>
      <c r="Z598" s="513">
        <f t="shared" si="975"/>
        <v>570</v>
      </c>
      <c r="AA598" s="513">
        <f t="shared" si="976"/>
        <v>570</v>
      </c>
      <c r="AB598" s="416">
        <v>0</v>
      </c>
      <c r="AC598" s="417" t="s">
        <v>1705</v>
      </c>
      <c r="AD598" s="227"/>
      <c r="AE598" s="241">
        <v>15</v>
      </c>
      <c r="AF598" s="204" t="str">
        <f t="shared" si="977"/>
        <v>Securite bureau Goma</v>
      </c>
      <c r="AG598" s="486">
        <f t="shared" si="953"/>
        <v>0.95</v>
      </c>
      <c r="AH598" s="486">
        <f t="shared" si="954"/>
        <v>0.05</v>
      </c>
      <c r="AI598" s="506">
        <f t="shared" si="955"/>
        <v>3420</v>
      </c>
      <c r="AJ598" s="506">
        <f t="shared" si="938"/>
        <v>0</v>
      </c>
      <c r="AK598" s="487">
        <f t="shared" si="956"/>
        <v>180</v>
      </c>
      <c r="AL598" s="487">
        <f t="shared" si="952"/>
        <v>3600</v>
      </c>
      <c r="AM598" s="316">
        <f t="shared" si="970"/>
        <v>1710</v>
      </c>
      <c r="AN598" s="316">
        <f t="shared" si="971"/>
        <v>0</v>
      </c>
      <c r="AO598" s="316">
        <f t="shared" si="972"/>
        <v>1710</v>
      </c>
      <c r="AP598" s="316">
        <f t="shared" si="973"/>
        <v>0</v>
      </c>
      <c r="AQ598" s="169" t="s">
        <v>898</v>
      </c>
      <c r="AR598" s="169" t="s">
        <v>349</v>
      </c>
      <c r="AS598" s="169" t="s">
        <v>420</v>
      </c>
    </row>
    <row r="599" spans="1:45" s="169" customFormat="1" x14ac:dyDescent="0.3">
      <c r="A599" s="582">
        <v>16</v>
      </c>
      <c r="B599" s="583" t="s">
        <v>618</v>
      </c>
      <c r="C599" s="562" t="s">
        <v>126</v>
      </c>
      <c r="D599" s="536">
        <v>1.6</v>
      </c>
      <c r="E599" s="411">
        <v>220</v>
      </c>
      <c r="F599" s="512">
        <v>9</v>
      </c>
      <c r="G599" s="503">
        <v>0.95</v>
      </c>
      <c r="H599" s="503">
        <v>0.05</v>
      </c>
      <c r="I599" s="416">
        <f t="shared" si="959"/>
        <v>3009.6</v>
      </c>
      <c r="J599" s="487">
        <f t="shared" si="960"/>
        <v>158.4</v>
      </c>
      <c r="K599" s="487">
        <f t="shared" si="961"/>
        <v>1094.3999999999999</v>
      </c>
      <c r="L599" s="487">
        <f t="shared" si="962"/>
        <v>1094.3999999999999</v>
      </c>
      <c r="M599" s="487">
        <f t="shared" si="963"/>
        <v>820.8</v>
      </c>
      <c r="N599" s="416">
        <v>0</v>
      </c>
      <c r="O599" s="507" t="s">
        <v>619</v>
      </c>
      <c r="P599" s="171"/>
      <c r="Q599" s="562" t="s">
        <v>126</v>
      </c>
      <c r="R599" s="516">
        <v>1.6</v>
      </c>
      <c r="S599" s="411">
        <v>220</v>
      </c>
      <c r="T599" s="514">
        <v>9</v>
      </c>
      <c r="U599" s="503">
        <v>0.95</v>
      </c>
      <c r="V599" s="503">
        <v>0.05</v>
      </c>
      <c r="W599" s="506">
        <f t="shared" si="964"/>
        <v>3009.6</v>
      </c>
      <c r="X599" s="487">
        <f t="shared" si="965"/>
        <v>158.4</v>
      </c>
      <c r="Y599" s="513">
        <f t="shared" si="974"/>
        <v>1003.1999999999999</v>
      </c>
      <c r="Z599" s="513">
        <f t="shared" si="975"/>
        <v>1003.1999999999999</v>
      </c>
      <c r="AA599" s="513">
        <f t="shared" si="976"/>
        <v>1003.1999999999999</v>
      </c>
      <c r="AB599" s="416">
        <v>0</v>
      </c>
      <c r="AC599" s="417" t="s">
        <v>619</v>
      </c>
      <c r="AD599" s="227"/>
      <c r="AE599" s="241">
        <v>16</v>
      </c>
      <c r="AF599" s="204" t="str">
        <f t="shared" si="977"/>
        <v>Carburant Generateur</v>
      </c>
      <c r="AG599" s="486">
        <f t="shared" si="953"/>
        <v>0.95</v>
      </c>
      <c r="AH599" s="486">
        <f t="shared" si="954"/>
        <v>0.05</v>
      </c>
      <c r="AI599" s="506">
        <f t="shared" si="955"/>
        <v>6019.2</v>
      </c>
      <c r="AJ599" s="506">
        <f t="shared" ref="AJ599:AJ630" si="980">N599+AB599</f>
        <v>0</v>
      </c>
      <c r="AK599" s="487">
        <f t="shared" si="956"/>
        <v>316.8</v>
      </c>
      <c r="AL599" s="487">
        <f t="shared" si="952"/>
        <v>6336</v>
      </c>
      <c r="AM599" s="316">
        <f t="shared" si="970"/>
        <v>3009.6</v>
      </c>
      <c r="AN599" s="316">
        <f t="shared" si="971"/>
        <v>0</v>
      </c>
      <c r="AO599" s="316">
        <f t="shared" si="972"/>
        <v>3009.6</v>
      </c>
      <c r="AP599" s="316">
        <f t="shared" si="973"/>
        <v>0</v>
      </c>
      <c r="AQ599" s="169" t="s">
        <v>898</v>
      </c>
      <c r="AR599" s="169" t="s">
        <v>349</v>
      </c>
      <c r="AS599" s="169" t="s">
        <v>420</v>
      </c>
    </row>
    <row r="600" spans="1:45" s="169" customFormat="1" x14ac:dyDescent="0.3">
      <c r="A600" s="582">
        <v>17</v>
      </c>
      <c r="B600" s="583" t="s">
        <v>1706</v>
      </c>
      <c r="C600" s="562" t="s">
        <v>124</v>
      </c>
      <c r="D600" s="536">
        <v>200</v>
      </c>
      <c r="E600" s="411">
        <v>1</v>
      </c>
      <c r="F600" s="512">
        <v>9</v>
      </c>
      <c r="G600" s="503">
        <v>0.95</v>
      </c>
      <c r="H600" s="503">
        <v>0.05</v>
      </c>
      <c r="I600" s="416">
        <f t="shared" si="959"/>
        <v>1710</v>
      </c>
      <c r="J600" s="487">
        <f t="shared" si="960"/>
        <v>90</v>
      </c>
      <c r="K600" s="487">
        <f t="shared" si="961"/>
        <v>621.81818181818187</v>
      </c>
      <c r="L600" s="487">
        <f t="shared" si="962"/>
        <v>621.81818181818187</v>
      </c>
      <c r="M600" s="487">
        <f t="shared" si="963"/>
        <v>466.36363636363637</v>
      </c>
      <c r="N600" s="416">
        <v>0</v>
      </c>
      <c r="O600" s="507" t="s">
        <v>620</v>
      </c>
      <c r="P600" s="171"/>
      <c r="Q600" s="562" t="s">
        <v>124</v>
      </c>
      <c r="R600" s="516">
        <v>200</v>
      </c>
      <c r="S600" s="411">
        <v>1</v>
      </c>
      <c r="T600" s="514">
        <v>9</v>
      </c>
      <c r="U600" s="503">
        <v>0.95</v>
      </c>
      <c r="V600" s="503">
        <v>0.05</v>
      </c>
      <c r="W600" s="506">
        <f t="shared" si="964"/>
        <v>1710</v>
      </c>
      <c r="X600" s="487">
        <f t="shared" si="965"/>
        <v>90</v>
      </c>
      <c r="Y600" s="513">
        <f t="shared" si="974"/>
        <v>570</v>
      </c>
      <c r="Z600" s="513">
        <f t="shared" si="975"/>
        <v>570</v>
      </c>
      <c r="AA600" s="513">
        <f t="shared" si="976"/>
        <v>570</v>
      </c>
      <c r="AB600" s="416">
        <v>0</v>
      </c>
      <c r="AC600" s="417" t="s">
        <v>620</v>
      </c>
      <c r="AD600" s="227"/>
      <c r="AE600" s="241">
        <v>17</v>
      </c>
      <c r="AF600" s="204" t="str">
        <f t="shared" si="977"/>
        <v>Eau et Electricite Bureau Rutshuru</v>
      </c>
      <c r="AG600" s="486">
        <f t="shared" si="953"/>
        <v>0.95</v>
      </c>
      <c r="AH600" s="486">
        <f t="shared" si="954"/>
        <v>0.05</v>
      </c>
      <c r="AI600" s="506">
        <f t="shared" si="955"/>
        <v>3420</v>
      </c>
      <c r="AJ600" s="506">
        <f t="shared" si="980"/>
        <v>0</v>
      </c>
      <c r="AK600" s="487">
        <f t="shared" si="956"/>
        <v>180</v>
      </c>
      <c r="AL600" s="487">
        <f t="shared" si="952"/>
        <v>3600</v>
      </c>
      <c r="AM600" s="316">
        <f t="shared" si="970"/>
        <v>1710</v>
      </c>
      <c r="AN600" s="316">
        <f t="shared" si="971"/>
        <v>0</v>
      </c>
      <c r="AO600" s="316">
        <f t="shared" si="972"/>
        <v>1710</v>
      </c>
      <c r="AP600" s="316">
        <f t="shared" si="973"/>
        <v>0</v>
      </c>
      <c r="AQ600" s="169" t="s">
        <v>898</v>
      </c>
      <c r="AR600" s="169" t="s">
        <v>349</v>
      </c>
      <c r="AS600" s="169" t="s">
        <v>420</v>
      </c>
    </row>
    <row r="601" spans="1:45" s="169" customFormat="1" x14ac:dyDescent="0.3">
      <c r="A601" s="582">
        <v>18</v>
      </c>
      <c r="B601" s="583" t="s">
        <v>1707</v>
      </c>
      <c r="C601" s="562" t="s">
        <v>1708</v>
      </c>
      <c r="D601" s="536">
        <v>100</v>
      </c>
      <c r="E601" s="411">
        <v>1</v>
      </c>
      <c r="F601" s="512">
        <v>9</v>
      </c>
      <c r="G601" s="503">
        <v>0.95</v>
      </c>
      <c r="H601" s="503">
        <v>0.05</v>
      </c>
      <c r="I601" s="416">
        <f t="shared" si="959"/>
        <v>855</v>
      </c>
      <c r="J601" s="487">
        <f t="shared" si="960"/>
        <v>45</v>
      </c>
      <c r="K601" s="487">
        <f t="shared" si="961"/>
        <v>310.90909090909093</v>
      </c>
      <c r="L601" s="487">
        <f t="shared" si="962"/>
        <v>310.90909090909093</v>
      </c>
      <c r="M601" s="487">
        <f t="shared" si="963"/>
        <v>233.18181818181819</v>
      </c>
      <c r="N601" s="416">
        <v>0</v>
      </c>
      <c r="O601" s="507" t="s">
        <v>1709</v>
      </c>
      <c r="P601" s="171"/>
      <c r="Q601" s="562" t="s">
        <v>1708</v>
      </c>
      <c r="R601" s="516">
        <v>100</v>
      </c>
      <c r="S601" s="411">
        <v>1</v>
      </c>
      <c r="T601" s="514">
        <v>9</v>
      </c>
      <c r="U601" s="503">
        <v>0.95</v>
      </c>
      <c r="V601" s="503">
        <v>0.05</v>
      </c>
      <c r="W601" s="506">
        <f t="shared" si="964"/>
        <v>855</v>
      </c>
      <c r="X601" s="487">
        <f t="shared" si="965"/>
        <v>45</v>
      </c>
      <c r="Y601" s="513">
        <f t="shared" si="974"/>
        <v>285</v>
      </c>
      <c r="Z601" s="513">
        <f t="shared" si="975"/>
        <v>285</v>
      </c>
      <c r="AA601" s="513">
        <f t="shared" si="976"/>
        <v>285</v>
      </c>
      <c r="AB601" s="416">
        <v>0</v>
      </c>
      <c r="AC601" s="417" t="s">
        <v>1709</v>
      </c>
      <c r="AD601" s="227"/>
      <c r="AE601" s="241">
        <v>18</v>
      </c>
      <c r="AF601" s="204" t="str">
        <f t="shared" si="977"/>
        <v>Eau et Electricite Bureau Goma</v>
      </c>
      <c r="AG601" s="486">
        <f t="shared" si="953"/>
        <v>0.95</v>
      </c>
      <c r="AH601" s="486">
        <f t="shared" si="954"/>
        <v>0.05</v>
      </c>
      <c r="AI601" s="506">
        <f t="shared" si="955"/>
        <v>1710</v>
      </c>
      <c r="AJ601" s="506">
        <f t="shared" si="980"/>
        <v>0</v>
      </c>
      <c r="AK601" s="487">
        <f t="shared" si="956"/>
        <v>90</v>
      </c>
      <c r="AL601" s="487">
        <f t="shared" si="952"/>
        <v>1800</v>
      </c>
      <c r="AM601" s="316">
        <f t="shared" si="970"/>
        <v>855</v>
      </c>
      <c r="AN601" s="316">
        <f t="shared" si="971"/>
        <v>0</v>
      </c>
      <c r="AO601" s="316">
        <f t="shared" si="972"/>
        <v>855</v>
      </c>
      <c r="AP601" s="316">
        <f t="shared" si="973"/>
        <v>0</v>
      </c>
      <c r="AQ601" s="169" t="s">
        <v>898</v>
      </c>
      <c r="AR601" s="169" t="s">
        <v>349</v>
      </c>
      <c r="AS601" s="169" t="s">
        <v>420</v>
      </c>
    </row>
    <row r="602" spans="1:45" s="169" customFormat="1" x14ac:dyDescent="0.3">
      <c r="A602" s="582">
        <v>19</v>
      </c>
      <c r="B602" s="583" t="s">
        <v>621</v>
      </c>
      <c r="C602" s="562" t="s">
        <v>124</v>
      </c>
      <c r="D602" s="536">
        <v>200</v>
      </c>
      <c r="E602" s="411">
        <v>1</v>
      </c>
      <c r="F602" s="512">
        <v>9</v>
      </c>
      <c r="G602" s="503">
        <v>0.95</v>
      </c>
      <c r="H602" s="503">
        <v>0.05</v>
      </c>
      <c r="I602" s="416">
        <f t="shared" si="959"/>
        <v>1710</v>
      </c>
      <c r="J602" s="487">
        <f t="shared" si="960"/>
        <v>90</v>
      </c>
      <c r="K602" s="487">
        <f t="shared" si="961"/>
        <v>621.81818181818187</v>
      </c>
      <c r="L602" s="487">
        <f t="shared" si="962"/>
        <v>621.81818181818187</v>
      </c>
      <c r="M602" s="487">
        <f t="shared" si="963"/>
        <v>466.36363636363637</v>
      </c>
      <c r="N602" s="416">
        <v>0</v>
      </c>
      <c r="O602" s="507" t="s">
        <v>622</v>
      </c>
      <c r="P602" s="171"/>
      <c r="Q602" s="562" t="s">
        <v>124</v>
      </c>
      <c r="R602" s="516">
        <v>200</v>
      </c>
      <c r="S602" s="411">
        <v>1</v>
      </c>
      <c r="T602" s="514">
        <v>9</v>
      </c>
      <c r="U602" s="503">
        <v>0.95</v>
      </c>
      <c r="V602" s="503">
        <v>0.05</v>
      </c>
      <c r="W602" s="506">
        <f t="shared" si="964"/>
        <v>1710</v>
      </c>
      <c r="X602" s="487">
        <f t="shared" si="965"/>
        <v>90</v>
      </c>
      <c r="Y602" s="513">
        <f t="shared" si="974"/>
        <v>570</v>
      </c>
      <c r="Z602" s="513">
        <f t="shared" si="975"/>
        <v>570</v>
      </c>
      <c r="AA602" s="513">
        <f t="shared" si="976"/>
        <v>570</v>
      </c>
      <c r="AB602" s="416">
        <v>0</v>
      </c>
      <c r="AC602" s="417" t="s">
        <v>622</v>
      </c>
      <c r="AD602" s="227"/>
      <c r="AE602" s="241">
        <v>19</v>
      </c>
      <c r="AF602" s="204" t="str">
        <f t="shared" si="977"/>
        <v xml:space="preserve">Hospitality( café-the-sucre-lait) </v>
      </c>
      <c r="AG602" s="486">
        <f t="shared" si="953"/>
        <v>0.95</v>
      </c>
      <c r="AH602" s="486">
        <f t="shared" si="954"/>
        <v>0.05</v>
      </c>
      <c r="AI602" s="506">
        <f t="shared" si="955"/>
        <v>3420</v>
      </c>
      <c r="AJ602" s="506">
        <f t="shared" si="980"/>
        <v>0</v>
      </c>
      <c r="AK602" s="487">
        <f t="shared" si="956"/>
        <v>180</v>
      </c>
      <c r="AL602" s="487">
        <f t="shared" si="952"/>
        <v>3600</v>
      </c>
      <c r="AM602" s="316">
        <f t="shared" si="970"/>
        <v>1710</v>
      </c>
      <c r="AN602" s="316">
        <f t="shared" si="971"/>
        <v>0</v>
      </c>
      <c r="AO602" s="316">
        <f t="shared" si="972"/>
        <v>1710</v>
      </c>
      <c r="AP602" s="316">
        <f t="shared" si="973"/>
        <v>0</v>
      </c>
      <c r="AQ602" s="169" t="s">
        <v>898</v>
      </c>
      <c r="AR602" s="169" t="s">
        <v>349</v>
      </c>
      <c r="AS602" s="169" t="s">
        <v>420</v>
      </c>
    </row>
    <row r="603" spans="1:45" s="169" customFormat="1" ht="26" x14ac:dyDescent="0.3">
      <c r="A603" s="582">
        <v>20</v>
      </c>
      <c r="B603" s="583" t="s">
        <v>623</v>
      </c>
      <c r="C603" s="562" t="s">
        <v>375</v>
      </c>
      <c r="D603" s="536">
        <v>50</v>
      </c>
      <c r="E603" s="411">
        <v>2</v>
      </c>
      <c r="F603" s="512">
        <v>9</v>
      </c>
      <c r="G603" s="503">
        <v>0.95</v>
      </c>
      <c r="H603" s="503">
        <v>0.05</v>
      </c>
      <c r="I603" s="416">
        <f t="shared" si="959"/>
        <v>855</v>
      </c>
      <c r="J603" s="487">
        <f t="shared" si="960"/>
        <v>45</v>
      </c>
      <c r="K603" s="487">
        <f t="shared" si="961"/>
        <v>310.90909090909093</v>
      </c>
      <c r="L603" s="487">
        <f t="shared" si="962"/>
        <v>310.90909090909093</v>
      </c>
      <c r="M603" s="487">
        <f t="shared" si="963"/>
        <v>233.18181818181819</v>
      </c>
      <c r="N603" s="416">
        <v>0</v>
      </c>
      <c r="O603" s="507" t="s">
        <v>624</v>
      </c>
      <c r="P603" s="171"/>
      <c r="Q603" s="562" t="s">
        <v>375</v>
      </c>
      <c r="R603" s="516">
        <v>50</v>
      </c>
      <c r="S603" s="411">
        <v>2</v>
      </c>
      <c r="T603" s="514">
        <v>9</v>
      </c>
      <c r="U603" s="503">
        <v>0.95</v>
      </c>
      <c r="V603" s="503">
        <v>0.05</v>
      </c>
      <c r="W603" s="506">
        <f t="shared" si="964"/>
        <v>855</v>
      </c>
      <c r="X603" s="487">
        <f t="shared" si="965"/>
        <v>45</v>
      </c>
      <c r="Y603" s="513">
        <f t="shared" si="974"/>
        <v>285</v>
      </c>
      <c r="Z603" s="513">
        <f t="shared" si="975"/>
        <v>285</v>
      </c>
      <c r="AA603" s="513">
        <f t="shared" si="976"/>
        <v>285</v>
      </c>
      <c r="AB603" s="416">
        <v>0</v>
      </c>
      <c r="AC603" s="417" t="s">
        <v>624</v>
      </c>
      <c r="AD603" s="227"/>
      <c r="AE603" s="241">
        <v>20</v>
      </c>
      <c r="AF603" s="204" t="str">
        <f t="shared" si="977"/>
        <v xml:space="preserve">COVID-19 kits </v>
      </c>
      <c r="AG603" s="486">
        <f t="shared" si="953"/>
        <v>0.95</v>
      </c>
      <c r="AH603" s="486">
        <f t="shared" si="954"/>
        <v>0.05</v>
      </c>
      <c r="AI603" s="506">
        <f t="shared" si="955"/>
        <v>1710</v>
      </c>
      <c r="AJ603" s="506">
        <f t="shared" si="980"/>
        <v>0</v>
      </c>
      <c r="AK603" s="487">
        <f t="shared" si="956"/>
        <v>90</v>
      </c>
      <c r="AL603" s="487">
        <f t="shared" si="952"/>
        <v>1800</v>
      </c>
      <c r="AM603" s="316">
        <f t="shared" si="970"/>
        <v>855</v>
      </c>
      <c r="AN603" s="316">
        <f t="shared" si="971"/>
        <v>0</v>
      </c>
      <c r="AO603" s="316">
        <f t="shared" si="972"/>
        <v>855</v>
      </c>
      <c r="AP603" s="316">
        <f t="shared" si="973"/>
        <v>0</v>
      </c>
      <c r="AQ603" s="169" t="s">
        <v>898</v>
      </c>
      <c r="AR603" s="169" t="s">
        <v>349</v>
      </c>
      <c r="AS603" s="169" t="s">
        <v>420</v>
      </c>
    </row>
    <row r="604" spans="1:45" ht="12.75" customHeight="1" x14ac:dyDescent="0.3">
      <c r="A604" s="480" t="s">
        <v>1710</v>
      </c>
      <c r="B604" s="861" t="s">
        <v>629</v>
      </c>
      <c r="C604" s="862"/>
      <c r="D604" s="862"/>
      <c r="E604" s="862"/>
      <c r="F604" s="862"/>
      <c r="G604" s="862"/>
      <c r="H604" s="863"/>
      <c r="I604" s="481">
        <f>SUM(I605:I610)</f>
        <v>67860</v>
      </c>
      <c r="J604" s="482">
        <f t="shared" ref="J604:N604" si="981">SUM(J605:J610)</f>
        <v>240.00000000000003</v>
      </c>
      <c r="K604" s="482">
        <f t="shared" si="981"/>
        <v>40941.818181818184</v>
      </c>
      <c r="L604" s="482">
        <f t="shared" si="981"/>
        <v>15381.818181818184</v>
      </c>
      <c r="M604" s="482">
        <f t="shared" si="981"/>
        <v>11536.363636363636</v>
      </c>
      <c r="N604" s="481">
        <f t="shared" si="981"/>
        <v>0</v>
      </c>
      <c r="O604" s="508"/>
      <c r="Q604" s="538"/>
      <c r="R604" s="539"/>
      <c r="S604" s="538"/>
      <c r="T604" s="539"/>
      <c r="U604" s="539"/>
      <c r="V604" s="484"/>
      <c r="W604" s="482">
        <f>SUM(W605:W610)</f>
        <v>87860</v>
      </c>
      <c r="X604" s="482">
        <f t="shared" ref="X604" si="982">SUM(X605:X610)</f>
        <v>240.00000000000003</v>
      </c>
      <c r="Y604" s="482">
        <f>SUM(Y605:Y610)</f>
        <v>59660</v>
      </c>
      <c r="Z604" s="482">
        <f t="shared" ref="Z604:AB604" si="983">SUM(Z605:Z610)</f>
        <v>14100</v>
      </c>
      <c r="AA604" s="482">
        <f t="shared" si="983"/>
        <v>14100</v>
      </c>
      <c r="AB604" s="481">
        <f t="shared" si="983"/>
        <v>0</v>
      </c>
      <c r="AC604" s="508"/>
      <c r="AD604" s="234"/>
      <c r="AE604" s="247" t="s">
        <v>1710</v>
      </c>
      <c r="AF604" s="204" t="str">
        <f t="shared" si="977"/>
        <v>Planning, monitoring, evaluation and communication costs, pro-rated to their contribution to the programme (venue, travels, etc.)</v>
      </c>
      <c r="AG604" s="485">
        <f t="shared" si="953"/>
        <v>0.99692701664532646</v>
      </c>
      <c r="AH604" s="485">
        <f t="shared" si="954"/>
        <v>3.0729833546734959E-3</v>
      </c>
      <c r="AI604" s="482">
        <f>SUM(AI605:AI610)</f>
        <v>155720</v>
      </c>
      <c r="AJ604" s="482">
        <f t="shared" si="980"/>
        <v>0</v>
      </c>
      <c r="AK604" s="482">
        <f>SUM(AK605:AK610)</f>
        <v>480.00000000000006</v>
      </c>
      <c r="AL604" s="482">
        <f t="shared" si="952"/>
        <v>156200</v>
      </c>
      <c r="AM604" s="314">
        <f t="shared" si="970"/>
        <v>67860</v>
      </c>
      <c r="AN604" s="314">
        <f t="shared" si="971"/>
        <v>0</v>
      </c>
      <c r="AO604" s="314">
        <f t="shared" si="972"/>
        <v>87860</v>
      </c>
      <c r="AP604" s="314">
        <f t="shared" si="973"/>
        <v>0</v>
      </c>
    </row>
    <row r="605" spans="1:45" s="186" customFormat="1" ht="52" x14ac:dyDescent="0.35">
      <c r="A605" s="561">
        <v>1</v>
      </c>
      <c r="B605" s="562" t="s">
        <v>630</v>
      </c>
      <c r="C605" s="562" t="s">
        <v>631</v>
      </c>
      <c r="D605" s="410">
        <v>10000</v>
      </c>
      <c r="E605" s="411">
        <v>1</v>
      </c>
      <c r="F605" s="412">
        <v>2</v>
      </c>
      <c r="G605" s="486">
        <v>1</v>
      </c>
      <c r="H605" s="486">
        <f t="shared" ref="H605:H610" si="984">100%-G605</f>
        <v>0</v>
      </c>
      <c r="I605" s="416">
        <f t="shared" si="959"/>
        <v>20000</v>
      </c>
      <c r="J605" s="487">
        <f t="shared" ref="J605:J610" si="985">D605*E605*F605*H605</f>
        <v>0</v>
      </c>
      <c r="K605" s="487">
        <f>I605</f>
        <v>20000</v>
      </c>
      <c r="L605" s="487"/>
      <c r="M605" s="487"/>
      <c r="N605" s="416">
        <v>0</v>
      </c>
      <c r="O605" s="417" t="s">
        <v>1711</v>
      </c>
      <c r="Q605" s="562" t="s">
        <v>631</v>
      </c>
      <c r="R605" s="418">
        <v>20000</v>
      </c>
      <c r="S605" s="411">
        <v>1</v>
      </c>
      <c r="T605" s="411">
        <v>2</v>
      </c>
      <c r="U605" s="486">
        <v>1</v>
      </c>
      <c r="V605" s="486">
        <f t="shared" ref="V605:V610" si="986">100%-U605</f>
        <v>0</v>
      </c>
      <c r="W605" s="506">
        <f t="shared" si="964"/>
        <v>40000</v>
      </c>
      <c r="X605" s="487">
        <f t="shared" si="965"/>
        <v>0</v>
      </c>
      <c r="Y605" s="487">
        <f t="shared" si="966"/>
        <v>40000</v>
      </c>
      <c r="Z605" s="487"/>
      <c r="AA605" s="487"/>
      <c r="AB605" s="416">
        <v>0</v>
      </c>
      <c r="AC605" s="417" t="s">
        <v>1711</v>
      </c>
      <c r="AD605" s="227"/>
      <c r="AE605" s="241">
        <v>1</v>
      </c>
      <c r="AF605" s="204" t="str">
        <f t="shared" si="977"/>
        <v xml:space="preserve"> Annual surveys (including CAP and SMART)</v>
      </c>
      <c r="AG605" s="486">
        <f t="shared" si="953"/>
        <v>1</v>
      </c>
      <c r="AH605" s="486">
        <f t="shared" si="954"/>
        <v>0</v>
      </c>
      <c r="AI605" s="506">
        <f t="shared" ref="AI605:AI636" si="987">I605+W605</f>
        <v>60000</v>
      </c>
      <c r="AJ605" s="506">
        <f t="shared" si="980"/>
        <v>0</v>
      </c>
      <c r="AK605" s="487">
        <f t="shared" ref="AK605:AK636" si="988">J605+X605</f>
        <v>0</v>
      </c>
      <c r="AL605" s="487">
        <f t="shared" si="952"/>
        <v>60000</v>
      </c>
      <c r="AM605" s="316">
        <f t="shared" si="970"/>
        <v>20000</v>
      </c>
      <c r="AN605" s="316">
        <f t="shared" si="971"/>
        <v>0</v>
      </c>
      <c r="AO605" s="316">
        <f t="shared" si="972"/>
        <v>40000</v>
      </c>
      <c r="AP605" s="316">
        <f t="shared" si="973"/>
        <v>0</v>
      </c>
      <c r="AQ605" s="186" t="s">
        <v>898</v>
      </c>
      <c r="AR605" s="186" t="s">
        <v>349</v>
      </c>
      <c r="AS605" s="186" t="s">
        <v>420</v>
      </c>
    </row>
    <row r="606" spans="1:45" s="169" customFormat="1" x14ac:dyDescent="0.3">
      <c r="A606" s="582">
        <v>2</v>
      </c>
      <c r="B606" s="583" t="s">
        <v>632</v>
      </c>
      <c r="C606" s="562" t="s">
        <v>633</v>
      </c>
      <c r="D606" s="536">
        <v>100</v>
      </c>
      <c r="E606" s="411">
        <v>18</v>
      </c>
      <c r="F606" s="512">
        <v>9</v>
      </c>
      <c r="G606" s="486">
        <v>1</v>
      </c>
      <c r="H606" s="486">
        <f t="shared" si="984"/>
        <v>0</v>
      </c>
      <c r="I606" s="416">
        <f t="shared" si="959"/>
        <v>16200</v>
      </c>
      <c r="J606" s="487">
        <f t="shared" si="985"/>
        <v>0</v>
      </c>
      <c r="K606" s="487">
        <f>I606*4/11</f>
        <v>5890.909090909091</v>
      </c>
      <c r="L606" s="487">
        <f>I606*4/11</f>
        <v>5890.909090909091</v>
      </c>
      <c r="M606" s="487">
        <f>I606*3/11</f>
        <v>4418.181818181818</v>
      </c>
      <c r="N606" s="416">
        <v>0</v>
      </c>
      <c r="O606" s="507" t="s">
        <v>634</v>
      </c>
      <c r="Q606" s="562" t="s">
        <v>633</v>
      </c>
      <c r="R606" s="516">
        <v>100</v>
      </c>
      <c r="S606" s="411">
        <v>18</v>
      </c>
      <c r="T606" s="514">
        <v>9</v>
      </c>
      <c r="U606" s="486">
        <v>1</v>
      </c>
      <c r="V606" s="486">
        <f t="shared" si="986"/>
        <v>0</v>
      </c>
      <c r="W606" s="506">
        <f t="shared" si="964"/>
        <v>16200</v>
      </c>
      <c r="X606" s="487">
        <f t="shared" si="965"/>
        <v>0</v>
      </c>
      <c r="Y606" s="513">
        <f t="shared" ref="Y606:Y608" si="989">W606*3/9</f>
        <v>5400</v>
      </c>
      <c r="Z606" s="513">
        <f t="shared" ref="Z606:Z608" si="990">W606*3/9</f>
        <v>5400</v>
      </c>
      <c r="AA606" s="513">
        <f t="shared" ref="AA606:AA608" si="991">W606*3/9</f>
        <v>5400</v>
      </c>
      <c r="AB606" s="416">
        <v>0</v>
      </c>
      <c r="AC606" s="417" t="s">
        <v>634</v>
      </c>
      <c r="AD606" s="227"/>
      <c r="AE606" s="241">
        <v>2</v>
      </c>
      <c r="AF606" s="204" t="str">
        <f t="shared" si="977"/>
        <v xml:space="preserve">Communication (Unités et Internet) - </v>
      </c>
      <c r="AG606" s="486">
        <f t="shared" si="953"/>
        <v>1</v>
      </c>
      <c r="AH606" s="486">
        <f t="shared" si="954"/>
        <v>0</v>
      </c>
      <c r="AI606" s="506">
        <f t="shared" si="987"/>
        <v>32400</v>
      </c>
      <c r="AJ606" s="506">
        <f t="shared" si="980"/>
        <v>0</v>
      </c>
      <c r="AK606" s="487">
        <f t="shared" si="988"/>
        <v>0</v>
      </c>
      <c r="AL606" s="487">
        <f t="shared" si="952"/>
        <v>32400</v>
      </c>
      <c r="AM606" s="316">
        <f t="shared" si="970"/>
        <v>16200</v>
      </c>
      <c r="AN606" s="316">
        <f t="shared" si="971"/>
        <v>0</v>
      </c>
      <c r="AO606" s="316">
        <f t="shared" si="972"/>
        <v>16200</v>
      </c>
      <c r="AP606" s="316">
        <f t="shared" si="973"/>
        <v>0</v>
      </c>
      <c r="AQ606" s="169" t="s">
        <v>898</v>
      </c>
      <c r="AR606" s="169" t="s">
        <v>349</v>
      </c>
      <c r="AS606" s="169" t="s">
        <v>420</v>
      </c>
    </row>
    <row r="607" spans="1:45" s="169" customFormat="1" x14ac:dyDescent="0.3">
      <c r="A607" s="582">
        <v>3</v>
      </c>
      <c r="B607" s="583" t="s">
        <v>635</v>
      </c>
      <c r="C607" s="562" t="s">
        <v>636</v>
      </c>
      <c r="D607" s="536">
        <v>100</v>
      </c>
      <c r="E607" s="411">
        <v>11</v>
      </c>
      <c r="F607" s="512">
        <v>9</v>
      </c>
      <c r="G607" s="486">
        <v>1</v>
      </c>
      <c r="H607" s="486">
        <f t="shared" si="984"/>
        <v>0</v>
      </c>
      <c r="I607" s="416">
        <f t="shared" si="959"/>
        <v>9900</v>
      </c>
      <c r="J607" s="487">
        <f t="shared" si="985"/>
        <v>0</v>
      </c>
      <c r="K607" s="487">
        <f>I607*4/11</f>
        <v>3600</v>
      </c>
      <c r="L607" s="487">
        <f>I607*4/11</f>
        <v>3600</v>
      </c>
      <c r="M607" s="487">
        <f>I607*3/11</f>
        <v>2700</v>
      </c>
      <c r="N607" s="416">
        <v>0</v>
      </c>
      <c r="O607" s="507"/>
      <c r="Q607" s="562" t="s">
        <v>636</v>
      </c>
      <c r="R607" s="516">
        <v>100</v>
      </c>
      <c r="S607" s="411">
        <v>11</v>
      </c>
      <c r="T607" s="514">
        <v>9</v>
      </c>
      <c r="U607" s="486">
        <v>1</v>
      </c>
      <c r="V607" s="486">
        <f t="shared" si="986"/>
        <v>0</v>
      </c>
      <c r="W607" s="506">
        <f t="shared" si="964"/>
        <v>9900</v>
      </c>
      <c r="X607" s="487">
        <f t="shared" si="965"/>
        <v>0</v>
      </c>
      <c r="Y607" s="513">
        <f t="shared" si="989"/>
        <v>3300</v>
      </c>
      <c r="Z607" s="513">
        <f t="shared" si="990"/>
        <v>3300</v>
      </c>
      <c r="AA607" s="513">
        <f t="shared" si="991"/>
        <v>3300</v>
      </c>
      <c r="AB607" s="416">
        <v>0</v>
      </c>
      <c r="AC607" s="417"/>
      <c r="AD607" s="227"/>
      <c r="AE607" s="241">
        <v>3</v>
      </c>
      <c r="AF607" s="204" t="str">
        <f t="shared" si="977"/>
        <v xml:space="preserve">Perdiem staff d'appui </v>
      </c>
      <c r="AG607" s="486">
        <f t="shared" si="953"/>
        <v>1</v>
      </c>
      <c r="AH607" s="486">
        <f t="shared" si="954"/>
        <v>0</v>
      </c>
      <c r="AI607" s="506">
        <f t="shared" si="987"/>
        <v>19800</v>
      </c>
      <c r="AJ607" s="506">
        <f t="shared" si="980"/>
        <v>0</v>
      </c>
      <c r="AK607" s="487">
        <f t="shared" si="988"/>
        <v>0</v>
      </c>
      <c r="AL607" s="487">
        <f t="shared" si="952"/>
        <v>19800</v>
      </c>
      <c r="AM607" s="316">
        <f t="shared" si="970"/>
        <v>9900</v>
      </c>
      <c r="AN607" s="316">
        <f t="shared" si="971"/>
        <v>0</v>
      </c>
      <c r="AO607" s="316">
        <f t="shared" si="972"/>
        <v>9900</v>
      </c>
      <c r="AP607" s="316">
        <f t="shared" si="973"/>
        <v>0</v>
      </c>
      <c r="AQ607" s="169" t="s">
        <v>898</v>
      </c>
      <c r="AR607" s="169" t="s">
        <v>349</v>
      </c>
      <c r="AS607" s="169" t="s">
        <v>420</v>
      </c>
    </row>
    <row r="608" spans="1:45" s="169" customFormat="1" x14ac:dyDescent="0.3">
      <c r="A608" s="582">
        <v>4</v>
      </c>
      <c r="B608" s="583" t="s">
        <v>637</v>
      </c>
      <c r="C608" s="562" t="s">
        <v>636</v>
      </c>
      <c r="D608" s="536">
        <v>100</v>
      </c>
      <c r="E608" s="411">
        <v>18</v>
      </c>
      <c r="F608" s="512">
        <v>9</v>
      </c>
      <c r="G608" s="486">
        <v>1</v>
      </c>
      <c r="H608" s="486">
        <f t="shared" si="984"/>
        <v>0</v>
      </c>
      <c r="I608" s="416">
        <f t="shared" si="959"/>
        <v>16200</v>
      </c>
      <c r="J608" s="487">
        <f t="shared" si="985"/>
        <v>0</v>
      </c>
      <c r="K608" s="487">
        <f>I608*4/11</f>
        <v>5890.909090909091</v>
      </c>
      <c r="L608" s="487">
        <f>I608*4/11</f>
        <v>5890.909090909091</v>
      </c>
      <c r="M608" s="487">
        <f>I608*3/11</f>
        <v>4418.181818181818</v>
      </c>
      <c r="N608" s="416">
        <v>0</v>
      </c>
      <c r="O608" s="507"/>
      <c r="Q608" s="562" t="s">
        <v>636</v>
      </c>
      <c r="R608" s="516">
        <v>100</v>
      </c>
      <c r="S608" s="411">
        <v>18</v>
      </c>
      <c r="T608" s="514">
        <v>9</v>
      </c>
      <c r="U608" s="486">
        <v>1</v>
      </c>
      <c r="V608" s="486">
        <f t="shared" si="986"/>
        <v>0</v>
      </c>
      <c r="W608" s="506">
        <f t="shared" si="964"/>
        <v>16200</v>
      </c>
      <c r="X608" s="487">
        <f t="shared" si="965"/>
        <v>0</v>
      </c>
      <c r="Y608" s="513">
        <f t="shared" si="989"/>
        <v>5400</v>
      </c>
      <c r="Z608" s="513">
        <f t="shared" si="990"/>
        <v>5400</v>
      </c>
      <c r="AA608" s="513">
        <f t="shared" si="991"/>
        <v>5400</v>
      </c>
      <c r="AB608" s="416">
        <v>0</v>
      </c>
      <c r="AC608" s="417"/>
      <c r="AD608" s="227"/>
      <c r="AE608" s="241">
        <v>4</v>
      </c>
      <c r="AF608" s="204" t="str">
        <f t="shared" si="977"/>
        <v>Per diem Staff Projet pour deplacement -interne</v>
      </c>
      <c r="AG608" s="486">
        <f t="shared" si="953"/>
        <v>1</v>
      </c>
      <c r="AH608" s="486">
        <f t="shared" si="954"/>
        <v>0</v>
      </c>
      <c r="AI608" s="506">
        <f t="shared" si="987"/>
        <v>32400</v>
      </c>
      <c r="AJ608" s="506">
        <f t="shared" si="980"/>
        <v>0</v>
      </c>
      <c r="AK608" s="487">
        <f t="shared" si="988"/>
        <v>0</v>
      </c>
      <c r="AL608" s="487">
        <f t="shared" si="952"/>
        <v>32400</v>
      </c>
      <c r="AM608" s="316">
        <f t="shared" si="970"/>
        <v>16200</v>
      </c>
      <c r="AN608" s="316">
        <f t="shared" si="971"/>
        <v>0</v>
      </c>
      <c r="AO608" s="316">
        <f t="shared" si="972"/>
        <v>16200</v>
      </c>
      <c r="AP608" s="316">
        <f t="shared" si="973"/>
        <v>0</v>
      </c>
      <c r="AQ608" s="169" t="s">
        <v>898</v>
      </c>
      <c r="AR608" s="169" t="s">
        <v>349</v>
      </c>
      <c r="AS608" s="169" t="s">
        <v>420</v>
      </c>
    </row>
    <row r="609" spans="1:47" s="186" customFormat="1" ht="39" x14ac:dyDescent="0.35">
      <c r="A609" s="561">
        <v>5</v>
      </c>
      <c r="B609" s="562" t="s">
        <v>638</v>
      </c>
      <c r="C609" s="562" t="s">
        <v>639</v>
      </c>
      <c r="D609" s="410">
        <v>5000</v>
      </c>
      <c r="E609" s="411">
        <v>1</v>
      </c>
      <c r="F609" s="412">
        <v>1</v>
      </c>
      <c r="G609" s="486">
        <v>1</v>
      </c>
      <c r="H609" s="486">
        <f t="shared" si="984"/>
        <v>0</v>
      </c>
      <c r="I609" s="416">
        <f t="shared" si="959"/>
        <v>5000</v>
      </c>
      <c r="J609" s="487">
        <f t="shared" si="985"/>
        <v>0</v>
      </c>
      <c r="K609" s="487">
        <f>I609</f>
        <v>5000</v>
      </c>
      <c r="L609" s="487"/>
      <c r="M609" s="487"/>
      <c r="N609" s="416">
        <v>0</v>
      </c>
      <c r="O609" s="417" t="s">
        <v>640</v>
      </c>
      <c r="Q609" s="562" t="s">
        <v>639</v>
      </c>
      <c r="R609" s="418">
        <v>5000</v>
      </c>
      <c r="S609" s="411">
        <v>1</v>
      </c>
      <c r="T609" s="411">
        <v>1</v>
      </c>
      <c r="U609" s="486">
        <v>1</v>
      </c>
      <c r="V609" s="486">
        <f t="shared" si="986"/>
        <v>0</v>
      </c>
      <c r="W609" s="506">
        <f t="shared" si="964"/>
        <v>5000</v>
      </c>
      <c r="X609" s="487">
        <f t="shared" si="965"/>
        <v>0</v>
      </c>
      <c r="Y609" s="487">
        <f t="shared" ref="Y609:Y610" si="992">W609</f>
        <v>5000</v>
      </c>
      <c r="Z609" s="487"/>
      <c r="AA609" s="487"/>
      <c r="AB609" s="416">
        <v>0</v>
      </c>
      <c r="AC609" s="417" t="s">
        <v>640</v>
      </c>
      <c r="AD609" s="227"/>
      <c r="AE609" s="241">
        <v>5</v>
      </c>
      <c r="AF609" s="204" t="str">
        <f t="shared" si="977"/>
        <v>Start up &amp; close out workshop</v>
      </c>
      <c r="AG609" s="486">
        <f t="shared" si="953"/>
        <v>1</v>
      </c>
      <c r="AH609" s="486">
        <f t="shared" si="954"/>
        <v>0</v>
      </c>
      <c r="AI609" s="506">
        <f t="shared" si="987"/>
        <v>10000</v>
      </c>
      <c r="AJ609" s="506">
        <f t="shared" si="980"/>
        <v>0</v>
      </c>
      <c r="AK609" s="487">
        <f t="shared" si="988"/>
        <v>0</v>
      </c>
      <c r="AL609" s="487">
        <f t="shared" si="952"/>
        <v>10000</v>
      </c>
      <c r="AM609" s="316">
        <f t="shared" si="970"/>
        <v>5000</v>
      </c>
      <c r="AN609" s="316">
        <f t="shared" si="971"/>
        <v>0</v>
      </c>
      <c r="AO609" s="316">
        <f t="shared" si="972"/>
        <v>5000</v>
      </c>
      <c r="AP609" s="316">
        <f t="shared" si="973"/>
        <v>0</v>
      </c>
      <c r="AQ609" s="186" t="s">
        <v>898</v>
      </c>
      <c r="AR609" s="186" t="s">
        <v>349</v>
      </c>
      <c r="AS609" s="186" t="s">
        <v>420</v>
      </c>
    </row>
    <row r="610" spans="1:47" s="186" customFormat="1" ht="26" x14ac:dyDescent="0.35">
      <c r="A610" s="561">
        <v>6</v>
      </c>
      <c r="B610" s="562" t="s">
        <v>641</v>
      </c>
      <c r="C610" s="562" t="s">
        <v>636</v>
      </c>
      <c r="D610" s="410">
        <v>80</v>
      </c>
      <c r="E610" s="411">
        <v>2</v>
      </c>
      <c r="F610" s="412">
        <v>5</v>
      </c>
      <c r="G610" s="486">
        <v>0.7</v>
      </c>
      <c r="H610" s="486">
        <f t="shared" si="984"/>
        <v>0.30000000000000004</v>
      </c>
      <c r="I610" s="416">
        <f t="shared" si="959"/>
        <v>560</v>
      </c>
      <c r="J610" s="487">
        <f t="shared" si="985"/>
        <v>240.00000000000003</v>
      </c>
      <c r="K610" s="487">
        <f>I610</f>
        <v>560</v>
      </c>
      <c r="L610" s="487"/>
      <c r="M610" s="487"/>
      <c r="N610" s="416">
        <v>0</v>
      </c>
      <c r="O610" s="417" t="s">
        <v>642</v>
      </c>
      <c r="Q610" s="562" t="s">
        <v>636</v>
      </c>
      <c r="R610" s="418">
        <v>80</v>
      </c>
      <c r="S610" s="411">
        <v>2</v>
      </c>
      <c r="T610" s="411">
        <v>5</v>
      </c>
      <c r="U610" s="486">
        <v>0.7</v>
      </c>
      <c r="V610" s="486">
        <f t="shared" si="986"/>
        <v>0.30000000000000004</v>
      </c>
      <c r="W610" s="506">
        <f t="shared" si="964"/>
        <v>560</v>
      </c>
      <c r="X610" s="487">
        <f t="shared" si="965"/>
        <v>240.00000000000003</v>
      </c>
      <c r="Y610" s="487">
        <f t="shared" si="992"/>
        <v>560</v>
      </c>
      <c r="Z610" s="487"/>
      <c r="AA610" s="487"/>
      <c r="AB610" s="416">
        <v>0</v>
      </c>
      <c r="AC610" s="417" t="s">
        <v>642</v>
      </c>
      <c r="AD610" s="227"/>
      <c r="AE610" s="241">
        <v>6</v>
      </c>
      <c r="AF610" s="204" t="str">
        <f t="shared" si="977"/>
        <v xml:space="preserve">Frais de mission de suivis et évaluation de l'Officier M&amp;E  et Financier Principal (1 mission de 10 jours / Trimestre) </v>
      </c>
      <c r="AG610" s="486">
        <f t="shared" si="953"/>
        <v>0.7</v>
      </c>
      <c r="AH610" s="486">
        <f t="shared" si="954"/>
        <v>0.30000000000000004</v>
      </c>
      <c r="AI610" s="506">
        <f t="shared" si="987"/>
        <v>1120</v>
      </c>
      <c r="AJ610" s="506">
        <f t="shared" si="980"/>
        <v>0</v>
      </c>
      <c r="AK610" s="487">
        <f t="shared" si="988"/>
        <v>480.00000000000006</v>
      </c>
      <c r="AL610" s="487">
        <f t="shared" si="952"/>
        <v>1600</v>
      </c>
      <c r="AM610" s="316">
        <f t="shared" si="970"/>
        <v>560</v>
      </c>
      <c r="AN610" s="316">
        <f t="shared" si="971"/>
        <v>0</v>
      </c>
      <c r="AO610" s="316">
        <f t="shared" si="972"/>
        <v>560</v>
      </c>
      <c r="AP610" s="316">
        <f t="shared" si="973"/>
        <v>0</v>
      </c>
      <c r="AQ610" s="186" t="s">
        <v>898</v>
      </c>
      <c r="AR610" s="186" t="s">
        <v>349</v>
      </c>
      <c r="AS610" s="186" t="s">
        <v>420</v>
      </c>
    </row>
    <row r="611" spans="1:47" s="181" customFormat="1" ht="24" customHeight="1" x14ac:dyDescent="0.3">
      <c r="A611" s="473" t="s">
        <v>289</v>
      </c>
      <c r="B611" s="474" t="s">
        <v>643</v>
      </c>
      <c r="C611" s="473"/>
      <c r="D611" s="475"/>
      <c r="E611" s="476"/>
      <c r="F611" s="476"/>
      <c r="G611" s="477"/>
      <c r="H611" s="477"/>
      <c r="I611" s="478">
        <f>I612+I618</f>
        <v>177752.5</v>
      </c>
      <c r="J611" s="534">
        <f t="shared" ref="J611:M611" si="993">J612+J618</f>
        <v>73927.5</v>
      </c>
      <c r="K611" s="534">
        <f t="shared" si="993"/>
        <v>165535</v>
      </c>
      <c r="L611" s="534">
        <f t="shared" si="993"/>
        <v>6108.75</v>
      </c>
      <c r="M611" s="534">
        <f t="shared" si="993"/>
        <v>6108.75</v>
      </c>
      <c r="N611" s="478">
        <f>N612+N618</f>
        <v>0</v>
      </c>
      <c r="O611" s="479"/>
      <c r="Q611" s="473"/>
      <c r="R611" s="475"/>
      <c r="S611" s="476"/>
      <c r="T611" s="476"/>
      <c r="U611" s="477"/>
      <c r="V611" s="477"/>
      <c r="W611" s="534">
        <f>W612+W618</f>
        <v>196952.5</v>
      </c>
      <c r="X611" s="534">
        <f t="shared" ref="X611" si="994">X612+X618</f>
        <v>67927.5</v>
      </c>
      <c r="Y611" s="534">
        <f>Y612+Y618</f>
        <v>184735</v>
      </c>
      <c r="Z611" s="534">
        <f t="shared" ref="Z611:AA611" si="995">Z612+Z618</f>
        <v>6108.75</v>
      </c>
      <c r="AA611" s="534">
        <f t="shared" si="995"/>
        <v>6108.75</v>
      </c>
      <c r="AB611" s="478">
        <f>AB612+AB618</f>
        <v>0</v>
      </c>
      <c r="AC611" s="479"/>
      <c r="AD611" s="232"/>
      <c r="AE611" s="338" t="s">
        <v>289</v>
      </c>
      <c r="AF611" s="245" t="str">
        <f t="shared" si="977"/>
        <v>Couts operationnels WASH</v>
      </c>
      <c r="AG611" s="477">
        <f t="shared" ref="AG611:AG641" si="996">AI611/($AI611+$AK611)</f>
        <v>0.72538524082391198</v>
      </c>
      <c r="AH611" s="477">
        <f t="shared" ref="AH611:AH641" si="997">AK611/($AI611+$AK611)</f>
        <v>0.27461475917608796</v>
      </c>
      <c r="AI611" s="534">
        <f t="shared" si="987"/>
        <v>374705</v>
      </c>
      <c r="AJ611" s="534">
        <f t="shared" si="980"/>
        <v>0</v>
      </c>
      <c r="AK611" s="534">
        <f t="shared" si="988"/>
        <v>141855</v>
      </c>
      <c r="AL611" s="534">
        <f t="shared" si="952"/>
        <v>516560</v>
      </c>
      <c r="AM611" s="321">
        <f t="shared" si="970"/>
        <v>177752.5</v>
      </c>
      <c r="AN611" s="321">
        <f t="shared" si="971"/>
        <v>0</v>
      </c>
      <c r="AO611" s="321">
        <f t="shared" si="972"/>
        <v>196952.5</v>
      </c>
      <c r="AP611" s="321">
        <f t="shared" si="973"/>
        <v>0</v>
      </c>
    </row>
    <row r="612" spans="1:47" ht="12.75" customHeight="1" x14ac:dyDescent="0.3">
      <c r="A612" s="480" t="s">
        <v>1712</v>
      </c>
      <c r="B612" s="861" t="s">
        <v>644</v>
      </c>
      <c r="C612" s="862"/>
      <c r="D612" s="862"/>
      <c r="E612" s="862"/>
      <c r="F612" s="862"/>
      <c r="G612" s="862"/>
      <c r="H612" s="863"/>
      <c r="I612" s="481">
        <f>SUM(I613:I617)</f>
        <v>20362.5</v>
      </c>
      <c r="J612" s="482">
        <f t="shared" ref="J612:N612" si="998">SUM(J613:J617)</f>
        <v>61087.5</v>
      </c>
      <c r="K612" s="482">
        <f t="shared" si="998"/>
        <v>8145</v>
      </c>
      <c r="L612" s="482">
        <f t="shared" si="998"/>
        <v>6108.75</v>
      </c>
      <c r="M612" s="482">
        <f t="shared" si="998"/>
        <v>6108.75</v>
      </c>
      <c r="N612" s="481">
        <f t="shared" si="998"/>
        <v>0</v>
      </c>
      <c r="O612" s="508"/>
      <c r="Q612" s="538"/>
      <c r="R612" s="539"/>
      <c r="S612" s="538"/>
      <c r="T612" s="539"/>
      <c r="U612" s="539"/>
      <c r="V612" s="484"/>
      <c r="W612" s="482">
        <f>SUM(W613:W617)</f>
        <v>20362.5</v>
      </c>
      <c r="X612" s="482">
        <f>SUM(X613:X617)</f>
        <v>61087.5</v>
      </c>
      <c r="Y612" s="482">
        <f>SUM(Y613:Y617)</f>
        <v>8145</v>
      </c>
      <c r="Z612" s="482">
        <f t="shared" ref="Z612" si="999">SUM(Z613:Z617)</f>
        <v>6108.75</v>
      </c>
      <c r="AA612" s="482">
        <f>SUM(AA613:AA617)</f>
        <v>6108.75</v>
      </c>
      <c r="AB612" s="481">
        <f t="shared" ref="AB612" si="1000">SUM(AB613:AB617)</f>
        <v>0</v>
      </c>
      <c r="AC612" s="508"/>
      <c r="AD612" s="234"/>
      <c r="AE612" s="247" t="s">
        <v>1712</v>
      </c>
      <c r="AF612" s="204" t="str">
        <f t="shared" si="977"/>
        <v>Salaires du personnel qui travaille indirectement sur le programme (Directeur Pays, M&amp;E, Logisticien etc) avec % prorata</v>
      </c>
      <c r="AG612" s="485">
        <f t="shared" si="996"/>
        <v>0.25</v>
      </c>
      <c r="AH612" s="485">
        <f t="shared" si="997"/>
        <v>0.75</v>
      </c>
      <c r="AI612" s="482">
        <f t="shared" si="987"/>
        <v>40725</v>
      </c>
      <c r="AJ612" s="482">
        <f t="shared" si="980"/>
        <v>0</v>
      </c>
      <c r="AK612" s="482">
        <f t="shared" si="988"/>
        <v>122175</v>
      </c>
      <c r="AL612" s="482">
        <f t="shared" si="952"/>
        <v>162900</v>
      </c>
      <c r="AM612" s="314">
        <f t="shared" si="970"/>
        <v>20362.5</v>
      </c>
      <c r="AN612" s="314">
        <f t="shared" si="971"/>
        <v>0</v>
      </c>
      <c r="AO612" s="314">
        <f t="shared" si="972"/>
        <v>20362.5</v>
      </c>
      <c r="AP612" s="314">
        <f t="shared" si="973"/>
        <v>0</v>
      </c>
    </row>
    <row r="613" spans="1:47" s="169" customFormat="1" x14ac:dyDescent="0.3">
      <c r="A613" s="582" t="s">
        <v>674</v>
      </c>
      <c r="B613" s="583" t="s">
        <v>1713</v>
      </c>
      <c r="C613" s="562" t="s">
        <v>90</v>
      </c>
      <c r="D613" s="536">
        <v>2000</v>
      </c>
      <c r="E613" s="411">
        <v>1</v>
      </c>
      <c r="F613" s="512">
        <v>9</v>
      </c>
      <c r="G613" s="486">
        <v>0.25</v>
      </c>
      <c r="H613" s="486">
        <f t="shared" si="978"/>
        <v>0.75</v>
      </c>
      <c r="I613" s="416">
        <f t="shared" ref="I613:I617" si="1001">D613*E613*F613*G613</f>
        <v>4500</v>
      </c>
      <c r="J613" s="487">
        <f>D613*E613*F613*H613</f>
        <v>13500</v>
      </c>
      <c r="K613" s="415">
        <f>I613*40/100</f>
        <v>1800</v>
      </c>
      <c r="L613" s="415">
        <f>I613*30/100</f>
        <v>1350</v>
      </c>
      <c r="M613" s="415">
        <f>I613*30/100</f>
        <v>1350</v>
      </c>
      <c r="N613" s="416">
        <v>0</v>
      </c>
      <c r="O613" s="507" t="s">
        <v>1714</v>
      </c>
      <c r="Q613" s="562" t="s">
        <v>90</v>
      </c>
      <c r="R613" s="516">
        <v>2000</v>
      </c>
      <c r="S613" s="411">
        <v>1</v>
      </c>
      <c r="T613" s="514">
        <v>9</v>
      </c>
      <c r="U613" s="486">
        <v>0.25</v>
      </c>
      <c r="V613" s="486">
        <f t="shared" ref="V613:V617" si="1002">100%-U613</f>
        <v>0.75</v>
      </c>
      <c r="W613" s="506">
        <f t="shared" ref="W613:W617" si="1003">R613*S613*T613*U613</f>
        <v>4500</v>
      </c>
      <c r="X613" s="487">
        <f t="shared" ref="X613:X617" si="1004">R613*S613*T613*V613</f>
        <v>13500</v>
      </c>
      <c r="Y613" s="529">
        <f t="shared" ref="Y613:Y617" si="1005">W613*40/100</f>
        <v>1800</v>
      </c>
      <c r="Z613" s="529">
        <f t="shared" ref="Z613:Z617" si="1006">W613*30/100</f>
        <v>1350</v>
      </c>
      <c r="AA613" s="529">
        <f t="shared" ref="AA613:AA617" si="1007">W613*30/100</f>
        <v>1350</v>
      </c>
      <c r="AB613" s="416">
        <v>0</v>
      </c>
      <c r="AC613" s="417" t="s">
        <v>1714</v>
      </c>
      <c r="AD613" s="227"/>
      <c r="AE613" s="241" t="s">
        <v>674</v>
      </c>
      <c r="AF613" s="204" t="str">
        <f t="shared" si="977"/>
        <v>Directeur de CADEGO (25%)</v>
      </c>
      <c r="AG613" s="486">
        <f t="shared" si="996"/>
        <v>0.25</v>
      </c>
      <c r="AH613" s="486">
        <f t="shared" si="997"/>
        <v>0.75</v>
      </c>
      <c r="AI613" s="506">
        <f t="shared" si="987"/>
        <v>9000</v>
      </c>
      <c r="AJ613" s="506">
        <f t="shared" si="980"/>
        <v>0</v>
      </c>
      <c r="AK613" s="487">
        <f t="shared" si="988"/>
        <v>27000</v>
      </c>
      <c r="AL613" s="487">
        <f t="shared" si="952"/>
        <v>36000</v>
      </c>
      <c r="AM613" s="316">
        <f t="shared" si="970"/>
        <v>4500</v>
      </c>
      <c r="AN613" s="316">
        <f t="shared" si="971"/>
        <v>0</v>
      </c>
      <c r="AO613" s="316">
        <f t="shared" si="972"/>
        <v>4500</v>
      </c>
      <c r="AP613" s="316">
        <f t="shared" si="973"/>
        <v>0</v>
      </c>
      <c r="AQ613" s="169" t="s">
        <v>1715</v>
      </c>
    </row>
    <row r="614" spans="1:47" s="169" customFormat="1" x14ac:dyDescent="0.3">
      <c r="A614" s="582" t="s">
        <v>675</v>
      </c>
      <c r="B614" s="583" t="s">
        <v>1716</v>
      </c>
      <c r="C614" s="562" t="s">
        <v>1717</v>
      </c>
      <c r="D614" s="536">
        <v>1950</v>
      </c>
      <c r="E614" s="411">
        <v>1</v>
      </c>
      <c r="F614" s="512">
        <v>9</v>
      </c>
      <c r="G614" s="486">
        <v>0.25</v>
      </c>
      <c r="H614" s="486">
        <f t="shared" si="978"/>
        <v>0.75</v>
      </c>
      <c r="I614" s="416">
        <f t="shared" si="1001"/>
        <v>4387.5</v>
      </c>
      <c r="J614" s="487">
        <f>D614*E614*F614*H614</f>
        <v>13162.5</v>
      </c>
      <c r="K614" s="415">
        <f>I614*40/100</f>
        <v>1755</v>
      </c>
      <c r="L614" s="415">
        <f>I614*30/100</f>
        <v>1316.25</v>
      </c>
      <c r="M614" s="415">
        <f>I614*30/100</f>
        <v>1316.25</v>
      </c>
      <c r="N614" s="416">
        <v>0</v>
      </c>
      <c r="O614" s="507" t="s">
        <v>1718</v>
      </c>
      <c r="Q614" s="562" t="s">
        <v>1717</v>
      </c>
      <c r="R614" s="516">
        <v>1950</v>
      </c>
      <c r="S614" s="411">
        <v>1</v>
      </c>
      <c r="T614" s="514">
        <v>9</v>
      </c>
      <c r="U614" s="486">
        <v>0.25</v>
      </c>
      <c r="V614" s="486">
        <f t="shared" si="1002"/>
        <v>0.75</v>
      </c>
      <c r="W614" s="506">
        <f t="shared" si="1003"/>
        <v>4387.5</v>
      </c>
      <c r="X614" s="487">
        <f t="shared" si="1004"/>
        <v>13162.5</v>
      </c>
      <c r="Y614" s="529">
        <f t="shared" si="1005"/>
        <v>1755</v>
      </c>
      <c r="Z614" s="529">
        <f t="shared" si="1006"/>
        <v>1316.25</v>
      </c>
      <c r="AA614" s="529">
        <f t="shared" si="1007"/>
        <v>1316.25</v>
      </c>
      <c r="AB614" s="416">
        <v>0</v>
      </c>
      <c r="AC614" s="417" t="s">
        <v>1718</v>
      </c>
      <c r="AD614" s="227"/>
      <c r="AE614" s="241" t="s">
        <v>675</v>
      </c>
      <c r="AF614" s="204" t="str">
        <f t="shared" si="977"/>
        <v>Coodonateur du bureau diocesain de developpement( BDD) (25%)</v>
      </c>
      <c r="AG614" s="486">
        <f t="shared" si="996"/>
        <v>0.25</v>
      </c>
      <c r="AH614" s="486">
        <f t="shared" si="997"/>
        <v>0.75</v>
      </c>
      <c r="AI614" s="506">
        <f t="shared" si="987"/>
        <v>8775</v>
      </c>
      <c r="AJ614" s="506">
        <f t="shared" si="980"/>
        <v>0</v>
      </c>
      <c r="AK614" s="487">
        <f t="shared" si="988"/>
        <v>26325</v>
      </c>
      <c r="AL614" s="487">
        <f t="shared" si="952"/>
        <v>35100</v>
      </c>
      <c r="AM614" s="316">
        <f t="shared" si="970"/>
        <v>4387.5</v>
      </c>
      <c r="AN614" s="316">
        <f t="shared" si="971"/>
        <v>0</v>
      </c>
      <c r="AO614" s="316">
        <f t="shared" si="972"/>
        <v>4387.5</v>
      </c>
      <c r="AP614" s="316">
        <f t="shared" si="973"/>
        <v>0</v>
      </c>
      <c r="AQ614" s="169" t="s">
        <v>1715</v>
      </c>
    </row>
    <row r="615" spans="1:47" s="169" customFormat="1" x14ac:dyDescent="0.3">
      <c r="A615" s="582" t="s">
        <v>677</v>
      </c>
      <c r="B615" s="583" t="s">
        <v>1719</v>
      </c>
      <c r="C615" s="562" t="s">
        <v>90</v>
      </c>
      <c r="D615" s="536">
        <v>1800</v>
      </c>
      <c r="E615" s="411">
        <v>1</v>
      </c>
      <c r="F615" s="512">
        <v>9</v>
      </c>
      <c r="G615" s="486">
        <v>0.25</v>
      </c>
      <c r="H615" s="486">
        <f t="shared" si="978"/>
        <v>0.75</v>
      </c>
      <c r="I615" s="416">
        <f t="shared" si="1001"/>
        <v>4050</v>
      </c>
      <c r="J615" s="487">
        <f>D615*E615*F615*H615</f>
        <v>12150</v>
      </c>
      <c r="K615" s="415">
        <f>I615*40/100</f>
        <v>1620</v>
      </c>
      <c r="L615" s="415">
        <f>I615*30/100</f>
        <v>1215</v>
      </c>
      <c r="M615" s="415">
        <f>I615*30/100</f>
        <v>1215</v>
      </c>
      <c r="N615" s="416">
        <v>0</v>
      </c>
      <c r="O615" s="507" t="s">
        <v>1720</v>
      </c>
      <c r="Q615" s="562" t="s">
        <v>90</v>
      </c>
      <c r="R615" s="516">
        <v>1800</v>
      </c>
      <c r="S615" s="411">
        <v>1</v>
      </c>
      <c r="T615" s="514">
        <v>9</v>
      </c>
      <c r="U615" s="486">
        <v>0.25</v>
      </c>
      <c r="V615" s="486">
        <f t="shared" si="1002"/>
        <v>0.75</v>
      </c>
      <c r="W615" s="506">
        <f t="shared" si="1003"/>
        <v>4050</v>
      </c>
      <c r="X615" s="487">
        <f t="shared" si="1004"/>
        <v>12150</v>
      </c>
      <c r="Y615" s="529">
        <f t="shared" si="1005"/>
        <v>1620</v>
      </c>
      <c r="Z615" s="529">
        <f t="shared" si="1006"/>
        <v>1215</v>
      </c>
      <c r="AA615" s="529">
        <f t="shared" si="1007"/>
        <v>1215</v>
      </c>
      <c r="AB615" s="416">
        <v>0</v>
      </c>
      <c r="AC615" s="417" t="s">
        <v>1720</v>
      </c>
      <c r="AD615" s="227"/>
      <c r="AE615" s="241" t="s">
        <v>677</v>
      </c>
      <c r="AF615" s="204" t="str">
        <f t="shared" si="977"/>
        <v>Chef de qualité des programme (25%)</v>
      </c>
      <c r="AG615" s="486">
        <f t="shared" si="996"/>
        <v>0.25</v>
      </c>
      <c r="AH615" s="486">
        <f t="shared" si="997"/>
        <v>0.75</v>
      </c>
      <c r="AI615" s="506">
        <f t="shared" si="987"/>
        <v>8100</v>
      </c>
      <c r="AJ615" s="506">
        <f t="shared" si="980"/>
        <v>0</v>
      </c>
      <c r="AK615" s="487">
        <f t="shared" si="988"/>
        <v>24300</v>
      </c>
      <c r="AL615" s="487">
        <f t="shared" si="952"/>
        <v>32400</v>
      </c>
      <c r="AM615" s="316">
        <f t="shared" si="970"/>
        <v>4050</v>
      </c>
      <c r="AN615" s="316">
        <f t="shared" si="971"/>
        <v>0</v>
      </c>
      <c r="AO615" s="316">
        <f t="shared" si="972"/>
        <v>4050</v>
      </c>
      <c r="AP615" s="316">
        <f t="shared" si="973"/>
        <v>0</v>
      </c>
      <c r="AQ615" s="169" t="s">
        <v>1715</v>
      </c>
    </row>
    <row r="616" spans="1:47" s="169" customFormat="1" x14ac:dyDescent="0.3">
      <c r="A616" s="582" t="s">
        <v>679</v>
      </c>
      <c r="B616" s="583" t="s">
        <v>1721</v>
      </c>
      <c r="C616" s="562" t="s">
        <v>90</v>
      </c>
      <c r="D616" s="536">
        <v>1800</v>
      </c>
      <c r="E616" s="411">
        <v>1</v>
      </c>
      <c r="F616" s="512">
        <v>9</v>
      </c>
      <c r="G616" s="486">
        <v>0.25</v>
      </c>
      <c r="H616" s="486">
        <f t="shared" si="978"/>
        <v>0.75</v>
      </c>
      <c r="I616" s="416">
        <f t="shared" si="1001"/>
        <v>4050</v>
      </c>
      <c r="J616" s="487">
        <f>D616*E616*F616*H616</f>
        <v>12150</v>
      </c>
      <c r="K616" s="415">
        <f>I616*40/100</f>
        <v>1620</v>
      </c>
      <c r="L616" s="415">
        <f>I616*30/100</f>
        <v>1215</v>
      </c>
      <c r="M616" s="415">
        <f>I616*30/100</f>
        <v>1215</v>
      </c>
      <c r="N616" s="416">
        <v>0</v>
      </c>
      <c r="O616" s="507" t="s">
        <v>1720</v>
      </c>
      <c r="Q616" s="562" t="s">
        <v>90</v>
      </c>
      <c r="R616" s="516">
        <v>1800</v>
      </c>
      <c r="S616" s="411">
        <v>1</v>
      </c>
      <c r="T616" s="514">
        <v>9</v>
      </c>
      <c r="U616" s="486">
        <v>0.25</v>
      </c>
      <c r="V616" s="486">
        <f t="shared" si="1002"/>
        <v>0.75</v>
      </c>
      <c r="W616" s="506">
        <f t="shared" si="1003"/>
        <v>4050</v>
      </c>
      <c r="X616" s="487">
        <f t="shared" si="1004"/>
        <v>12150</v>
      </c>
      <c r="Y616" s="529">
        <f t="shared" si="1005"/>
        <v>1620</v>
      </c>
      <c r="Z616" s="529">
        <f t="shared" si="1006"/>
        <v>1215</v>
      </c>
      <c r="AA616" s="529">
        <f t="shared" si="1007"/>
        <v>1215</v>
      </c>
      <c r="AB616" s="416">
        <v>0</v>
      </c>
      <c r="AC616" s="417" t="s">
        <v>1720</v>
      </c>
      <c r="AD616" s="227"/>
      <c r="AE616" s="241" t="s">
        <v>679</v>
      </c>
      <c r="AF616" s="204" t="str">
        <f t="shared" si="977"/>
        <v>Chargé des Ressources Humaines (25%)</v>
      </c>
      <c r="AG616" s="486">
        <f t="shared" si="996"/>
        <v>0.25</v>
      </c>
      <c r="AH616" s="486">
        <f t="shared" si="997"/>
        <v>0.75</v>
      </c>
      <c r="AI616" s="506">
        <f t="shared" si="987"/>
        <v>8100</v>
      </c>
      <c r="AJ616" s="506">
        <f t="shared" si="980"/>
        <v>0</v>
      </c>
      <c r="AK616" s="487">
        <f t="shared" si="988"/>
        <v>24300</v>
      </c>
      <c r="AL616" s="487">
        <f t="shared" si="952"/>
        <v>32400</v>
      </c>
      <c r="AM616" s="316">
        <f t="shared" si="970"/>
        <v>4050</v>
      </c>
      <c r="AN616" s="316">
        <f t="shared" si="971"/>
        <v>0</v>
      </c>
      <c r="AO616" s="316">
        <f t="shared" si="972"/>
        <v>4050</v>
      </c>
      <c r="AP616" s="316">
        <f t="shared" si="973"/>
        <v>0</v>
      </c>
      <c r="AQ616" s="169" t="s">
        <v>1715</v>
      </c>
    </row>
    <row r="617" spans="1:47" s="169" customFormat="1" x14ac:dyDescent="0.3">
      <c r="A617" s="582" t="s">
        <v>681</v>
      </c>
      <c r="B617" s="583" t="s">
        <v>1722</v>
      </c>
      <c r="C617" s="562" t="s">
        <v>90</v>
      </c>
      <c r="D617" s="536">
        <v>1500</v>
      </c>
      <c r="E617" s="411">
        <v>1</v>
      </c>
      <c r="F617" s="512">
        <v>9</v>
      </c>
      <c r="G617" s="486">
        <v>0.25</v>
      </c>
      <c r="H617" s="486">
        <f t="shared" si="978"/>
        <v>0.75</v>
      </c>
      <c r="I617" s="416">
        <f t="shared" si="1001"/>
        <v>3375</v>
      </c>
      <c r="J617" s="487">
        <f>D617*E617*F617*H617</f>
        <v>10125</v>
      </c>
      <c r="K617" s="415">
        <f>I617*40/100</f>
        <v>1350</v>
      </c>
      <c r="L617" s="415">
        <f>I617*30/100</f>
        <v>1012.5</v>
      </c>
      <c r="M617" s="415">
        <f>I617*30/100</f>
        <v>1012.5</v>
      </c>
      <c r="N617" s="416">
        <v>0</v>
      </c>
      <c r="O617" s="507" t="s">
        <v>646</v>
      </c>
      <c r="Q617" s="562" t="s">
        <v>90</v>
      </c>
      <c r="R617" s="516">
        <v>1500</v>
      </c>
      <c r="S617" s="411">
        <v>1</v>
      </c>
      <c r="T617" s="514">
        <v>9</v>
      </c>
      <c r="U617" s="486">
        <v>0.25</v>
      </c>
      <c r="V617" s="486">
        <f t="shared" si="1002"/>
        <v>0.75</v>
      </c>
      <c r="W617" s="506">
        <f t="shared" si="1003"/>
        <v>3375</v>
      </c>
      <c r="X617" s="487">
        <f t="shared" si="1004"/>
        <v>10125</v>
      </c>
      <c r="Y617" s="529">
        <f t="shared" si="1005"/>
        <v>1350</v>
      </c>
      <c r="Z617" s="529">
        <f t="shared" si="1006"/>
        <v>1012.5</v>
      </c>
      <c r="AA617" s="529">
        <f t="shared" si="1007"/>
        <v>1012.5</v>
      </c>
      <c r="AB617" s="416">
        <v>0</v>
      </c>
      <c r="AC617" s="417" t="s">
        <v>646</v>
      </c>
      <c r="AD617" s="227"/>
      <c r="AE617" s="241" t="s">
        <v>681</v>
      </c>
      <c r="AF617" s="204" t="str">
        <f t="shared" si="977"/>
        <v>Chef de departement logistique (25%)</v>
      </c>
      <c r="AG617" s="486">
        <f t="shared" si="996"/>
        <v>0.25</v>
      </c>
      <c r="AH617" s="486">
        <f t="shared" si="997"/>
        <v>0.75</v>
      </c>
      <c r="AI617" s="506">
        <f t="shared" si="987"/>
        <v>6750</v>
      </c>
      <c r="AJ617" s="506">
        <f t="shared" si="980"/>
        <v>0</v>
      </c>
      <c r="AK617" s="487">
        <f t="shared" si="988"/>
        <v>20250</v>
      </c>
      <c r="AL617" s="487">
        <f t="shared" si="952"/>
        <v>27000</v>
      </c>
      <c r="AM617" s="316">
        <f t="shared" si="970"/>
        <v>3375</v>
      </c>
      <c r="AN617" s="316">
        <f t="shared" si="971"/>
        <v>0</v>
      </c>
      <c r="AO617" s="316">
        <f t="shared" si="972"/>
        <v>3375</v>
      </c>
      <c r="AP617" s="316">
        <f t="shared" si="973"/>
        <v>0</v>
      </c>
      <c r="AQ617" s="169" t="s">
        <v>1715</v>
      </c>
    </row>
    <row r="618" spans="1:47" x14ac:dyDescent="0.3">
      <c r="A618" s="480">
        <v>9.1999999999999993</v>
      </c>
      <c r="B618" s="861" t="s">
        <v>645</v>
      </c>
      <c r="C618" s="862"/>
      <c r="D618" s="862"/>
      <c r="E618" s="862"/>
      <c r="F618" s="862"/>
      <c r="G618" s="862"/>
      <c r="H618" s="863"/>
      <c r="I618" s="481">
        <f t="shared" ref="I618:N618" si="1008">SUM(I619:I636)</f>
        <v>157390</v>
      </c>
      <c r="J618" s="482">
        <f t="shared" si="1008"/>
        <v>12840</v>
      </c>
      <c r="K618" s="482">
        <f t="shared" si="1008"/>
        <v>157390</v>
      </c>
      <c r="L618" s="482">
        <f t="shared" si="1008"/>
        <v>0</v>
      </c>
      <c r="M618" s="482">
        <f t="shared" si="1008"/>
        <v>0</v>
      </c>
      <c r="N618" s="481">
        <f t="shared" si="1008"/>
        <v>0</v>
      </c>
      <c r="O618" s="508"/>
      <c r="Q618" s="538"/>
      <c r="R618" s="539"/>
      <c r="S618" s="538"/>
      <c r="T618" s="539"/>
      <c r="U618" s="539"/>
      <c r="V618" s="484"/>
      <c r="W618" s="482">
        <f t="shared" ref="W618:AB618" si="1009">SUM(W619:W636)</f>
        <v>176590</v>
      </c>
      <c r="X618" s="482">
        <f t="shared" si="1009"/>
        <v>6840</v>
      </c>
      <c r="Y618" s="482">
        <f t="shared" si="1009"/>
        <v>176590</v>
      </c>
      <c r="Z618" s="482">
        <f t="shared" si="1009"/>
        <v>0</v>
      </c>
      <c r="AA618" s="482">
        <f t="shared" si="1009"/>
        <v>0</v>
      </c>
      <c r="AB618" s="481">
        <f t="shared" si="1009"/>
        <v>0</v>
      </c>
      <c r="AC618" s="508"/>
      <c r="AD618" s="234"/>
      <c r="AE618" s="247">
        <v>9.1999999999999993</v>
      </c>
      <c r="AF618" s="204" t="str">
        <f t="shared" si="977"/>
        <v xml:space="preserve">Coûts opérationnels liés au fonctionnement </v>
      </c>
      <c r="AG618" s="485">
        <f t="shared" si="996"/>
        <v>0.94435333371034325</v>
      </c>
      <c r="AH618" s="485">
        <f t="shared" si="997"/>
        <v>5.5646666289656734E-2</v>
      </c>
      <c r="AI618" s="482">
        <f t="shared" si="987"/>
        <v>333980</v>
      </c>
      <c r="AJ618" s="482">
        <f t="shared" si="980"/>
        <v>0</v>
      </c>
      <c r="AK618" s="482">
        <f t="shared" si="988"/>
        <v>19680</v>
      </c>
      <c r="AL618" s="482">
        <f t="shared" si="952"/>
        <v>353660</v>
      </c>
      <c r="AM618" s="314">
        <f t="shared" si="970"/>
        <v>157390</v>
      </c>
      <c r="AN618" s="314">
        <f t="shared" si="971"/>
        <v>0</v>
      </c>
      <c r="AO618" s="314">
        <f t="shared" si="972"/>
        <v>176590</v>
      </c>
      <c r="AP618" s="314">
        <f t="shared" si="973"/>
        <v>0</v>
      </c>
    </row>
    <row r="619" spans="1:47" s="172" customFormat="1" x14ac:dyDescent="0.3">
      <c r="A619" s="586" t="s">
        <v>684</v>
      </c>
      <c r="B619" s="583" t="s">
        <v>1723</v>
      </c>
      <c r="C619" s="562" t="s">
        <v>1724</v>
      </c>
      <c r="D619" s="536">
        <v>20</v>
      </c>
      <c r="E619" s="411">
        <v>6</v>
      </c>
      <c r="F619" s="512">
        <v>9</v>
      </c>
      <c r="G619" s="413">
        <v>0</v>
      </c>
      <c r="H619" s="413">
        <f t="shared" ref="H619:H636" si="1010">100%-G619</f>
        <v>1</v>
      </c>
      <c r="I619" s="414">
        <f t="shared" ref="I619:I636" si="1011">D619*E619*F619*G619</f>
        <v>0</v>
      </c>
      <c r="J619" s="415">
        <f t="shared" ref="J619:J636" si="1012">D619*E619*F619*H619</f>
        <v>1080</v>
      </c>
      <c r="K619" s="415">
        <f t="shared" ref="K619:K636" si="1013">I619</f>
        <v>0</v>
      </c>
      <c r="L619" s="415"/>
      <c r="M619" s="415"/>
      <c r="N619" s="416">
        <v>0</v>
      </c>
      <c r="O619" s="507" t="s">
        <v>1725</v>
      </c>
      <c r="P619" s="174"/>
      <c r="Q619" s="562" t="s">
        <v>1724</v>
      </c>
      <c r="R619" s="516">
        <v>20</v>
      </c>
      <c r="S619" s="411">
        <v>6</v>
      </c>
      <c r="T619" s="514">
        <v>9</v>
      </c>
      <c r="U619" s="413">
        <v>0</v>
      </c>
      <c r="V619" s="413">
        <f t="shared" ref="V619:V636" si="1014">100%-U619</f>
        <v>1</v>
      </c>
      <c r="W619" s="419">
        <f t="shared" ref="W619:W636" si="1015">R619*S619*T619*U619</f>
        <v>0</v>
      </c>
      <c r="X619" s="415">
        <f t="shared" ref="X619:X636" si="1016">R619*S619*T619*V619</f>
        <v>1080</v>
      </c>
      <c r="Y619" s="415">
        <f t="shared" ref="Y619:Y636" si="1017">W619</f>
        <v>0</v>
      </c>
      <c r="Z619" s="415"/>
      <c r="AA619" s="415"/>
      <c r="AB619" s="416">
        <v>0</v>
      </c>
      <c r="AC619" s="417"/>
      <c r="AD619" s="227"/>
      <c r="AE619" s="241" t="s">
        <v>684</v>
      </c>
      <c r="AF619" s="204" t="str">
        <f t="shared" si="977"/>
        <v xml:space="preserve">Entretien motos prêt  de l'Unicef </v>
      </c>
      <c r="AG619" s="413">
        <f t="shared" si="996"/>
        <v>0</v>
      </c>
      <c r="AH619" s="413">
        <f t="shared" si="997"/>
        <v>1</v>
      </c>
      <c r="AI619" s="419">
        <f t="shared" si="987"/>
        <v>0</v>
      </c>
      <c r="AJ619" s="419">
        <f t="shared" si="980"/>
        <v>0</v>
      </c>
      <c r="AK619" s="415">
        <f t="shared" si="988"/>
        <v>2160</v>
      </c>
      <c r="AL619" s="415">
        <f t="shared" si="952"/>
        <v>2160</v>
      </c>
      <c r="AM619" s="323">
        <f t="shared" si="970"/>
        <v>0</v>
      </c>
      <c r="AN619" s="323">
        <f t="shared" si="971"/>
        <v>0</v>
      </c>
      <c r="AO619" s="323">
        <f t="shared" si="972"/>
        <v>0</v>
      </c>
      <c r="AP619" s="323">
        <f t="shared" si="973"/>
        <v>0</v>
      </c>
      <c r="AQ619" s="169" t="s">
        <v>1715</v>
      </c>
      <c r="AT619" s="169"/>
      <c r="AU619" s="169"/>
    </row>
    <row r="620" spans="1:47" s="172" customFormat="1" ht="26" x14ac:dyDescent="0.3">
      <c r="A620" s="586" t="s">
        <v>687</v>
      </c>
      <c r="B620" s="583" t="s">
        <v>1726</v>
      </c>
      <c r="C620" s="562" t="s">
        <v>1727</v>
      </c>
      <c r="D620" s="536">
        <v>4000</v>
      </c>
      <c r="E620" s="411">
        <v>2</v>
      </c>
      <c r="F620" s="512">
        <v>1</v>
      </c>
      <c r="G620" s="413">
        <v>0.25</v>
      </c>
      <c r="H620" s="413">
        <f t="shared" si="1010"/>
        <v>0.75</v>
      </c>
      <c r="I620" s="414">
        <f t="shared" si="1011"/>
        <v>2000</v>
      </c>
      <c r="J620" s="415">
        <f t="shared" si="1012"/>
        <v>6000</v>
      </c>
      <c r="K620" s="415">
        <f t="shared" si="1013"/>
        <v>2000</v>
      </c>
      <c r="L620" s="415"/>
      <c r="M620" s="415"/>
      <c r="N620" s="416">
        <v>0</v>
      </c>
      <c r="O620" s="507" t="s">
        <v>1728</v>
      </c>
      <c r="P620" s="174"/>
      <c r="Q620" s="562" t="s">
        <v>1727</v>
      </c>
      <c r="R620" s="516">
        <v>4000</v>
      </c>
      <c r="S620" s="411">
        <v>2</v>
      </c>
      <c r="T620" s="514">
        <v>1</v>
      </c>
      <c r="U620" s="413">
        <v>1</v>
      </c>
      <c r="V620" s="413">
        <f t="shared" si="1014"/>
        <v>0</v>
      </c>
      <c r="W620" s="419">
        <f t="shared" si="1015"/>
        <v>8000</v>
      </c>
      <c r="X620" s="415">
        <f t="shared" si="1016"/>
        <v>0</v>
      </c>
      <c r="Y620" s="415">
        <f t="shared" si="1017"/>
        <v>8000</v>
      </c>
      <c r="Z620" s="415"/>
      <c r="AA620" s="415"/>
      <c r="AB620" s="416">
        <v>0</v>
      </c>
      <c r="AC620" s="417" t="s">
        <v>1729</v>
      </c>
      <c r="AD620" s="227"/>
      <c r="AE620" s="241" t="s">
        <v>687</v>
      </c>
      <c r="AF620" s="204" t="str">
        <f t="shared" si="977"/>
        <v xml:space="preserve">Rehabilitation bases </v>
      </c>
      <c r="AG620" s="413">
        <f t="shared" si="996"/>
        <v>0.625</v>
      </c>
      <c r="AH620" s="413">
        <f t="shared" si="997"/>
        <v>0.375</v>
      </c>
      <c r="AI620" s="419">
        <f t="shared" si="987"/>
        <v>10000</v>
      </c>
      <c r="AJ620" s="419">
        <f t="shared" si="980"/>
        <v>0</v>
      </c>
      <c r="AK620" s="415">
        <f t="shared" si="988"/>
        <v>6000</v>
      </c>
      <c r="AL620" s="415">
        <f t="shared" si="952"/>
        <v>16000</v>
      </c>
      <c r="AM620" s="323">
        <f t="shared" si="970"/>
        <v>2000</v>
      </c>
      <c r="AN620" s="323">
        <f t="shared" si="971"/>
        <v>0</v>
      </c>
      <c r="AO620" s="323">
        <f t="shared" si="972"/>
        <v>8000</v>
      </c>
      <c r="AP620" s="323">
        <f t="shared" si="973"/>
        <v>0</v>
      </c>
      <c r="AQ620" s="169" t="s">
        <v>1715</v>
      </c>
      <c r="AT620" s="169"/>
      <c r="AU620" s="169"/>
    </row>
    <row r="621" spans="1:47" s="172" customFormat="1" x14ac:dyDescent="0.3">
      <c r="A621" s="586" t="s">
        <v>689</v>
      </c>
      <c r="B621" s="583" t="s">
        <v>1730</v>
      </c>
      <c r="C621" s="562" t="s">
        <v>1731</v>
      </c>
      <c r="D621" s="536">
        <v>20</v>
      </c>
      <c r="E621" s="411">
        <v>2</v>
      </c>
      <c r="F621" s="512">
        <v>9</v>
      </c>
      <c r="G621" s="413">
        <v>0</v>
      </c>
      <c r="H621" s="413">
        <f t="shared" si="1010"/>
        <v>1</v>
      </c>
      <c r="I621" s="414">
        <f t="shared" si="1011"/>
        <v>0</v>
      </c>
      <c r="J621" s="415">
        <f t="shared" si="1012"/>
        <v>360</v>
      </c>
      <c r="K621" s="415">
        <f t="shared" si="1013"/>
        <v>0</v>
      </c>
      <c r="L621" s="415"/>
      <c r="M621" s="415"/>
      <c r="N621" s="416">
        <v>0</v>
      </c>
      <c r="O621" s="507"/>
      <c r="P621" s="174"/>
      <c r="Q621" s="562" t="s">
        <v>1731</v>
      </c>
      <c r="R621" s="516">
        <v>20</v>
      </c>
      <c r="S621" s="411">
        <v>2</v>
      </c>
      <c r="T621" s="514">
        <v>9</v>
      </c>
      <c r="U621" s="413">
        <v>0</v>
      </c>
      <c r="V621" s="413">
        <v>1</v>
      </c>
      <c r="W621" s="419">
        <f t="shared" si="1015"/>
        <v>0</v>
      </c>
      <c r="X621" s="415">
        <f t="shared" si="1016"/>
        <v>360</v>
      </c>
      <c r="Y621" s="415">
        <f t="shared" si="1017"/>
        <v>0</v>
      </c>
      <c r="Z621" s="415"/>
      <c r="AA621" s="415"/>
      <c r="AB621" s="416">
        <v>0</v>
      </c>
      <c r="AC621" s="417"/>
      <c r="AD621" s="227"/>
      <c r="AE621" s="241" t="s">
        <v>689</v>
      </c>
      <c r="AF621" s="204" t="str">
        <f t="shared" si="977"/>
        <v>Entretien groupe éléctrogène</v>
      </c>
      <c r="AG621" s="413">
        <f t="shared" si="996"/>
        <v>0</v>
      </c>
      <c r="AH621" s="413">
        <f t="shared" si="997"/>
        <v>1</v>
      </c>
      <c r="AI621" s="419">
        <f t="shared" si="987"/>
        <v>0</v>
      </c>
      <c r="AJ621" s="419">
        <f t="shared" si="980"/>
        <v>0</v>
      </c>
      <c r="AK621" s="415">
        <f t="shared" si="988"/>
        <v>720</v>
      </c>
      <c r="AL621" s="415">
        <f t="shared" si="952"/>
        <v>720</v>
      </c>
      <c r="AM621" s="323">
        <f t="shared" si="970"/>
        <v>0</v>
      </c>
      <c r="AN621" s="323">
        <f t="shared" si="971"/>
        <v>0</v>
      </c>
      <c r="AO621" s="323">
        <f t="shared" si="972"/>
        <v>0</v>
      </c>
      <c r="AP621" s="323">
        <f t="shared" si="973"/>
        <v>0</v>
      </c>
      <c r="AQ621" s="169" t="s">
        <v>1715</v>
      </c>
      <c r="AT621" s="169"/>
      <c r="AU621" s="169"/>
    </row>
    <row r="622" spans="1:47" s="172" customFormat="1" x14ac:dyDescent="0.3">
      <c r="A622" s="586" t="s">
        <v>690</v>
      </c>
      <c r="B622" s="583" t="s">
        <v>1732</v>
      </c>
      <c r="C622" s="562" t="s">
        <v>663</v>
      </c>
      <c r="D622" s="536">
        <v>700</v>
      </c>
      <c r="E622" s="411">
        <v>5</v>
      </c>
      <c r="F622" s="512">
        <v>1</v>
      </c>
      <c r="G622" s="413">
        <v>1</v>
      </c>
      <c r="H622" s="413">
        <f t="shared" si="1010"/>
        <v>0</v>
      </c>
      <c r="I622" s="414">
        <f t="shared" si="1011"/>
        <v>3500</v>
      </c>
      <c r="J622" s="415">
        <f t="shared" si="1012"/>
        <v>0</v>
      </c>
      <c r="K622" s="415">
        <f t="shared" si="1013"/>
        <v>3500</v>
      </c>
      <c r="L622" s="415"/>
      <c r="M622" s="415"/>
      <c r="N622" s="416">
        <v>0</v>
      </c>
      <c r="O622" s="507"/>
      <c r="P622" s="174"/>
      <c r="Q622" s="562" t="s">
        <v>663</v>
      </c>
      <c r="R622" s="516">
        <v>700</v>
      </c>
      <c r="S622" s="411">
        <v>5</v>
      </c>
      <c r="T622" s="514">
        <v>1</v>
      </c>
      <c r="U622" s="413">
        <v>1</v>
      </c>
      <c r="V622" s="413">
        <f t="shared" si="1014"/>
        <v>0</v>
      </c>
      <c r="W622" s="419">
        <f t="shared" si="1015"/>
        <v>3500</v>
      </c>
      <c r="X622" s="415">
        <f t="shared" si="1016"/>
        <v>0</v>
      </c>
      <c r="Y622" s="415">
        <f t="shared" si="1017"/>
        <v>3500</v>
      </c>
      <c r="Z622" s="415"/>
      <c r="AA622" s="415"/>
      <c r="AB622" s="416">
        <v>0</v>
      </c>
      <c r="AC622" s="417"/>
      <c r="AD622" s="227"/>
      <c r="AE622" s="241" t="s">
        <v>690</v>
      </c>
      <c r="AF622" s="204" t="str">
        <f t="shared" si="977"/>
        <v>Fournitures/papeteries et consommables</v>
      </c>
      <c r="AG622" s="413">
        <f t="shared" si="996"/>
        <v>1</v>
      </c>
      <c r="AH622" s="413">
        <f t="shared" si="997"/>
        <v>0</v>
      </c>
      <c r="AI622" s="419">
        <f t="shared" si="987"/>
        <v>7000</v>
      </c>
      <c r="AJ622" s="419">
        <f t="shared" si="980"/>
        <v>0</v>
      </c>
      <c r="AK622" s="415">
        <f t="shared" si="988"/>
        <v>0</v>
      </c>
      <c r="AL622" s="415">
        <f t="shared" si="952"/>
        <v>7000</v>
      </c>
      <c r="AM622" s="323">
        <f t="shared" si="970"/>
        <v>3500</v>
      </c>
      <c r="AN622" s="323">
        <f t="shared" si="971"/>
        <v>0</v>
      </c>
      <c r="AO622" s="323">
        <f t="shared" si="972"/>
        <v>3500</v>
      </c>
      <c r="AP622" s="323">
        <f t="shared" si="973"/>
        <v>0</v>
      </c>
      <c r="AQ622" s="169" t="s">
        <v>1715</v>
      </c>
      <c r="AT622" s="169"/>
      <c r="AU622" s="169"/>
    </row>
    <row r="623" spans="1:47" s="172" customFormat="1" x14ac:dyDescent="0.3">
      <c r="A623" s="586" t="s">
        <v>692</v>
      </c>
      <c r="B623" s="583" t="s">
        <v>1733</v>
      </c>
      <c r="C623" s="562" t="s">
        <v>663</v>
      </c>
      <c r="D623" s="536">
        <v>10</v>
      </c>
      <c r="E623" s="411">
        <v>36</v>
      </c>
      <c r="F623" s="512">
        <v>9</v>
      </c>
      <c r="G623" s="413">
        <v>1</v>
      </c>
      <c r="H623" s="413">
        <f t="shared" si="1010"/>
        <v>0</v>
      </c>
      <c r="I623" s="414">
        <f t="shared" si="1011"/>
        <v>3240</v>
      </c>
      <c r="J623" s="415">
        <f t="shared" si="1012"/>
        <v>0</v>
      </c>
      <c r="K623" s="415">
        <f t="shared" si="1013"/>
        <v>3240</v>
      </c>
      <c r="L623" s="415"/>
      <c r="M623" s="415"/>
      <c r="N623" s="416">
        <v>0</v>
      </c>
      <c r="O623" s="507" t="s">
        <v>1734</v>
      </c>
      <c r="P623" s="174"/>
      <c r="Q623" s="562" t="s">
        <v>663</v>
      </c>
      <c r="R623" s="516">
        <v>10</v>
      </c>
      <c r="S623" s="411">
        <v>36</v>
      </c>
      <c r="T623" s="514">
        <v>9</v>
      </c>
      <c r="U623" s="413">
        <v>1</v>
      </c>
      <c r="V623" s="413">
        <f t="shared" si="1014"/>
        <v>0</v>
      </c>
      <c r="W623" s="419">
        <f t="shared" si="1015"/>
        <v>3240</v>
      </c>
      <c r="X623" s="415">
        <f t="shared" si="1016"/>
        <v>0</v>
      </c>
      <c r="Y623" s="415">
        <f t="shared" si="1017"/>
        <v>3240</v>
      </c>
      <c r="Z623" s="415"/>
      <c r="AA623" s="415"/>
      <c r="AB623" s="416">
        <v>0</v>
      </c>
      <c r="AC623" s="417" t="s">
        <v>1735</v>
      </c>
      <c r="AD623" s="227"/>
      <c r="AE623" s="241" t="s">
        <v>692</v>
      </c>
      <c r="AF623" s="204" t="str">
        <f t="shared" si="977"/>
        <v>Cartes pour communication</v>
      </c>
      <c r="AG623" s="413">
        <f t="shared" si="996"/>
        <v>1</v>
      </c>
      <c r="AH623" s="413">
        <f t="shared" si="997"/>
        <v>0</v>
      </c>
      <c r="AI623" s="419">
        <f t="shared" si="987"/>
        <v>6480</v>
      </c>
      <c r="AJ623" s="419">
        <f t="shared" si="980"/>
        <v>0</v>
      </c>
      <c r="AK623" s="415">
        <f t="shared" si="988"/>
        <v>0</v>
      </c>
      <c r="AL623" s="415">
        <f t="shared" si="952"/>
        <v>6480</v>
      </c>
      <c r="AM623" s="323">
        <f t="shared" si="970"/>
        <v>3240</v>
      </c>
      <c r="AN623" s="323">
        <f t="shared" si="971"/>
        <v>0</v>
      </c>
      <c r="AO623" s="323">
        <f t="shared" si="972"/>
        <v>3240</v>
      </c>
      <c r="AP623" s="323">
        <f t="shared" si="973"/>
        <v>0</v>
      </c>
      <c r="AQ623" s="169" t="s">
        <v>1715</v>
      </c>
      <c r="AT623" s="169"/>
      <c r="AU623" s="169"/>
    </row>
    <row r="624" spans="1:47" s="172" customFormat="1" ht="26" x14ac:dyDescent="0.3">
      <c r="A624" s="586" t="s">
        <v>1736</v>
      </c>
      <c r="B624" s="583" t="s">
        <v>1737</v>
      </c>
      <c r="C624" s="562" t="s">
        <v>663</v>
      </c>
      <c r="D624" s="536">
        <v>450</v>
      </c>
      <c r="E624" s="411">
        <v>2</v>
      </c>
      <c r="F624" s="512">
        <v>1</v>
      </c>
      <c r="G624" s="413">
        <v>1</v>
      </c>
      <c r="H624" s="413">
        <f t="shared" si="1010"/>
        <v>0</v>
      </c>
      <c r="I624" s="414">
        <f t="shared" si="1011"/>
        <v>900</v>
      </c>
      <c r="J624" s="415">
        <f t="shared" si="1012"/>
        <v>0</v>
      </c>
      <c r="K624" s="415">
        <f t="shared" si="1013"/>
        <v>900</v>
      </c>
      <c r="L624" s="415"/>
      <c r="M624" s="415"/>
      <c r="N624" s="416">
        <v>0</v>
      </c>
      <c r="O624" s="507" t="s">
        <v>1738</v>
      </c>
      <c r="P624" s="174"/>
      <c r="Q624" s="562" t="s">
        <v>663</v>
      </c>
      <c r="R624" s="516">
        <v>450</v>
      </c>
      <c r="S624" s="411">
        <v>2</v>
      </c>
      <c r="T624" s="514">
        <v>1</v>
      </c>
      <c r="U624" s="413">
        <v>1</v>
      </c>
      <c r="V624" s="413">
        <f t="shared" si="1014"/>
        <v>0</v>
      </c>
      <c r="W624" s="419">
        <f t="shared" si="1015"/>
        <v>900</v>
      </c>
      <c r="X624" s="415">
        <f t="shared" si="1016"/>
        <v>0</v>
      </c>
      <c r="Y624" s="415">
        <f t="shared" si="1017"/>
        <v>900</v>
      </c>
      <c r="Z624" s="415"/>
      <c r="AA624" s="415"/>
      <c r="AB624" s="416">
        <v>0</v>
      </c>
      <c r="AC624" s="417" t="s">
        <v>1738</v>
      </c>
      <c r="AD624" s="227"/>
      <c r="AE624" s="241" t="s">
        <v>1736</v>
      </c>
      <c r="AF624" s="204" t="str">
        <f t="shared" si="977"/>
        <v xml:space="preserve">Achat Kit Internet VSAT </v>
      </c>
      <c r="AG624" s="413">
        <f t="shared" si="996"/>
        <v>1</v>
      </c>
      <c r="AH624" s="413">
        <f t="shared" si="997"/>
        <v>0</v>
      </c>
      <c r="AI624" s="419">
        <f t="shared" si="987"/>
        <v>1800</v>
      </c>
      <c r="AJ624" s="419">
        <f t="shared" si="980"/>
        <v>0</v>
      </c>
      <c r="AK624" s="415">
        <f t="shared" si="988"/>
        <v>0</v>
      </c>
      <c r="AL624" s="415">
        <f t="shared" si="952"/>
        <v>1800</v>
      </c>
      <c r="AM624" s="323">
        <f t="shared" si="970"/>
        <v>900</v>
      </c>
      <c r="AN624" s="323">
        <f t="shared" si="971"/>
        <v>0</v>
      </c>
      <c r="AO624" s="323">
        <f t="shared" si="972"/>
        <v>900</v>
      </c>
      <c r="AP624" s="323">
        <f t="shared" si="973"/>
        <v>0</v>
      </c>
      <c r="AQ624" s="169" t="s">
        <v>1715</v>
      </c>
      <c r="AT624" s="169"/>
      <c r="AU624" s="169"/>
    </row>
    <row r="625" spans="1:47" s="172" customFormat="1" x14ac:dyDescent="0.3">
      <c r="A625" s="586" t="s">
        <v>1739</v>
      </c>
      <c r="B625" s="583" t="s">
        <v>662</v>
      </c>
      <c r="C625" s="562" t="s">
        <v>663</v>
      </c>
      <c r="D625" s="536">
        <v>100</v>
      </c>
      <c r="E625" s="512">
        <v>1</v>
      </c>
      <c r="F625" s="512">
        <v>9</v>
      </c>
      <c r="G625" s="413">
        <v>1</v>
      </c>
      <c r="H625" s="413">
        <f t="shared" si="1010"/>
        <v>0</v>
      </c>
      <c r="I625" s="414">
        <f t="shared" si="1011"/>
        <v>900</v>
      </c>
      <c r="J625" s="415">
        <f t="shared" si="1012"/>
        <v>0</v>
      </c>
      <c r="K625" s="415">
        <f t="shared" si="1013"/>
        <v>900</v>
      </c>
      <c r="L625" s="415"/>
      <c r="M625" s="415"/>
      <c r="N625" s="416">
        <v>0</v>
      </c>
      <c r="O625" s="507" t="s">
        <v>1740</v>
      </c>
      <c r="P625" s="174"/>
      <c r="Q625" s="562" t="s">
        <v>663</v>
      </c>
      <c r="R625" s="516">
        <v>100</v>
      </c>
      <c r="S625" s="411">
        <v>9</v>
      </c>
      <c r="T625" s="514">
        <v>1</v>
      </c>
      <c r="U625" s="413">
        <v>1</v>
      </c>
      <c r="V625" s="413">
        <f t="shared" si="1014"/>
        <v>0</v>
      </c>
      <c r="W625" s="419">
        <f t="shared" si="1015"/>
        <v>900</v>
      </c>
      <c r="X625" s="415">
        <f t="shared" si="1016"/>
        <v>0</v>
      </c>
      <c r="Y625" s="415">
        <f t="shared" si="1017"/>
        <v>900</v>
      </c>
      <c r="Z625" s="415"/>
      <c r="AA625" s="415"/>
      <c r="AB625" s="416">
        <v>0</v>
      </c>
      <c r="AC625" s="417" t="s">
        <v>1740</v>
      </c>
      <c r="AD625" s="227"/>
      <c r="AE625" s="241" t="s">
        <v>1739</v>
      </c>
      <c r="AF625" s="204" t="str">
        <f t="shared" si="977"/>
        <v xml:space="preserve">Paiement connexion </v>
      </c>
      <c r="AG625" s="413">
        <f t="shared" si="996"/>
        <v>1</v>
      </c>
      <c r="AH625" s="413">
        <f t="shared" si="997"/>
        <v>0</v>
      </c>
      <c r="AI625" s="419">
        <f t="shared" si="987"/>
        <v>1800</v>
      </c>
      <c r="AJ625" s="419">
        <f t="shared" si="980"/>
        <v>0</v>
      </c>
      <c r="AK625" s="415">
        <f t="shared" si="988"/>
        <v>0</v>
      </c>
      <c r="AL625" s="415">
        <f t="shared" si="952"/>
        <v>1800</v>
      </c>
      <c r="AM625" s="323">
        <f t="shared" si="970"/>
        <v>900</v>
      </c>
      <c r="AN625" s="323">
        <f t="shared" si="971"/>
        <v>0</v>
      </c>
      <c r="AO625" s="323">
        <f t="shared" si="972"/>
        <v>900</v>
      </c>
      <c r="AP625" s="323">
        <f t="shared" si="973"/>
        <v>0</v>
      </c>
      <c r="AQ625" s="169" t="s">
        <v>1715</v>
      </c>
      <c r="AT625" s="169"/>
      <c r="AU625" s="169"/>
    </row>
    <row r="626" spans="1:47" s="172" customFormat="1" x14ac:dyDescent="0.3">
      <c r="A626" s="586" t="s">
        <v>1741</v>
      </c>
      <c r="B626" s="583" t="s">
        <v>1742</v>
      </c>
      <c r="C626" s="562" t="s">
        <v>663</v>
      </c>
      <c r="D626" s="536">
        <v>300</v>
      </c>
      <c r="E626" s="512">
        <v>2</v>
      </c>
      <c r="F626" s="512">
        <v>9</v>
      </c>
      <c r="G626" s="413">
        <v>0</v>
      </c>
      <c r="H626" s="413">
        <f t="shared" si="1010"/>
        <v>1</v>
      </c>
      <c r="I626" s="414">
        <f t="shared" si="1011"/>
        <v>0</v>
      </c>
      <c r="J626" s="415">
        <f t="shared" si="1012"/>
        <v>5400</v>
      </c>
      <c r="K626" s="415">
        <f t="shared" si="1013"/>
        <v>0</v>
      </c>
      <c r="L626" s="415"/>
      <c r="M626" s="415"/>
      <c r="N626" s="416">
        <v>0</v>
      </c>
      <c r="O626" s="507"/>
      <c r="P626" s="174"/>
      <c r="Q626" s="562" t="s">
        <v>663</v>
      </c>
      <c r="R626" s="516">
        <v>300</v>
      </c>
      <c r="S626" s="411">
        <v>9</v>
      </c>
      <c r="T626" s="514">
        <v>2</v>
      </c>
      <c r="U626" s="413">
        <v>0</v>
      </c>
      <c r="V626" s="413">
        <f t="shared" si="1014"/>
        <v>1</v>
      </c>
      <c r="W626" s="419">
        <f t="shared" si="1015"/>
        <v>0</v>
      </c>
      <c r="X626" s="415">
        <f t="shared" si="1016"/>
        <v>5400</v>
      </c>
      <c r="Y626" s="415">
        <f t="shared" si="1017"/>
        <v>0</v>
      </c>
      <c r="Z626" s="415"/>
      <c r="AA626" s="415"/>
      <c r="AB626" s="416">
        <v>0</v>
      </c>
      <c r="AC626" s="417"/>
      <c r="AD626" s="227"/>
      <c r="AE626" s="241" t="s">
        <v>1741</v>
      </c>
      <c r="AF626" s="204" t="str">
        <f t="shared" si="977"/>
        <v>Frais maintenance generateurs</v>
      </c>
      <c r="AG626" s="413">
        <f t="shared" si="996"/>
        <v>0</v>
      </c>
      <c r="AH626" s="413">
        <f t="shared" si="997"/>
        <v>1</v>
      </c>
      <c r="AI626" s="419">
        <f t="shared" si="987"/>
        <v>0</v>
      </c>
      <c r="AJ626" s="419">
        <f t="shared" si="980"/>
        <v>0</v>
      </c>
      <c r="AK626" s="415">
        <f t="shared" si="988"/>
        <v>10800</v>
      </c>
      <c r="AL626" s="415">
        <f t="shared" si="952"/>
        <v>10800</v>
      </c>
      <c r="AM626" s="323">
        <f t="shared" si="970"/>
        <v>0</v>
      </c>
      <c r="AN626" s="323">
        <f t="shared" si="971"/>
        <v>0</v>
      </c>
      <c r="AO626" s="323">
        <f t="shared" si="972"/>
        <v>0</v>
      </c>
      <c r="AP626" s="323">
        <f t="shared" si="973"/>
        <v>0</v>
      </c>
      <c r="AQ626" s="169" t="s">
        <v>1715</v>
      </c>
      <c r="AT626" s="169"/>
      <c r="AU626" s="169"/>
    </row>
    <row r="627" spans="1:47" s="172" customFormat="1" x14ac:dyDescent="0.3">
      <c r="A627" s="586" t="s">
        <v>1743</v>
      </c>
      <c r="B627" s="583" t="s">
        <v>1744</v>
      </c>
      <c r="C627" s="562" t="s">
        <v>663</v>
      </c>
      <c r="D627" s="536">
        <v>1</v>
      </c>
      <c r="E627" s="512">
        <v>2400</v>
      </c>
      <c r="F627" s="512">
        <v>9</v>
      </c>
      <c r="G627" s="413">
        <v>1</v>
      </c>
      <c r="H627" s="413">
        <f t="shared" si="1010"/>
        <v>0</v>
      </c>
      <c r="I627" s="414">
        <f>D627*E627*F627*G627</f>
        <v>21600</v>
      </c>
      <c r="J627" s="415">
        <f t="shared" si="1012"/>
        <v>0</v>
      </c>
      <c r="K627" s="415">
        <f t="shared" si="1013"/>
        <v>21600</v>
      </c>
      <c r="L627" s="415"/>
      <c r="M627" s="415"/>
      <c r="N627" s="416">
        <v>0</v>
      </c>
      <c r="O627" s="507"/>
      <c r="P627" s="174"/>
      <c r="Q627" s="562" t="s">
        <v>663</v>
      </c>
      <c r="R627" s="516">
        <v>1</v>
      </c>
      <c r="S627" s="411">
        <v>9</v>
      </c>
      <c r="T627" s="514">
        <v>2400</v>
      </c>
      <c r="U627" s="413">
        <v>1</v>
      </c>
      <c r="V627" s="413">
        <f t="shared" si="1014"/>
        <v>0</v>
      </c>
      <c r="W627" s="419">
        <f t="shared" si="1015"/>
        <v>21600</v>
      </c>
      <c r="X627" s="415">
        <f t="shared" si="1016"/>
        <v>0</v>
      </c>
      <c r="Y627" s="415">
        <f t="shared" si="1017"/>
        <v>21600</v>
      </c>
      <c r="Z627" s="415"/>
      <c r="AA627" s="415"/>
      <c r="AB627" s="416">
        <v>0</v>
      </c>
      <c r="AC627" s="417"/>
      <c r="AD627" s="227"/>
      <c r="AE627" s="241" t="s">
        <v>1745</v>
      </c>
      <c r="AF627" s="204" t="str">
        <f t="shared" si="977"/>
        <v>Carburant/ gasual motos; vehicules et generateur</v>
      </c>
      <c r="AG627" s="413">
        <f t="shared" si="996"/>
        <v>1</v>
      </c>
      <c r="AH627" s="413">
        <f t="shared" si="997"/>
        <v>0</v>
      </c>
      <c r="AI627" s="419">
        <f t="shared" si="987"/>
        <v>43200</v>
      </c>
      <c r="AJ627" s="419">
        <f t="shared" si="980"/>
        <v>0</v>
      </c>
      <c r="AK627" s="415">
        <f t="shared" si="988"/>
        <v>0</v>
      </c>
      <c r="AL627" s="415">
        <f t="shared" si="952"/>
        <v>43200</v>
      </c>
      <c r="AM627" s="323">
        <f t="shared" si="970"/>
        <v>21600</v>
      </c>
      <c r="AN627" s="323">
        <f t="shared" si="971"/>
        <v>0</v>
      </c>
      <c r="AO627" s="323">
        <f t="shared" si="972"/>
        <v>21600</v>
      </c>
      <c r="AP627" s="323">
        <f t="shared" si="973"/>
        <v>0</v>
      </c>
      <c r="AQ627" s="169" t="s">
        <v>1715</v>
      </c>
      <c r="AT627" s="169"/>
      <c r="AU627" s="169"/>
    </row>
    <row r="628" spans="1:47" s="172" customFormat="1" ht="26" x14ac:dyDescent="0.3">
      <c r="A628" s="586" t="s">
        <v>1745</v>
      </c>
      <c r="B628" s="583" t="s">
        <v>1746</v>
      </c>
      <c r="C628" s="562" t="s">
        <v>505</v>
      </c>
      <c r="D628" s="536">
        <v>1000</v>
      </c>
      <c r="E628" s="411">
        <v>3</v>
      </c>
      <c r="F628" s="512">
        <v>1</v>
      </c>
      <c r="G628" s="413">
        <v>1</v>
      </c>
      <c r="H628" s="413">
        <f t="shared" si="1010"/>
        <v>0</v>
      </c>
      <c r="I628" s="414">
        <f t="shared" si="1011"/>
        <v>3000</v>
      </c>
      <c r="J628" s="415">
        <f t="shared" si="1012"/>
        <v>0</v>
      </c>
      <c r="K628" s="415">
        <f t="shared" si="1013"/>
        <v>3000</v>
      </c>
      <c r="L628" s="415"/>
      <c r="M628" s="415"/>
      <c r="N628" s="416">
        <v>0</v>
      </c>
      <c r="O628" s="507" t="s">
        <v>1747</v>
      </c>
      <c r="P628" s="174"/>
      <c r="Q628" s="562" t="s">
        <v>505</v>
      </c>
      <c r="R628" s="516">
        <v>1000</v>
      </c>
      <c r="S628" s="411">
        <v>3</v>
      </c>
      <c r="T628" s="514">
        <v>2</v>
      </c>
      <c r="U628" s="413">
        <v>1</v>
      </c>
      <c r="V628" s="413">
        <f t="shared" si="1014"/>
        <v>0</v>
      </c>
      <c r="W628" s="419">
        <f t="shared" si="1015"/>
        <v>6000</v>
      </c>
      <c r="X628" s="415">
        <f t="shared" si="1016"/>
        <v>0</v>
      </c>
      <c r="Y628" s="415">
        <f t="shared" si="1017"/>
        <v>6000</v>
      </c>
      <c r="Z628" s="415"/>
      <c r="AA628" s="415"/>
      <c r="AB628" s="416">
        <v>0</v>
      </c>
      <c r="AC628" s="417" t="s">
        <v>1748</v>
      </c>
      <c r="AD628" s="227"/>
      <c r="AE628" s="241" t="s">
        <v>1749</v>
      </c>
      <c r="AF628" s="204" t="str">
        <f t="shared" si="977"/>
        <v>Achat kits complet ordinateur pour équipe de la supervision et des assistants logistique (ordinateur, imprimante, disque dur,…)</v>
      </c>
      <c r="AG628" s="413">
        <f t="shared" si="996"/>
        <v>1</v>
      </c>
      <c r="AH628" s="413">
        <f t="shared" si="997"/>
        <v>0</v>
      </c>
      <c r="AI628" s="419">
        <f t="shared" si="987"/>
        <v>9000</v>
      </c>
      <c r="AJ628" s="419">
        <f t="shared" si="980"/>
        <v>0</v>
      </c>
      <c r="AK628" s="415">
        <f t="shared" si="988"/>
        <v>0</v>
      </c>
      <c r="AL628" s="415">
        <f t="shared" si="952"/>
        <v>9000</v>
      </c>
      <c r="AM628" s="323">
        <f t="shared" si="970"/>
        <v>3000</v>
      </c>
      <c r="AN628" s="323">
        <f t="shared" si="971"/>
        <v>0</v>
      </c>
      <c r="AO628" s="323">
        <f t="shared" si="972"/>
        <v>6000</v>
      </c>
      <c r="AP628" s="323">
        <f t="shared" si="973"/>
        <v>0</v>
      </c>
      <c r="AQ628" s="169" t="s">
        <v>1715</v>
      </c>
      <c r="AT628" s="169"/>
      <c r="AU628" s="169"/>
    </row>
    <row r="629" spans="1:47" s="172" customFormat="1" ht="26" x14ac:dyDescent="0.3">
      <c r="A629" s="586" t="s">
        <v>1749</v>
      </c>
      <c r="B629" s="583" t="s">
        <v>628</v>
      </c>
      <c r="C629" s="562" t="s">
        <v>1750</v>
      </c>
      <c r="D629" s="536">
        <v>1650</v>
      </c>
      <c r="E629" s="411">
        <v>2</v>
      </c>
      <c r="F629" s="512">
        <v>1</v>
      </c>
      <c r="G629" s="413">
        <v>1</v>
      </c>
      <c r="H629" s="413">
        <f t="shared" si="1010"/>
        <v>0</v>
      </c>
      <c r="I629" s="414">
        <f t="shared" si="1011"/>
        <v>3300</v>
      </c>
      <c r="J629" s="415">
        <f t="shared" si="1012"/>
        <v>0</v>
      </c>
      <c r="K629" s="415">
        <f t="shared" si="1013"/>
        <v>3300</v>
      </c>
      <c r="L629" s="415"/>
      <c r="M629" s="415"/>
      <c r="N629" s="416">
        <v>0</v>
      </c>
      <c r="O629" s="507" t="s">
        <v>1751</v>
      </c>
      <c r="P629" s="174"/>
      <c r="Q629" s="562" t="s">
        <v>1750</v>
      </c>
      <c r="R629" s="516">
        <v>1650</v>
      </c>
      <c r="S629" s="411">
        <v>2</v>
      </c>
      <c r="T629" s="514">
        <v>2</v>
      </c>
      <c r="U629" s="413">
        <v>1</v>
      </c>
      <c r="V629" s="413">
        <f t="shared" si="1014"/>
        <v>0</v>
      </c>
      <c r="W629" s="419">
        <f t="shared" si="1015"/>
        <v>6600</v>
      </c>
      <c r="X629" s="415">
        <f t="shared" si="1016"/>
        <v>0</v>
      </c>
      <c r="Y629" s="415">
        <f t="shared" si="1017"/>
        <v>6600</v>
      </c>
      <c r="Z629" s="415"/>
      <c r="AA629" s="415"/>
      <c r="AB629" s="416">
        <v>0</v>
      </c>
      <c r="AC629" s="417" t="s">
        <v>1751</v>
      </c>
      <c r="AD629" s="227"/>
      <c r="AE629" s="241" t="s">
        <v>1752</v>
      </c>
      <c r="AF629" s="204" t="str">
        <f t="shared" si="977"/>
        <v xml:space="preserve">Achat Groupe electrogene </v>
      </c>
      <c r="AG629" s="413">
        <f t="shared" si="996"/>
        <v>1</v>
      </c>
      <c r="AH629" s="413">
        <f t="shared" si="997"/>
        <v>0</v>
      </c>
      <c r="AI629" s="419">
        <f t="shared" si="987"/>
        <v>9900</v>
      </c>
      <c r="AJ629" s="419">
        <f t="shared" si="980"/>
        <v>0</v>
      </c>
      <c r="AK629" s="415">
        <f t="shared" si="988"/>
        <v>0</v>
      </c>
      <c r="AL629" s="415">
        <f t="shared" si="952"/>
        <v>9900</v>
      </c>
      <c r="AM629" s="323">
        <f t="shared" si="970"/>
        <v>3300</v>
      </c>
      <c r="AN629" s="323">
        <f t="shared" si="971"/>
        <v>0</v>
      </c>
      <c r="AO629" s="323">
        <f t="shared" si="972"/>
        <v>6600</v>
      </c>
      <c r="AP629" s="323">
        <f t="shared" si="973"/>
        <v>0</v>
      </c>
      <c r="AQ629" s="169" t="s">
        <v>1715</v>
      </c>
      <c r="AT629" s="169"/>
      <c r="AU629" s="169"/>
    </row>
    <row r="630" spans="1:47" s="172" customFormat="1" ht="26" x14ac:dyDescent="0.3">
      <c r="A630" s="586" t="s">
        <v>1752</v>
      </c>
      <c r="B630" s="583" t="s">
        <v>1753</v>
      </c>
      <c r="C630" s="562" t="s">
        <v>1754</v>
      </c>
      <c r="D630" s="536">
        <v>5000</v>
      </c>
      <c r="E630" s="411">
        <v>12</v>
      </c>
      <c r="F630" s="512">
        <v>1</v>
      </c>
      <c r="G630" s="413">
        <v>1</v>
      </c>
      <c r="H630" s="413">
        <f t="shared" si="1010"/>
        <v>0</v>
      </c>
      <c r="I630" s="414">
        <f t="shared" si="1011"/>
        <v>60000</v>
      </c>
      <c r="J630" s="415">
        <f t="shared" si="1012"/>
        <v>0</v>
      </c>
      <c r="K630" s="415">
        <f t="shared" si="1013"/>
        <v>60000</v>
      </c>
      <c r="L630" s="415"/>
      <c r="M630" s="415"/>
      <c r="N630" s="416">
        <v>0</v>
      </c>
      <c r="O630" s="507" t="s">
        <v>1755</v>
      </c>
      <c r="P630" s="174"/>
      <c r="Q630" s="562" t="s">
        <v>1754</v>
      </c>
      <c r="R630" s="516">
        <v>5000</v>
      </c>
      <c r="S630" s="411">
        <v>12</v>
      </c>
      <c r="T630" s="514">
        <v>1</v>
      </c>
      <c r="U630" s="413">
        <v>1</v>
      </c>
      <c r="V630" s="413">
        <f t="shared" si="1014"/>
        <v>0</v>
      </c>
      <c r="W630" s="419">
        <f t="shared" si="1015"/>
        <v>60000</v>
      </c>
      <c r="X630" s="415">
        <f t="shared" si="1016"/>
        <v>0</v>
      </c>
      <c r="Y630" s="415">
        <f t="shared" si="1017"/>
        <v>60000</v>
      </c>
      <c r="Z630" s="415"/>
      <c r="AA630" s="415"/>
      <c r="AB630" s="416">
        <v>0</v>
      </c>
      <c r="AC630" s="417" t="s">
        <v>1756</v>
      </c>
      <c r="AD630" s="227"/>
      <c r="AE630" s="241" t="s">
        <v>1757</v>
      </c>
      <c r="AF630" s="204" t="str">
        <f t="shared" si="977"/>
        <v>Achat motos Yamaha DT-125</v>
      </c>
      <c r="AG630" s="413">
        <f t="shared" si="996"/>
        <v>1</v>
      </c>
      <c r="AH630" s="413">
        <f t="shared" si="997"/>
        <v>0</v>
      </c>
      <c r="AI630" s="419">
        <f t="shared" si="987"/>
        <v>120000</v>
      </c>
      <c r="AJ630" s="419">
        <f t="shared" si="980"/>
        <v>0</v>
      </c>
      <c r="AK630" s="415">
        <f t="shared" si="988"/>
        <v>0</v>
      </c>
      <c r="AL630" s="415">
        <f t="shared" si="952"/>
        <v>120000</v>
      </c>
      <c r="AM630" s="323">
        <f t="shared" si="970"/>
        <v>60000</v>
      </c>
      <c r="AN630" s="323">
        <f t="shared" si="971"/>
        <v>0</v>
      </c>
      <c r="AO630" s="323">
        <f t="shared" si="972"/>
        <v>60000</v>
      </c>
      <c r="AP630" s="323">
        <f t="shared" si="973"/>
        <v>0</v>
      </c>
      <c r="AQ630" s="169" t="s">
        <v>1715</v>
      </c>
      <c r="AT630" s="169"/>
      <c r="AU630" s="169"/>
    </row>
    <row r="631" spans="1:47" s="172" customFormat="1" ht="26" x14ac:dyDescent="0.3">
      <c r="A631" s="586" t="s">
        <v>1757</v>
      </c>
      <c r="B631" s="583" t="s">
        <v>1758</v>
      </c>
      <c r="C631" s="562" t="s">
        <v>1759</v>
      </c>
      <c r="D631" s="536">
        <v>600</v>
      </c>
      <c r="E631" s="411">
        <v>1</v>
      </c>
      <c r="F631" s="512">
        <v>3</v>
      </c>
      <c r="G631" s="413">
        <v>1</v>
      </c>
      <c r="H631" s="413">
        <f t="shared" si="1010"/>
        <v>0</v>
      </c>
      <c r="I631" s="414">
        <f t="shared" si="1011"/>
        <v>1800</v>
      </c>
      <c r="J631" s="415">
        <f t="shared" si="1012"/>
        <v>0</v>
      </c>
      <c r="K631" s="415">
        <f t="shared" si="1013"/>
        <v>1800</v>
      </c>
      <c r="L631" s="415"/>
      <c r="M631" s="415"/>
      <c r="N631" s="416">
        <v>0</v>
      </c>
      <c r="O631" s="507" t="s">
        <v>1760</v>
      </c>
      <c r="P631" s="174"/>
      <c r="Q631" s="562" t="s">
        <v>1759</v>
      </c>
      <c r="R631" s="516">
        <v>600</v>
      </c>
      <c r="S631" s="411">
        <v>1</v>
      </c>
      <c r="T631" s="514">
        <v>6</v>
      </c>
      <c r="U631" s="413">
        <v>1</v>
      </c>
      <c r="V631" s="413">
        <f t="shared" si="1014"/>
        <v>0</v>
      </c>
      <c r="W631" s="419">
        <f t="shared" si="1015"/>
        <v>3600</v>
      </c>
      <c r="X631" s="415">
        <f t="shared" si="1016"/>
        <v>0</v>
      </c>
      <c r="Y631" s="415">
        <f t="shared" si="1017"/>
        <v>3600</v>
      </c>
      <c r="Z631" s="415"/>
      <c r="AA631" s="415"/>
      <c r="AB631" s="416">
        <v>0</v>
      </c>
      <c r="AC631" s="417" t="s">
        <v>1760</v>
      </c>
      <c r="AD631" s="227"/>
      <c r="AE631" s="241" t="s">
        <v>1761</v>
      </c>
      <c r="AF631" s="204" t="str">
        <f t="shared" si="977"/>
        <v>Achat GPS Garmin 60C</v>
      </c>
      <c r="AG631" s="413">
        <f t="shared" si="996"/>
        <v>1</v>
      </c>
      <c r="AH631" s="413">
        <f t="shared" si="997"/>
        <v>0</v>
      </c>
      <c r="AI631" s="419">
        <f t="shared" si="987"/>
        <v>5400</v>
      </c>
      <c r="AJ631" s="419">
        <f t="shared" ref="AJ631:AJ662" si="1018">N631+AB631</f>
        <v>0</v>
      </c>
      <c r="AK631" s="415">
        <f t="shared" si="988"/>
        <v>0</v>
      </c>
      <c r="AL631" s="415">
        <f t="shared" si="952"/>
        <v>5400</v>
      </c>
      <c r="AM631" s="323">
        <f t="shared" si="970"/>
        <v>1800</v>
      </c>
      <c r="AN631" s="323">
        <f t="shared" si="971"/>
        <v>0</v>
      </c>
      <c r="AO631" s="323">
        <f t="shared" si="972"/>
        <v>3600</v>
      </c>
      <c r="AP631" s="323">
        <f t="shared" si="973"/>
        <v>0</v>
      </c>
      <c r="AQ631" s="169" t="s">
        <v>1715</v>
      </c>
      <c r="AT631" s="169"/>
      <c r="AU631" s="169"/>
    </row>
    <row r="632" spans="1:47" s="172" customFormat="1" x14ac:dyDescent="0.3">
      <c r="A632" s="586" t="s">
        <v>1761</v>
      </c>
      <c r="B632" s="583" t="s">
        <v>1762</v>
      </c>
      <c r="C632" s="562" t="s">
        <v>1763</v>
      </c>
      <c r="D632" s="536">
        <v>1500</v>
      </c>
      <c r="E632" s="411">
        <v>1</v>
      </c>
      <c r="F632" s="512">
        <v>9</v>
      </c>
      <c r="G632" s="413">
        <v>1</v>
      </c>
      <c r="H632" s="413">
        <f t="shared" si="1010"/>
        <v>0</v>
      </c>
      <c r="I632" s="414">
        <f t="shared" si="1011"/>
        <v>13500</v>
      </c>
      <c r="J632" s="415">
        <f t="shared" si="1012"/>
        <v>0</v>
      </c>
      <c r="K632" s="415">
        <f t="shared" si="1013"/>
        <v>13500</v>
      </c>
      <c r="L632" s="415"/>
      <c r="M632" s="415"/>
      <c r="N632" s="416">
        <v>0</v>
      </c>
      <c r="O632" s="507"/>
      <c r="P632" s="174"/>
      <c r="Q632" s="562" t="s">
        <v>1763</v>
      </c>
      <c r="R632" s="516">
        <v>1500</v>
      </c>
      <c r="S632" s="411">
        <v>11</v>
      </c>
      <c r="T632" s="514">
        <v>1</v>
      </c>
      <c r="U632" s="413">
        <v>1</v>
      </c>
      <c r="V632" s="413">
        <f t="shared" si="1014"/>
        <v>0</v>
      </c>
      <c r="W632" s="419">
        <f t="shared" si="1015"/>
        <v>16500</v>
      </c>
      <c r="X632" s="415">
        <f t="shared" si="1016"/>
        <v>0</v>
      </c>
      <c r="Y632" s="415">
        <f t="shared" si="1017"/>
        <v>16500</v>
      </c>
      <c r="Z632" s="415"/>
      <c r="AA632" s="415"/>
      <c r="AB632" s="416">
        <v>0</v>
      </c>
      <c r="AC632" s="417"/>
      <c r="AD632" s="227"/>
      <c r="AE632" s="241" t="s">
        <v>1764</v>
      </c>
      <c r="AF632" s="204" t="str">
        <f t="shared" si="977"/>
        <v>Appui au loyer du bureau de Goma (pour le BDD) (5%)</v>
      </c>
      <c r="AG632" s="413">
        <f t="shared" si="996"/>
        <v>1</v>
      </c>
      <c r="AH632" s="413">
        <f t="shared" si="997"/>
        <v>0</v>
      </c>
      <c r="AI632" s="419">
        <f t="shared" si="987"/>
        <v>30000</v>
      </c>
      <c r="AJ632" s="419">
        <f t="shared" si="1018"/>
        <v>0</v>
      </c>
      <c r="AK632" s="415">
        <f t="shared" si="988"/>
        <v>0</v>
      </c>
      <c r="AL632" s="415">
        <f t="shared" si="952"/>
        <v>30000</v>
      </c>
      <c r="AM632" s="323">
        <f t="shared" si="970"/>
        <v>13500</v>
      </c>
      <c r="AN632" s="323">
        <f t="shared" si="971"/>
        <v>0</v>
      </c>
      <c r="AO632" s="323">
        <f t="shared" si="972"/>
        <v>16500</v>
      </c>
      <c r="AP632" s="323">
        <f t="shared" si="973"/>
        <v>0</v>
      </c>
      <c r="AQ632" s="169" t="s">
        <v>1715</v>
      </c>
      <c r="AT632" s="169"/>
      <c r="AU632" s="169"/>
    </row>
    <row r="633" spans="1:47" s="172" customFormat="1" x14ac:dyDescent="0.3">
      <c r="A633" s="586" t="s">
        <v>1764</v>
      </c>
      <c r="B633" s="583" t="s">
        <v>1765</v>
      </c>
      <c r="C633" s="562" t="s">
        <v>1727</v>
      </c>
      <c r="D633" s="536">
        <v>500</v>
      </c>
      <c r="E633" s="411">
        <v>2</v>
      </c>
      <c r="F633" s="512">
        <v>9</v>
      </c>
      <c r="G633" s="413">
        <v>1</v>
      </c>
      <c r="H633" s="413">
        <f t="shared" si="1010"/>
        <v>0</v>
      </c>
      <c r="I633" s="414">
        <f t="shared" si="1011"/>
        <v>9000</v>
      </c>
      <c r="J633" s="415">
        <f t="shared" si="1012"/>
        <v>0</v>
      </c>
      <c r="K633" s="415">
        <f t="shared" si="1013"/>
        <v>9000</v>
      </c>
      <c r="L633" s="415"/>
      <c r="M633" s="415"/>
      <c r="N633" s="416">
        <v>0</v>
      </c>
      <c r="O633" s="507"/>
      <c r="P633" s="174"/>
      <c r="Q633" s="562" t="s">
        <v>1727</v>
      </c>
      <c r="R633" s="516">
        <v>500</v>
      </c>
      <c r="S633" s="411">
        <v>2</v>
      </c>
      <c r="T633" s="514">
        <v>11</v>
      </c>
      <c r="U633" s="413">
        <v>1</v>
      </c>
      <c r="V633" s="413">
        <f t="shared" si="1014"/>
        <v>0</v>
      </c>
      <c r="W633" s="419">
        <f t="shared" si="1015"/>
        <v>11000</v>
      </c>
      <c r="X633" s="415">
        <f t="shared" si="1016"/>
        <v>0</v>
      </c>
      <c r="Y633" s="415">
        <f t="shared" si="1017"/>
        <v>11000</v>
      </c>
      <c r="Z633" s="415"/>
      <c r="AA633" s="415"/>
      <c r="AB633" s="416">
        <v>0</v>
      </c>
      <c r="AC633" s="417"/>
      <c r="AD633" s="227"/>
      <c r="AE633" s="241" t="s">
        <v>1766</v>
      </c>
      <c r="AF633" s="204" t="str">
        <f t="shared" si="977"/>
        <v>Location bases terrains</v>
      </c>
      <c r="AG633" s="413">
        <f t="shared" si="996"/>
        <v>1</v>
      </c>
      <c r="AH633" s="413">
        <f t="shared" si="997"/>
        <v>0</v>
      </c>
      <c r="AI633" s="419">
        <f t="shared" si="987"/>
        <v>20000</v>
      </c>
      <c r="AJ633" s="419">
        <f t="shared" si="1018"/>
        <v>0</v>
      </c>
      <c r="AK633" s="415">
        <f t="shared" si="988"/>
        <v>0</v>
      </c>
      <c r="AL633" s="415">
        <f t="shared" si="952"/>
        <v>20000</v>
      </c>
      <c r="AM633" s="323">
        <f t="shared" si="970"/>
        <v>9000</v>
      </c>
      <c r="AN633" s="323">
        <f t="shared" si="971"/>
        <v>0</v>
      </c>
      <c r="AO633" s="323">
        <f t="shared" si="972"/>
        <v>11000</v>
      </c>
      <c r="AP633" s="323">
        <f t="shared" si="973"/>
        <v>0</v>
      </c>
      <c r="AQ633" s="169" t="s">
        <v>1715</v>
      </c>
      <c r="AT633" s="169"/>
      <c r="AU633" s="169"/>
    </row>
    <row r="634" spans="1:47" s="172" customFormat="1" ht="26" x14ac:dyDescent="0.3">
      <c r="A634" s="586" t="s">
        <v>1767</v>
      </c>
      <c r="B634" s="583" t="s">
        <v>1768</v>
      </c>
      <c r="C634" s="562" t="s">
        <v>1769</v>
      </c>
      <c r="D634" s="536">
        <v>80</v>
      </c>
      <c r="E634" s="411">
        <v>2</v>
      </c>
      <c r="F634" s="587">
        <v>202.5</v>
      </c>
      <c r="G634" s="413">
        <v>1</v>
      </c>
      <c r="H634" s="413">
        <f t="shared" si="1010"/>
        <v>0</v>
      </c>
      <c r="I634" s="414">
        <f t="shared" si="1011"/>
        <v>32400</v>
      </c>
      <c r="J634" s="415">
        <f t="shared" si="1012"/>
        <v>0</v>
      </c>
      <c r="K634" s="415">
        <f t="shared" si="1013"/>
        <v>32400</v>
      </c>
      <c r="L634" s="415"/>
      <c r="M634" s="415"/>
      <c r="N634" s="416">
        <v>0</v>
      </c>
      <c r="O634" s="507" t="s">
        <v>1770</v>
      </c>
      <c r="P634" s="174"/>
      <c r="Q634" s="562" t="s">
        <v>1769</v>
      </c>
      <c r="R634" s="516">
        <v>80</v>
      </c>
      <c r="S634" s="411">
        <v>2</v>
      </c>
      <c r="T634" s="514">
        <v>202.5</v>
      </c>
      <c r="U634" s="413">
        <v>1</v>
      </c>
      <c r="V634" s="413">
        <f t="shared" si="1014"/>
        <v>0</v>
      </c>
      <c r="W634" s="419">
        <f t="shared" si="1015"/>
        <v>32400</v>
      </c>
      <c r="X634" s="415">
        <f t="shared" si="1016"/>
        <v>0</v>
      </c>
      <c r="Y634" s="415">
        <f t="shared" si="1017"/>
        <v>32400</v>
      </c>
      <c r="Z634" s="415"/>
      <c r="AA634" s="415"/>
      <c r="AB634" s="416">
        <v>0</v>
      </c>
      <c r="AC634" s="417" t="s">
        <v>1771</v>
      </c>
      <c r="AD634" s="227"/>
      <c r="AE634" s="241" t="s">
        <v>1772</v>
      </c>
      <c r="AF634" s="204" t="str">
        <f t="shared" si="977"/>
        <v>Location Vehicule pour la supervision</v>
      </c>
      <c r="AG634" s="413">
        <f t="shared" si="996"/>
        <v>1</v>
      </c>
      <c r="AH634" s="413">
        <f t="shared" si="997"/>
        <v>0</v>
      </c>
      <c r="AI634" s="419">
        <f t="shared" si="987"/>
        <v>64800</v>
      </c>
      <c r="AJ634" s="419">
        <f t="shared" si="1018"/>
        <v>0</v>
      </c>
      <c r="AK634" s="415">
        <f t="shared" si="988"/>
        <v>0</v>
      </c>
      <c r="AL634" s="415">
        <f t="shared" si="952"/>
        <v>64800</v>
      </c>
      <c r="AM634" s="323">
        <f t="shared" si="970"/>
        <v>32400</v>
      </c>
      <c r="AN634" s="323">
        <f t="shared" si="971"/>
        <v>0</v>
      </c>
      <c r="AO634" s="323">
        <f t="shared" si="972"/>
        <v>32400</v>
      </c>
      <c r="AP634" s="323">
        <f t="shared" si="973"/>
        <v>0</v>
      </c>
      <c r="AQ634" s="169" t="s">
        <v>1715</v>
      </c>
      <c r="AT634" s="169"/>
      <c r="AU634" s="169"/>
    </row>
    <row r="635" spans="1:47" s="172" customFormat="1" x14ac:dyDescent="0.3">
      <c r="A635" s="586" t="s">
        <v>1772</v>
      </c>
      <c r="B635" s="583" t="s">
        <v>625</v>
      </c>
      <c r="C635" s="562" t="s">
        <v>626</v>
      </c>
      <c r="D635" s="536">
        <v>200</v>
      </c>
      <c r="E635" s="411">
        <v>1</v>
      </c>
      <c r="F635" s="512">
        <v>9</v>
      </c>
      <c r="G635" s="413">
        <v>1</v>
      </c>
      <c r="H635" s="413">
        <f t="shared" si="1010"/>
        <v>0</v>
      </c>
      <c r="I635" s="414">
        <f t="shared" si="1011"/>
        <v>1800</v>
      </c>
      <c r="J635" s="415">
        <f t="shared" si="1012"/>
        <v>0</v>
      </c>
      <c r="K635" s="415">
        <f t="shared" si="1013"/>
        <v>1800</v>
      </c>
      <c r="L635" s="415"/>
      <c r="M635" s="415"/>
      <c r="N635" s="416">
        <v>0</v>
      </c>
      <c r="O635" s="507"/>
      <c r="P635" s="174"/>
      <c r="Q635" s="562" t="s">
        <v>626</v>
      </c>
      <c r="R635" s="516">
        <v>200</v>
      </c>
      <c r="S635" s="411">
        <v>1</v>
      </c>
      <c r="T635" s="514">
        <v>9</v>
      </c>
      <c r="U635" s="413">
        <v>1</v>
      </c>
      <c r="V635" s="413">
        <f t="shared" si="1014"/>
        <v>0</v>
      </c>
      <c r="W635" s="419">
        <f t="shared" si="1015"/>
        <v>1800</v>
      </c>
      <c r="X635" s="415">
        <f t="shared" si="1016"/>
        <v>0</v>
      </c>
      <c r="Y635" s="415">
        <f t="shared" si="1017"/>
        <v>1800</v>
      </c>
      <c r="Z635" s="415"/>
      <c r="AA635" s="415"/>
      <c r="AB635" s="416">
        <v>0</v>
      </c>
      <c r="AC635" s="417"/>
      <c r="AD635" s="227"/>
      <c r="AE635" s="241" t="s">
        <v>1773</v>
      </c>
      <c r="AF635" s="204" t="str">
        <f t="shared" si="977"/>
        <v xml:space="preserve">Location dépôt </v>
      </c>
      <c r="AG635" s="413">
        <f t="shared" si="996"/>
        <v>1</v>
      </c>
      <c r="AH635" s="413">
        <f t="shared" si="997"/>
        <v>0</v>
      </c>
      <c r="AI635" s="419">
        <f t="shared" si="987"/>
        <v>3600</v>
      </c>
      <c r="AJ635" s="419">
        <f t="shared" si="1018"/>
        <v>0</v>
      </c>
      <c r="AK635" s="415">
        <f t="shared" si="988"/>
        <v>0</v>
      </c>
      <c r="AL635" s="415">
        <f t="shared" si="952"/>
        <v>3600</v>
      </c>
      <c r="AM635" s="323">
        <f t="shared" si="970"/>
        <v>1800</v>
      </c>
      <c r="AN635" s="323">
        <f t="shared" si="971"/>
        <v>0</v>
      </c>
      <c r="AO635" s="323">
        <f t="shared" si="972"/>
        <v>1800</v>
      </c>
      <c r="AP635" s="323">
        <f t="shared" si="973"/>
        <v>0</v>
      </c>
      <c r="AQ635" s="169" t="s">
        <v>1715</v>
      </c>
      <c r="AT635" s="169"/>
      <c r="AU635" s="169"/>
    </row>
    <row r="636" spans="1:47" s="172" customFormat="1" x14ac:dyDescent="0.3">
      <c r="A636" s="586" t="s">
        <v>1773</v>
      </c>
      <c r="B636" s="583" t="s">
        <v>627</v>
      </c>
      <c r="C636" s="562" t="s">
        <v>505</v>
      </c>
      <c r="D636" s="536">
        <v>50</v>
      </c>
      <c r="E636" s="411">
        <v>1</v>
      </c>
      <c r="F636" s="512">
        <v>9</v>
      </c>
      <c r="G636" s="413">
        <v>1</v>
      </c>
      <c r="H636" s="413">
        <f t="shared" si="1010"/>
        <v>0</v>
      </c>
      <c r="I636" s="414">
        <f t="shared" si="1011"/>
        <v>450</v>
      </c>
      <c r="J636" s="415">
        <f t="shared" si="1012"/>
        <v>0</v>
      </c>
      <c r="K636" s="415">
        <f t="shared" si="1013"/>
        <v>450</v>
      </c>
      <c r="L636" s="415"/>
      <c r="M636" s="415"/>
      <c r="N636" s="416">
        <v>0</v>
      </c>
      <c r="O636" s="507"/>
      <c r="P636" s="174"/>
      <c r="Q636" s="562" t="s">
        <v>505</v>
      </c>
      <c r="R636" s="516">
        <v>50</v>
      </c>
      <c r="S636" s="411">
        <v>1</v>
      </c>
      <c r="T636" s="514">
        <v>11</v>
      </c>
      <c r="U636" s="413">
        <v>1</v>
      </c>
      <c r="V636" s="413">
        <f t="shared" si="1014"/>
        <v>0</v>
      </c>
      <c r="W636" s="419">
        <f t="shared" si="1015"/>
        <v>550</v>
      </c>
      <c r="X636" s="415">
        <f t="shared" si="1016"/>
        <v>0</v>
      </c>
      <c r="Y636" s="415">
        <f t="shared" si="1017"/>
        <v>550</v>
      </c>
      <c r="Z636" s="415"/>
      <c r="AA636" s="415"/>
      <c r="AB636" s="416">
        <v>0</v>
      </c>
      <c r="AC636" s="417"/>
      <c r="AD636" s="227"/>
      <c r="AE636" s="241" t="s">
        <v>1774</v>
      </c>
      <c r="AF636" s="204" t="str">
        <f t="shared" si="977"/>
        <v xml:space="preserve">KIT PPE </v>
      </c>
      <c r="AG636" s="413">
        <f t="shared" si="996"/>
        <v>1</v>
      </c>
      <c r="AH636" s="413">
        <f t="shared" si="997"/>
        <v>0</v>
      </c>
      <c r="AI636" s="419">
        <f t="shared" si="987"/>
        <v>1000</v>
      </c>
      <c r="AJ636" s="419">
        <f t="shared" si="1018"/>
        <v>0</v>
      </c>
      <c r="AK636" s="415">
        <f t="shared" si="988"/>
        <v>0</v>
      </c>
      <c r="AL636" s="415">
        <f t="shared" si="952"/>
        <v>1000</v>
      </c>
      <c r="AM636" s="323">
        <f t="shared" si="970"/>
        <v>450</v>
      </c>
      <c r="AN636" s="323">
        <f t="shared" si="971"/>
        <v>0</v>
      </c>
      <c r="AO636" s="323">
        <f t="shared" si="972"/>
        <v>550</v>
      </c>
      <c r="AP636" s="323">
        <f t="shared" si="973"/>
        <v>0</v>
      </c>
      <c r="AQ636" s="169" t="s">
        <v>1715</v>
      </c>
      <c r="AT636" s="169"/>
      <c r="AU636" s="169"/>
    </row>
    <row r="637" spans="1:47" s="181" customFormat="1" ht="27" customHeight="1" x14ac:dyDescent="0.3">
      <c r="A637" s="473" t="s">
        <v>290</v>
      </c>
      <c r="B637" s="474" t="s">
        <v>647</v>
      </c>
      <c r="C637" s="473"/>
      <c r="D637" s="475"/>
      <c r="E637" s="476"/>
      <c r="F637" s="476"/>
      <c r="G637" s="477"/>
      <c r="H637" s="477"/>
      <c r="I637" s="478">
        <f>I638+I650</f>
        <v>91450.9</v>
      </c>
      <c r="J637" s="534">
        <f t="shared" ref="J637:N637" si="1019">J650+J638</f>
        <v>94454.1</v>
      </c>
      <c r="K637" s="534">
        <f t="shared" si="1019"/>
        <v>35396.254545454547</v>
      </c>
      <c r="L637" s="534">
        <f t="shared" si="1019"/>
        <v>35396.254545454547</v>
      </c>
      <c r="M637" s="534">
        <f t="shared" si="1019"/>
        <v>20658.390909090907</v>
      </c>
      <c r="N637" s="478">
        <f t="shared" si="1019"/>
        <v>0</v>
      </c>
      <c r="O637" s="479"/>
      <c r="Q637" s="473"/>
      <c r="R637" s="475"/>
      <c r="S637" s="476"/>
      <c r="T637" s="476"/>
      <c r="U637" s="477"/>
      <c r="V637" s="477"/>
      <c r="W637" s="534">
        <f>W650+W638</f>
        <v>90920.9</v>
      </c>
      <c r="X637" s="534">
        <f t="shared" ref="X637:Y637" si="1020">X650+X638</f>
        <v>94004.1</v>
      </c>
      <c r="Y637" s="534">
        <f t="shared" si="1020"/>
        <v>71383.16</v>
      </c>
      <c r="Z637" s="534">
        <f t="shared" ref="Z637:AB637" si="1021">Z650+Z638</f>
        <v>9768.869999999999</v>
      </c>
      <c r="AA637" s="534">
        <f t="shared" si="1021"/>
        <v>9768.869999999999</v>
      </c>
      <c r="AB637" s="478">
        <f t="shared" si="1021"/>
        <v>0</v>
      </c>
      <c r="AC637" s="479"/>
      <c r="AD637" s="232"/>
      <c r="AE637" s="338" t="s">
        <v>290</v>
      </c>
      <c r="AF637" s="245" t="str">
        <f t="shared" si="977"/>
        <v>Couts operationnels C4D</v>
      </c>
      <c r="AG637" s="477">
        <f t="shared" si="996"/>
        <v>0.49179354421163335</v>
      </c>
      <c r="AH637" s="477">
        <f t="shared" si="997"/>
        <v>0.50820645578836665</v>
      </c>
      <c r="AI637" s="534">
        <f t="shared" ref="AI637:AI668" si="1022">I637+W637</f>
        <v>182371.8</v>
      </c>
      <c r="AJ637" s="534">
        <f t="shared" si="1018"/>
        <v>0</v>
      </c>
      <c r="AK637" s="534">
        <f t="shared" ref="AK637:AK668" si="1023">J637+X637</f>
        <v>188458.2</v>
      </c>
      <c r="AL637" s="534">
        <f t="shared" si="952"/>
        <v>370830</v>
      </c>
      <c r="AM637" s="321">
        <f t="shared" si="970"/>
        <v>91450.9</v>
      </c>
      <c r="AN637" s="321">
        <f t="shared" si="971"/>
        <v>0</v>
      </c>
      <c r="AO637" s="321">
        <f t="shared" si="972"/>
        <v>90920.9</v>
      </c>
      <c r="AP637" s="321">
        <f t="shared" si="973"/>
        <v>0</v>
      </c>
      <c r="AU637" s="340"/>
    </row>
    <row r="638" spans="1:47" ht="12.75" customHeight="1" x14ac:dyDescent="0.3">
      <c r="A638" s="480" t="s">
        <v>1775</v>
      </c>
      <c r="B638" s="861" t="s">
        <v>644</v>
      </c>
      <c r="C638" s="862"/>
      <c r="D638" s="862"/>
      <c r="E638" s="862"/>
      <c r="F638" s="862"/>
      <c r="G638" s="862"/>
      <c r="H638" s="863"/>
      <c r="I638" s="481">
        <f>SUM(I639:I649)</f>
        <v>32562.9</v>
      </c>
      <c r="J638" s="482">
        <f>SUM(J639:J649)</f>
        <v>83429.100000000006</v>
      </c>
      <c r="K638" s="482">
        <f t="shared" ref="K638:M638" si="1024">SUM(K639:K649)</f>
        <v>11841.054545454546</v>
      </c>
      <c r="L638" s="482">
        <f t="shared" si="1024"/>
        <v>11841.054545454546</v>
      </c>
      <c r="M638" s="482">
        <f t="shared" si="1024"/>
        <v>8880.7909090909088</v>
      </c>
      <c r="N638" s="481">
        <f>SUM(N639:N649)</f>
        <v>0</v>
      </c>
      <c r="O638" s="508"/>
      <c r="Q638" s="538"/>
      <c r="R638" s="539"/>
      <c r="S638" s="538"/>
      <c r="T638" s="539"/>
      <c r="U638" s="539"/>
      <c r="V638" s="484"/>
      <c r="W638" s="482">
        <f>SUM(W639:W649)</f>
        <v>32562.9</v>
      </c>
      <c r="X638" s="482">
        <f>SUM(X639:X649)</f>
        <v>83429.100000000006</v>
      </c>
      <c r="Y638" s="482">
        <f t="shared" ref="Y638" si="1025">SUM(Y639:Y649)</f>
        <v>13025.16</v>
      </c>
      <c r="Z638" s="482">
        <f t="shared" ref="Z638:AA638" si="1026">SUM(Z639:Z649)</f>
        <v>9768.869999999999</v>
      </c>
      <c r="AA638" s="482">
        <f t="shared" si="1026"/>
        <v>9768.869999999999</v>
      </c>
      <c r="AB638" s="481">
        <f>SUM(AB639:AB649)</f>
        <v>0</v>
      </c>
      <c r="AC638" s="508"/>
      <c r="AD638" s="234"/>
      <c r="AE638" s="247" t="s">
        <v>1775</v>
      </c>
      <c r="AF638" s="204" t="str">
        <f t="shared" si="977"/>
        <v>Salaires du personnel qui travaille indirectement sur le programme (Directeur Pays, M&amp;E, Logisticien etc) avec % prorata</v>
      </c>
      <c r="AG638" s="485">
        <f t="shared" si="996"/>
        <v>0.28073401613904408</v>
      </c>
      <c r="AH638" s="485">
        <f t="shared" si="997"/>
        <v>0.71926598386095597</v>
      </c>
      <c r="AI638" s="482">
        <f t="shared" si="1022"/>
        <v>65125.8</v>
      </c>
      <c r="AJ638" s="482">
        <f t="shared" si="1018"/>
        <v>0</v>
      </c>
      <c r="AK638" s="482">
        <f t="shared" si="1023"/>
        <v>166858.20000000001</v>
      </c>
      <c r="AL638" s="482">
        <f t="shared" si="952"/>
        <v>231984</v>
      </c>
      <c r="AM638" s="314">
        <f t="shared" si="970"/>
        <v>32562.9</v>
      </c>
      <c r="AN638" s="314">
        <f t="shared" si="971"/>
        <v>0</v>
      </c>
      <c r="AO638" s="314">
        <f t="shared" si="972"/>
        <v>32562.9</v>
      </c>
      <c r="AP638" s="314">
        <f t="shared" si="973"/>
        <v>0</v>
      </c>
      <c r="AU638" s="177"/>
    </row>
    <row r="639" spans="1:47" s="169" customFormat="1" x14ac:dyDescent="0.3">
      <c r="A639" s="588">
        <v>1</v>
      </c>
      <c r="B639" s="517" t="s">
        <v>1776</v>
      </c>
      <c r="C639" s="589" t="s">
        <v>124</v>
      </c>
      <c r="D639" s="536">
        <v>2000</v>
      </c>
      <c r="E639" s="411">
        <v>1</v>
      </c>
      <c r="F639" s="512">
        <v>9</v>
      </c>
      <c r="G639" s="486">
        <v>0.25</v>
      </c>
      <c r="H639" s="486">
        <f t="shared" ref="H639:H649" si="1027">100%-G639</f>
        <v>0.75</v>
      </c>
      <c r="I639" s="416">
        <f t="shared" ref="I639:I649" si="1028">D639*E639*F639*G639</f>
        <v>4500</v>
      </c>
      <c r="J639" s="487">
        <f t="shared" ref="J639:J649" si="1029">D639*E639*F639*H639</f>
        <v>13500</v>
      </c>
      <c r="K639" s="487">
        <f t="shared" ref="K639:K649" si="1030">I639*4/11</f>
        <v>1636.3636363636363</v>
      </c>
      <c r="L639" s="487">
        <f t="shared" ref="L639:L649" si="1031">I639*4/11</f>
        <v>1636.3636363636363</v>
      </c>
      <c r="M639" s="487">
        <f t="shared" ref="M639:M649" si="1032">I639*3/11</f>
        <v>1227.2727272727273</v>
      </c>
      <c r="N639" s="416">
        <v>0</v>
      </c>
      <c r="O639" s="507" t="s">
        <v>1777</v>
      </c>
      <c r="P639" s="171"/>
      <c r="Q639" s="589" t="s">
        <v>124</v>
      </c>
      <c r="R639" s="516">
        <v>2000</v>
      </c>
      <c r="S639" s="411">
        <v>1</v>
      </c>
      <c r="T639" s="514">
        <v>9</v>
      </c>
      <c r="U639" s="486">
        <v>0.25</v>
      </c>
      <c r="V639" s="486">
        <f t="shared" ref="V639:V649" si="1033">100%-U639</f>
        <v>0.75</v>
      </c>
      <c r="W639" s="506">
        <f t="shared" ref="W639:W649" si="1034">R639*S639*T639*U639</f>
        <v>4500</v>
      </c>
      <c r="X639" s="487">
        <f t="shared" ref="X639:X649" si="1035">R639*S639*T639*V639</f>
        <v>13500</v>
      </c>
      <c r="Y639" s="529">
        <f t="shared" ref="Y639:Y649" si="1036">W639*40/100</f>
        <v>1800</v>
      </c>
      <c r="Z639" s="529">
        <f t="shared" ref="Z639:Z649" si="1037">W639*30/100</f>
        <v>1350</v>
      </c>
      <c r="AA639" s="529">
        <f t="shared" ref="AA639:AA649" si="1038">W639*30/100</f>
        <v>1350</v>
      </c>
      <c r="AB639" s="416">
        <v>0</v>
      </c>
      <c r="AC639" s="417" t="s">
        <v>1777</v>
      </c>
      <c r="AD639" s="227"/>
      <c r="AE639" s="241">
        <v>1</v>
      </c>
      <c r="AF639" s="204" t="str">
        <f t="shared" si="977"/>
        <v xml:space="preserve">Coordonnateur National (25%) </v>
      </c>
      <c r="AG639" s="486">
        <f t="shared" si="996"/>
        <v>0.25</v>
      </c>
      <c r="AH639" s="486">
        <f t="shared" si="997"/>
        <v>0.75</v>
      </c>
      <c r="AI639" s="506">
        <f t="shared" si="1022"/>
        <v>9000</v>
      </c>
      <c r="AJ639" s="506">
        <f t="shared" si="1018"/>
        <v>0</v>
      </c>
      <c r="AK639" s="487">
        <f t="shared" si="1023"/>
        <v>27000</v>
      </c>
      <c r="AL639" s="487">
        <f t="shared" ref="AL639:AL686" si="1039">AI639+AJ639+AK639</f>
        <v>36000</v>
      </c>
      <c r="AM639" s="316">
        <f t="shared" si="970"/>
        <v>4500</v>
      </c>
      <c r="AN639" s="316">
        <f t="shared" si="971"/>
        <v>0</v>
      </c>
      <c r="AO639" s="316">
        <f t="shared" si="972"/>
        <v>4500</v>
      </c>
      <c r="AP639" s="316">
        <f t="shared" si="973"/>
        <v>0</v>
      </c>
      <c r="AQ639" s="169" t="s">
        <v>1153</v>
      </c>
    </row>
    <row r="640" spans="1:47" s="169" customFormat="1" x14ac:dyDescent="0.3">
      <c r="A640" s="588">
        <v>2</v>
      </c>
      <c r="B640" s="590" t="s">
        <v>1778</v>
      </c>
      <c r="C640" s="591" t="s">
        <v>124</v>
      </c>
      <c r="D640" s="536">
        <v>1800</v>
      </c>
      <c r="E640" s="411">
        <v>1</v>
      </c>
      <c r="F640" s="512">
        <v>9</v>
      </c>
      <c r="G640" s="486">
        <v>0.25</v>
      </c>
      <c r="H640" s="486">
        <f t="shared" si="1027"/>
        <v>0.75</v>
      </c>
      <c r="I640" s="416">
        <f t="shared" si="1028"/>
        <v>4050</v>
      </c>
      <c r="J640" s="487">
        <f t="shared" si="1029"/>
        <v>12150</v>
      </c>
      <c r="K640" s="487">
        <f t="shared" si="1030"/>
        <v>1472.7272727272727</v>
      </c>
      <c r="L640" s="487">
        <f t="shared" si="1031"/>
        <v>1472.7272727272727</v>
      </c>
      <c r="M640" s="487">
        <f t="shared" si="1032"/>
        <v>1104.5454545454545</v>
      </c>
      <c r="N640" s="416">
        <v>0</v>
      </c>
      <c r="O640" s="507" t="s">
        <v>1779</v>
      </c>
      <c r="P640" s="171"/>
      <c r="Q640" s="591" t="s">
        <v>124</v>
      </c>
      <c r="R640" s="516">
        <v>1800</v>
      </c>
      <c r="S640" s="411">
        <v>1</v>
      </c>
      <c r="T640" s="514">
        <v>9</v>
      </c>
      <c r="U640" s="486">
        <v>0.25</v>
      </c>
      <c r="V640" s="486">
        <f t="shared" si="1033"/>
        <v>0.75</v>
      </c>
      <c r="W640" s="506">
        <f t="shared" si="1034"/>
        <v>4050</v>
      </c>
      <c r="X640" s="487">
        <f t="shared" si="1035"/>
        <v>12150</v>
      </c>
      <c r="Y640" s="529">
        <f t="shared" si="1036"/>
        <v>1620</v>
      </c>
      <c r="Z640" s="529">
        <f t="shared" si="1037"/>
        <v>1215</v>
      </c>
      <c r="AA640" s="529">
        <f t="shared" si="1038"/>
        <v>1215</v>
      </c>
      <c r="AB640" s="416">
        <v>0</v>
      </c>
      <c r="AC640" s="417" t="s">
        <v>1779</v>
      </c>
      <c r="AD640" s="227"/>
      <c r="AE640" s="241">
        <v>2</v>
      </c>
      <c r="AF640" s="204" t="str">
        <f t="shared" si="977"/>
        <v>Charge de programme (25%)</v>
      </c>
      <c r="AG640" s="486">
        <f t="shared" si="996"/>
        <v>0.25</v>
      </c>
      <c r="AH640" s="486">
        <f t="shared" si="997"/>
        <v>0.75</v>
      </c>
      <c r="AI640" s="506">
        <f t="shared" si="1022"/>
        <v>8100</v>
      </c>
      <c r="AJ640" s="506">
        <f t="shared" si="1018"/>
        <v>0</v>
      </c>
      <c r="AK640" s="487">
        <f t="shared" si="1023"/>
        <v>24300</v>
      </c>
      <c r="AL640" s="487">
        <f t="shared" si="1039"/>
        <v>32400</v>
      </c>
      <c r="AM640" s="316">
        <f t="shared" si="970"/>
        <v>4050</v>
      </c>
      <c r="AN640" s="316">
        <f t="shared" si="971"/>
        <v>0</v>
      </c>
      <c r="AO640" s="316">
        <f t="shared" si="972"/>
        <v>4050</v>
      </c>
      <c r="AP640" s="316">
        <f t="shared" si="973"/>
        <v>0</v>
      </c>
      <c r="AQ640" s="169" t="s">
        <v>1153</v>
      </c>
    </row>
    <row r="641" spans="1:47" s="169" customFormat="1" x14ac:dyDescent="0.3">
      <c r="A641" s="588">
        <v>3</v>
      </c>
      <c r="B641" s="590" t="s">
        <v>1780</v>
      </c>
      <c r="C641" s="591" t="s">
        <v>124</v>
      </c>
      <c r="D641" s="536">
        <v>1200</v>
      </c>
      <c r="E641" s="411">
        <v>1</v>
      </c>
      <c r="F641" s="512">
        <v>9</v>
      </c>
      <c r="G641" s="486">
        <v>0.4</v>
      </c>
      <c r="H641" s="486">
        <f t="shared" si="1027"/>
        <v>0.6</v>
      </c>
      <c r="I641" s="416">
        <f t="shared" si="1028"/>
        <v>4320</v>
      </c>
      <c r="J641" s="487">
        <f t="shared" si="1029"/>
        <v>6480</v>
      </c>
      <c r="K641" s="487">
        <f t="shared" si="1030"/>
        <v>1570.909090909091</v>
      </c>
      <c r="L641" s="487">
        <f t="shared" si="1031"/>
        <v>1570.909090909091</v>
      </c>
      <c r="M641" s="487">
        <f t="shared" si="1032"/>
        <v>1178.1818181818182</v>
      </c>
      <c r="N641" s="416">
        <v>0</v>
      </c>
      <c r="O641" s="507" t="s">
        <v>1781</v>
      </c>
      <c r="P641" s="171"/>
      <c r="Q641" s="591" t="s">
        <v>124</v>
      </c>
      <c r="R641" s="516">
        <v>1200</v>
      </c>
      <c r="S641" s="411">
        <v>1</v>
      </c>
      <c r="T641" s="514">
        <v>9</v>
      </c>
      <c r="U641" s="486">
        <v>0.4</v>
      </c>
      <c r="V641" s="486">
        <f t="shared" si="1033"/>
        <v>0.6</v>
      </c>
      <c r="W641" s="506">
        <f t="shared" si="1034"/>
        <v>4320</v>
      </c>
      <c r="X641" s="487">
        <f t="shared" si="1035"/>
        <v>6480</v>
      </c>
      <c r="Y641" s="529">
        <f t="shared" si="1036"/>
        <v>1728</v>
      </c>
      <c r="Z641" s="529">
        <f t="shared" si="1037"/>
        <v>1296</v>
      </c>
      <c r="AA641" s="529">
        <f t="shared" si="1038"/>
        <v>1296</v>
      </c>
      <c r="AB641" s="416">
        <v>0</v>
      </c>
      <c r="AC641" s="417" t="s">
        <v>1781</v>
      </c>
      <c r="AD641" s="227"/>
      <c r="AE641" s="241">
        <v>3</v>
      </c>
      <c r="AF641" s="204" t="str">
        <f t="shared" si="977"/>
        <v>Charge de suivi et evaluation (40%)</v>
      </c>
      <c r="AG641" s="486">
        <f t="shared" si="996"/>
        <v>0.4</v>
      </c>
      <c r="AH641" s="486">
        <f t="shared" si="997"/>
        <v>0.6</v>
      </c>
      <c r="AI641" s="506">
        <f t="shared" si="1022"/>
        <v>8640</v>
      </c>
      <c r="AJ641" s="506">
        <f t="shared" si="1018"/>
        <v>0</v>
      </c>
      <c r="AK641" s="487">
        <f t="shared" si="1023"/>
        <v>12960</v>
      </c>
      <c r="AL641" s="487">
        <f t="shared" si="1039"/>
        <v>21600</v>
      </c>
      <c r="AM641" s="316">
        <f t="shared" si="970"/>
        <v>4320</v>
      </c>
      <c r="AN641" s="316">
        <f t="shared" si="971"/>
        <v>0</v>
      </c>
      <c r="AO641" s="316">
        <f t="shared" si="972"/>
        <v>4320</v>
      </c>
      <c r="AP641" s="316">
        <f t="shared" si="973"/>
        <v>0</v>
      </c>
      <c r="AQ641" s="169" t="s">
        <v>1153</v>
      </c>
    </row>
    <row r="642" spans="1:47" s="169" customFormat="1" x14ac:dyDescent="0.3">
      <c r="A642" s="588">
        <v>4</v>
      </c>
      <c r="B642" s="590" t="s">
        <v>1782</v>
      </c>
      <c r="C642" s="591" t="s">
        <v>124</v>
      </c>
      <c r="D642" s="536">
        <v>1800</v>
      </c>
      <c r="E642" s="411">
        <v>1</v>
      </c>
      <c r="F642" s="512">
        <v>9</v>
      </c>
      <c r="G642" s="486">
        <v>0.25</v>
      </c>
      <c r="H642" s="486">
        <f t="shared" si="1027"/>
        <v>0.75</v>
      </c>
      <c r="I642" s="416">
        <f t="shared" si="1028"/>
        <v>4050</v>
      </c>
      <c r="J642" s="487">
        <f t="shared" si="1029"/>
        <v>12150</v>
      </c>
      <c r="K642" s="487">
        <f t="shared" si="1030"/>
        <v>1472.7272727272727</v>
      </c>
      <c r="L642" s="487">
        <f t="shared" si="1031"/>
        <v>1472.7272727272727</v>
      </c>
      <c r="M642" s="487">
        <f t="shared" si="1032"/>
        <v>1104.5454545454545</v>
      </c>
      <c r="N642" s="416">
        <v>0</v>
      </c>
      <c r="O642" s="507" t="s">
        <v>1783</v>
      </c>
      <c r="P642" s="171"/>
      <c r="Q642" s="591" t="s">
        <v>124</v>
      </c>
      <c r="R642" s="516">
        <v>1800</v>
      </c>
      <c r="S642" s="411">
        <v>1</v>
      </c>
      <c r="T642" s="514">
        <v>9</v>
      </c>
      <c r="U642" s="486">
        <v>0.25</v>
      </c>
      <c r="V642" s="486">
        <f t="shared" si="1033"/>
        <v>0.75</v>
      </c>
      <c r="W642" s="506">
        <f t="shared" si="1034"/>
        <v>4050</v>
      </c>
      <c r="X642" s="487">
        <f t="shared" si="1035"/>
        <v>12150</v>
      </c>
      <c r="Y642" s="529">
        <f t="shared" si="1036"/>
        <v>1620</v>
      </c>
      <c r="Z642" s="529">
        <f t="shared" si="1037"/>
        <v>1215</v>
      </c>
      <c r="AA642" s="529">
        <f t="shared" si="1038"/>
        <v>1215</v>
      </c>
      <c r="AB642" s="416">
        <v>0</v>
      </c>
      <c r="AC642" s="417" t="s">
        <v>1783</v>
      </c>
      <c r="AD642" s="227"/>
      <c r="AE642" s="241">
        <v>4</v>
      </c>
      <c r="AF642" s="204" t="str">
        <f t="shared" si="977"/>
        <v>Charge de Ressources humaines  (25%)</v>
      </c>
      <c r="AG642" s="486">
        <f t="shared" ref="AG642:AG686" si="1040">AI642/($AI642+$AK642)</f>
        <v>0.25</v>
      </c>
      <c r="AH642" s="486">
        <f t="shared" ref="AH642:AH686" si="1041">AK642/($AI642+$AK642)</f>
        <v>0.75</v>
      </c>
      <c r="AI642" s="506">
        <f t="shared" si="1022"/>
        <v>8100</v>
      </c>
      <c r="AJ642" s="506">
        <f t="shared" si="1018"/>
        <v>0</v>
      </c>
      <c r="AK642" s="487">
        <f t="shared" si="1023"/>
        <v>24300</v>
      </c>
      <c r="AL642" s="487">
        <f t="shared" si="1039"/>
        <v>32400</v>
      </c>
      <c r="AM642" s="316">
        <f t="shared" si="970"/>
        <v>4050</v>
      </c>
      <c r="AN642" s="316">
        <f t="shared" si="971"/>
        <v>0</v>
      </c>
      <c r="AO642" s="316">
        <f t="shared" si="972"/>
        <v>4050</v>
      </c>
      <c r="AP642" s="316">
        <f t="shared" si="973"/>
        <v>0</v>
      </c>
      <c r="AQ642" s="169" t="s">
        <v>1153</v>
      </c>
    </row>
    <row r="643" spans="1:47" s="169" customFormat="1" x14ac:dyDescent="0.3">
      <c r="A643" s="588">
        <v>5</v>
      </c>
      <c r="B643" s="517" t="s">
        <v>1784</v>
      </c>
      <c r="C643" s="589" t="s">
        <v>124</v>
      </c>
      <c r="D643" s="536">
        <v>1200</v>
      </c>
      <c r="E643" s="411">
        <v>1</v>
      </c>
      <c r="F643" s="512">
        <v>9</v>
      </c>
      <c r="G643" s="486">
        <v>0.3</v>
      </c>
      <c r="H643" s="486">
        <f t="shared" si="1027"/>
        <v>0.7</v>
      </c>
      <c r="I643" s="416">
        <f t="shared" si="1028"/>
        <v>3240</v>
      </c>
      <c r="J643" s="487">
        <f t="shared" si="1029"/>
        <v>7559.9999999999991</v>
      </c>
      <c r="K643" s="487">
        <f t="shared" si="1030"/>
        <v>1178.1818181818182</v>
      </c>
      <c r="L643" s="487">
        <f t="shared" si="1031"/>
        <v>1178.1818181818182</v>
      </c>
      <c r="M643" s="487">
        <f t="shared" si="1032"/>
        <v>883.63636363636363</v>
      </c>
      <c r="N643" s="416">
        <v>0</v>
      </c>
      <c r="O643" s="507" t="s">
        <v>1785</v>
      </c>
      <c r="P643" s="171"/>
      <c r="Q643" s="589" t="s">
        <v>124</v>
      </c>
      <c r="R643" s="516">
        <v>1200</v>
      </c>
      <c r="S643" s="411">
        <v>1</v>
      </c>
      <c r="T643" s="514">
        <v>9</v>
      </c>
      <c r="U643" s="486">
        <v>0.3</v>
      </c>
      <c r="V643" s="486">
        <f t="shared" si="1033"/>
        <v>0.7</v>
      </c>
      <c r="W643" s="506">
        <f t="shared" si="1034"/>
        <v>3240</v>
      </c>
      <c r="X643" s="487">
        <f t="shared" si="1035"/>
        <v>7559.9999999999991</v>
      </c>
      <c r="Y643" s="529">
        <f t="shared" si="1036"/>
        <v>1296</v>
      </c>
      <c r="Z643" s="529">
        <f t="shared" si="1037"/>
        <v>972</v>
      </c>
      <c r="AA643" s="529">
        <f t="shared" si="1038"/>
        <v>972</v>
      </c>
      <c r="AB643" s="416">
        <v>0</v>
      </c>
      <c r="AC643" s="417" t="s">
        <v>1785</v>
      </c>
      <c r="AD643" s="227"/>
      <c r="AE643" s="241">
        <v>5</v>
      </c>
      <c r="AF643" s="204" t="str">
        <f t="shared" si="977"/>
        <v>Logisticien (30%)</v>
      </c>
      <c r="AG643" s="486">
        <f t="shared" si="1040"/>
        <v>0.3</v>
      </c>
      <c r="AH643" s="486">
        <f t="shared" si="1041"/>
        <v>0.7</v>
      </c>
      <c r="AI643" s="506">
        <f t="shared" si="1022"/>
        <v>6480</v>
      </c>
      <c r="AJ643" s="506">
        <f t="shared" si="1018"/>
        <v>0</v>
      </c>
      <c r="AK643" s="487">
        <f t="shared" si="1023"/>
        <v>15119.999999999998</v>
      </c>
      <c r="AL643" s="487">
        <f t="shared" si="1039"/>
        <v>21600</v>
      </c>
      <c r="AM643" s="316">
        <f t="shared" si="970"/>
        <v>3240</v>
      </c>
      <c r="AN643" s="316">
        <f t="shared" si="971"/>
        <v>0</v>
      </c>
      <c r="AO643" s="316">
        <f t="shared" si="972"/>
        <v>3240</v>
      </c>
      <c r="AP643" s="316">
        <f t="shared" si="973"/>
        <v>0</v>
      </c>
      <c r="AQ643" s="169" t="s">
        <v>1153</v>
      </c>
    </row>
    <row r="644" spans="1:47" s="169" customFormat="1" x14ac:dyDescent="0.3">
      <c r="A644" s="588">
        <v>6</v>
      </c>
      <c r="B644" s="590" t="s">
        <v>1786</v>
      </c>
      <c r="C644" s="591" t="s">
        <v>124</v>
      </c>
      <c r="D644" s="536">
        <v>600</v>
      </c>
      <c r="E644" s="411">
        <v>1</v>
      </c>
      <c r="F644" s="512">
        <v>9</v>
      </c>
      <c r="G644" s="486">
        <v>0.3</v>
      </c>
      <c r="H644" s="486">
        <f t="shared" si="1027"/>
        <v>0.7</v>
      </c>
      <c r="I644" s="416">
        <f t="shared" si="1028"/>
        <v>1620</v>
      </c>
      <c r="J644" s="487">
        <f t="shared" si="1029"/>
        <v>3779.9999999999995</v>
      </c>
      <c r="K644" s="487">
        <f t="shared" si="1030"/>
        <v>589.09090909090912</v>
      </c>
      <c r="L644" s="487">
        <f t="shared" si="1031"/>
        <v>589.09090909090912</v>
      </c>
      <c r="M644" s="487">
        <f t="shared" si="1032"/>
        <v>441.81818181818181</v>
      </c>
      <c r="N644" s="416">
        <v>0</v>
      </c>
      <c r="O644" s="507" t="s">
        <v>1787</v>
      </c>
      <c r="P644" s="171"/>
      <c r="Q644" s="591" t="s">
        <v>124</v>
      </c>
      <c r="R644" s="516">
        <v>600</v>
      </c>
      <c r="S644" s="411">
        <v>1</v>
      </c>
      <c r="T644" s="514">
        <v>9</v>
      </c>
      <c r="U644" s="486">
        <v>0.3</v>
      </c>
      <c r="V644" s="486">
        <f t="shared" si="1033"/>
        <v>0.7</v>
      </c>
      <c r="W644" s="506">
        <f t="shared" si="1034"/>
        <v>1620</v>
      </c>
      <c r="X644" s="487">
        <f t="shared" si="1035"/>
        <v>3779.9999999999995</v>
      </c>
      <c r="Y644" s="529">
        <f t="shared" si="1036"/>
        <v>648</v>
      </c>
      <c r="Z644" s="529">
        <f t="shared" si="1037"/>
        <v>486</v>
      </c>
      <c r="AA644" s="529">
        <f t="shared" si="1038"/>
        <v>486</v>
      </c>
      <c r="AB644" s="416">
        <v>0</v>
      </c>
      <c r="AC644" s="417" t="s">
        <v>1787</v>
      </c>
      <c r="AD644" s="227"/>
      <c r="AE644" s="241">
        <v>6</v>
      </c>
      <c r="AF644" s="204" t="str">
        <f t="shared" si="977"/>
        <v>Caissière (30%)</v>
      </c>
      <c r="AG644" s="486">
        <f t="shared" si="1040"/>
        <v>0.3</v>
      </c>
      <c r="AH644" s="486">
        <f t="shared" si="1041"/>
        <v>0.7</v>
      </c>
      <c r="AI644" s="506">
        <f t="shared" si="1022"/>
        <v>3240</v>
      </c>
      <c r="AJ644" s="506">
        <f t="shared" si="1018"/>
        <v>0</v>
      </c>
      <c r="AK644" s="487">
        <f t="shared" si="1023"/>
        <v>7559.9999999999991</v>
      </c>
      <c r="AL644" s="487">
        <f t="shared" si="1039"/>
        <v>10800</v>
      </c>
      <c r="AM644" s="316">
        <f t="shared" si="970"/>
        <v>1620</v>
      </c>
      <c r="AN644" s="316">
        <f t="shared" si="971"/>
        <v>0</v>
      </c>
      <c r="AO644" s="316">
        <f t="shared" si="972"/>
        <v>1620</v>
      </c>
      <c r="AP644" s="316">
        <f t="shared" si="973"/>
        <v>0</v>
      </c>
      <c r="AQ644" s="169" t="s">
        <v>1153</v>
      </c>
    </row>
    <row r="645" spans="1:47" s="169" customFormat="1" x14ac:dyDescent="0.3">
      <c r="A645" s="588">
        <v>7</v>
      </c>
      <c r="B645" s="590" t="s">
        <v>1788</v>
      </c>
      <c r="C645" s="591" t="s">
        <v>124</v>
      </c>
      <c r="D645" s="536">
        <v>705</v>
      </c>
      <c r="E645" s="411">
        <v>1</v>
      </c>
      <c r="F645" s="512">
        <v>9</v>
      </c>
      <c r="G645" s="486">
        <v>0.3</v>
      </c>
      <c r="H645" s="486">
        <f t="shared" si="1027"/>
        <v>0.7</v>
      </c>
      <c r="I645" s="416">
        <f t="shared" si="1028"/>
        <v>1903.5</v>
      </c>
      <c r="J645" s="487">
        <f t="shared" si="1029"/>
        <v>4441.5</v>
      </c>
      <c r="K645" s="487">
        <f t="shared" si="1030"/>
        <v>692.18181818181813</v>
      </c>
      <c r="L645" s="487">
        <f t="shared" si="1031"/>
        <v>692.18181818181813</v>
      </c>
      <c r="M645" s="487">
        <f t="shared" si="1032"/>
        <v>519.13636363636363</v>
      </c>
      <c r="N645" s="416">
        <v>0</v>
      </c>
      <c r="O645" s="507" t="s">
        <v>1789</v>
      </c>
      <c r="P645" s="171"/>
      <c r="Q645" s="591" t="s">
        <v>124</v>
      </c>
      <c r="R645" s="516">
        <v>705</v>
      </c>
      <c r="S645" s="411">
        <v>1</v>
      </c>
      <c r="T645" s="514">
        <v>9</v>
      </c>
      <c r="U645" s="486">
        <v>0.3</v>
      </c>
      <c r="V645" s="486">
        <f t="shared" si="1033"/>
        <v>0.7</v>
      </c>
      <c r="W645" s="506">
        <f t="shared" si="1034"/>
        <v>1903.5</v>
      </c>
      <c r="X645" s="487">
        <f t="shared" si="1035"/>
        <v>4441.5</v>
      </c>
      <c r="Y645" s="529">
        <f t="shared" si="1036"/>
        <v>761.4</v>
      </c>
      <c r="Z645" s="529">
        <f t="shared" si="1037"/>
        <v>571.04999999999995</v>
      </c>
      <c r="AA645" s="529">
        <f t="shared" si="1038"/>
        <v>571.04999999999995</v>
      </c>
      <c r="AB645" s="416">
        <v>0</v>
      </c>
      <c r="AC645" s="417" t="s">
        <v>1789</v>
      </c>
      <c r="AD645" s="227"/>
      <c r="AE645" s="241">
        <v>7</v>
      </c>
      <c r="AF645" s="204" t="str">
        <f t="shared" si="977"/>
        <v>Chargé de communication et plaidoyer (30%)</v>
      </c>
      <c r="AG645" s="486">
        <f t="shared" si="1040"/>
        <v>0.3</v>
      </c>
      <c r="AH645" s="486">
        <f t="shared" si="1041"/>
        <v>0.7</v>
      </c>
      <c r="AI645" s="506">
        <f t="shared" si="1022"/>
        <v>3807</v>
      </c>
      <c r="AJ645" s="506">
        <f t="shared" si="1018"/>
        <v>0</v>
      </c>
      <c r="AK645" s="487">
        <f t="shared" si="1023"/>
        <v>8883</v>
      </c>
      <c r="AL645" s="487">
        <f t="shared" si="1039"/>
        <v>12690</v>
      </c>
      <c r="AM645" s="316">
        <f t="shared" si="970"/>
        <v>1903.5</v>
      </c>
      <c r="AN645" s="316">
        <f t="shared" si="971"/>
        <v>0</v>
      </c>
      <c r="AO645" s="316">
        <f t="shared" si="972"/>
        <v>1903.5</v>
      </c>
      <c r="AP645" s="316">
        <f t="shared" si="973"/>
        <v>0</v>
      </c>
      <c r="AQ645" s="169" t="s">
        <v>1153</v>
      </c>
    </row>
    <row r="646" spans="1:47" s="169" customFormat="1" x14ac:dyDescent="0.3">
      <c r="A646" s="588">
        <v>8</v>
      </c>
      <c r="B646" s="590" t="s">
        <v>1790</v>
      </c>
      <c r="C646" s="591" t="s">
        <v>124</v>
      </c>
      <c r="D646" s="536">
        <v>1500</v>
      </c>
      <c r="E646" s="411">
        <v>1</v>
      </c>
      <c r="F646" s="512">
        <v>9</v>
      </c>
      <c r="G646" s="486">
        <v>0.3</v>
      </c>
      <c r="H646" s="486">
        <f t="shared" si="1027"/>
        <v>0.7</v>
      </c>
      <c r="I646" s="416">
        <f t="shared" si="1028"/>
        <v>4050</v>
      </c>
      <c r="J646" s="487">
        <f t="shared" si="1029"/>
        <v>9450</v>
      </c>
      <c r="K646" s="487">
        <f t="shared" si="1030"/>
        <v>1472.7272727272727</v>
      </c>
      <c r="L646" s="487">
        <f t="shared" si="1031"/>
        <v>1472.7272727272727</v>
      </c>
      <c r="M646" s="487">
        <f t="shared" si="1032"/>
        <v>1104.5454545454545</v>
      </c>
      <c r="N646" s="416">
        <v>0</v>
      </c>
      <c r="O646" s="507" t="s">
        <v>1791</v>
      </c>
      <c r="P646" s="171"/>
      <c r="Q646" s="591" t="s">
        <v>124</v>
      </c>
      <c r="R646" s="516">
        <v>1500</v>
      </c>
      <c r="S646" s="411">
        <v>1</v>
      </c>
      <c r="T646" s="514">
        <v>9</v>
      </c>
      <c r="U646" s="486">
        <v>0.3</v>
      </c>
      <c r="V646" s="486">
        <f t="shared" si="1033"/>
        <v>0.7</v>
      </c>
      <c r="W646" s="506">
        <f t="shared" si="1034"/>
        <v>4050</v>
      </c>
      <c r="X646" s="487">
        <f t="shared" si="1035"/>
        <v>9450</v>
      </c>
      <c r="Y646" s="529">
        <f t="shared" si="1036"/>
        <v>1620</v>
      </c>
      <c r="Z646" s="529">
        <f t="shared" si="1037"/>
        <v>1215</v>
      </c>
      <c r="AA646" s="529">
        <f t="shared" si="1038"/>
        <v>1215</v>
      </c>
      <c r="AB646" s="416">
        <v>0</v>
      </c>
      <c r="AC646" s="417" t="s">
        <v>1791</v>
      </c>
      <c r="AD646" s="227"/>
      <c r="AE646" s="241">
        <v>8</v>
      </c>
      <c r="AF646" s="204" t="str">
        <f t="shared" si="977"/>
        <v>Comptable du bureau de la Coordination (30%)</v>
      </c>
      <c r="AG646" s="486">
        <f t="shared" si="1040"/>
        <v>0.3</v>
      </c>
      <c r="AH646" s="486">
        <f t="shared" si="1041"/>
        <v>0.7</v>
      </c>
      <c r="AI646" s="506">
        <f t="shared" si="1022"/>
        <v>8100</v>
      </c>
      <c r="AJ646" s="506">
        <f t="shared" si="1018"/>
        <v>0</v>
      </c>
      <c r="AK646" s="487">
        <f t="shared" si="1023"/>
        <v>18900</v>
      </c>
      <c r="AL646" s="487">
        <f t="shared" si="1039"/>
        <v>27000</v>
      </c>
      <c r="AM646" s="316">
        <f t="shared" si="970"/>
        <v>4050</v>
      </c>
      <c r="AN646" s="316">
        <f t="shared" si="971"/>
        <v>0</v>
      </c>
      <c r="AO646" s="316">
        <f t="shared" si="972"/>
        <v>4050</v>
      </c>
      <c r="AP646" s="316">
        <f t="shared" si="973"/>
        <v>0</v>
      </c>
      <c r="AQ646" s="169" t="s">
        <v>1153</v>
      </c>
    </row>
    <row r="647" spans="1:47" s="169" customFormat="1" x14ac:dyDescent="0.3">
      <c r="A647" s="588">
        <v>9</v>
      </c>
      <c r="B647" s="517" t="s">
        <v>1792</v>
      </c>
      <c r="C647" s="589" t="s">
        <v>124</v>
      </c>
      <c r="D647" s="536">
        <v>317</v>
      </c>
      <c r="E647" s="411">
        <v>1</v>
      </c>
      <c r="F647" s="512">
        <v>9</v>
      </c>
      <c r="G647" s="486">
        <v>0.3</v>
      </c>
      <c r="H647" s="486">
        <f t="shared" si="1027"/>
        <v>0.7</v>
      </c>
      <c r="I647" s="416">
        <f t="shared" si="1028"/>
        <v>855.9</v>
      </c>
      <c r="J647" s="487">
        <f t="shared" si="1029"/>
        <v>1997.1</v>
      </c>
      <c r="K647" s="487">
        <f t="shared" si="1030"/>
        <v>311.23636363636365</v>
      </c>
      <c r="L647" s="487">
        <f t="shared" si="1031"/>
        <v>311.23636363636365</v>
      </c>
      <c r="M647" s="487">
        <f t="shared" si="1032"/>
        <v>233.42727272727271</v>
      </c>
      <c r="N647" s="416">
        <v>0</v>
      </c>
      <c r="O647" s="507" t="s">
        <v>1793</v>
      </c>
      <c r="P647" s="171"/>
      <c r="Q647" s="589" t="s">
        <v>124</v>
      </c>
      <c r="R647" s="516">
        <v>317</v>
      </c>
      <c r="S647" s="411">
        <v>1</v>
      </c>
      <c r="T647" s="514">
        <v>9</v>
      </c>
      <c r="U647" s="486">
        <v>0.3</v>
      </c>
      <c r="V647" s="486">
        <f t="shared" si="1033"/>
        <v>0.7</v>
      </c>
      <c r="W647" s="506">
        <f t="shared" si="1034"/>
        <v>855.9</v>
      </c>
      <c r="X647" s="487">
        <f t="shared" si="1035"/>
        <v>1997.1</v>
      </c>
      <c r="Y647" s="529">
        <f t="shared" si="1036"/>
        <v>342.36</v>
      </c>
      <c r="Z647" s="529">
        <f t="shared" si="1037"/>
        <v>256.77</v>
      </c>
      <c r="AA647" s="529">
        <f t="shared" si="1038"/>
        <v>256.77</v>
      </c>
      <c r="AB647" s="416">
        <v>0</v>
      </c>
      <c r="AC647" s="417" t="s">
        <v>1793</v>
      </c>
      <c r="AD647" s="227"/>
      <c r="AE647" s="241">
        <v>9</v>
      </c>
      <c r="AF647" s="204" t="str">
        <f t="shared" si="977"/>
        <v>Secrétaire administratif (25%)</v>
      </c>
      <c r="AG647" s="486">
        <f t="shared" si="1040"/>
        <v>0.3</v>
      </c>
      <c r="AH647" s="486">
        <f t="shared" si="1041"/>
        <v>0.7</v>
      </c>
      <c r="AI647" s="506">
        <f t="shared" si="1022"/>
        <v>1711.8</v>
      </c>
      <c r="AJ647" s="506">
        <f t="shared" si="1018"/>
        <v>0</v>
      </c>
      <c r="AK647" s="487">
        <f t="shared" si="1023"/>
        <v>3994.2</v>
      </c>
      <c r="AL647" s="487">
        <f t="shared" si="1039"/>
        <v>5706</v>
      </c>
      <c r="AM647" s="316">
        <f t="shared" si="970"/>
        <v>855.9</v>
      </c>
      <c r="AN647" s="316">
        <f t="shared" si="971"/>
        <v>0</v>
      </c>
      <c r="AO647" s="316">
        <f t="shared" si="972"/>
        <v>855.9</v>
      </c>
      <c r="AP647" s="316">
        <f t="shared" si="973"/>
        <v>0</v>
      </c>
      <c r="AQ647" s="169" t="s">
        <v>1153</v>
      </c>
    </row>
    <row r="648" spans="1:47" s="169" customFormat="1" x14ac:dyDescent="0.3">
      <c r="A648" s="588">
        <v>10</v>
      </c>
      <c r="B648" s="517" t="s">
        <v>1794</v>
      </c>
      <c r="C648" s="589" t="s">
        <v>124</v>
      </c>
      <c r="D648" s="536">
        <v>303</v>
      </c>
      <c r="E648" s="411">
        <v>2</v>
      </c>
      <c r="F648" s="512">
        <v>9</v>
      </c>
      <c r="G648" s="486">
        <v>0.25</v>
      </c>
      <c r="H648" s="486">
        <f t="shared" si="1027"/>
        <v>0.75</v>
      </c>
      <c r="I648" s="416">
        <f t="shared" si="1028"/>
        <v>1363.5</v>
      </c>
      <c r="J648" s="487">
        <f t="shared" si="1029"/>
        <v>4090.5</v>
      </c>
      <c r="K648" s="487">
        <f t="shared" si="1030"/>
        <v>495.81818181818181</v>
      </c>
      <c r="L648" s="487">
        <f t="shared" si="1031"/>
        <v>495.81818181818181</v>
      </c>
      <c r="M648" s="487">
        <f t="shared" si="1032"/>
        <v>371.86363636363637</v>
      </c>
      <c r="N648" s="416">
        <v>0</v>
      </c>
      <c r="O648" s="507" t="s">
        <v>1795</v>
      </c>
      <c r="P648" s="171"/>
      <c r="Q648" s="589" t="s">
        <v>124</v>
      </c>
      <c r="R648" s="516">
        <v>303</v>
      </c>
      <c r="S648" s="411">
        <v>2</v>
      </c>
      <c r="T648" s="514">
        <v>9</v>
      </c>
      <c r="U648" s="486">
        <v>0.25</v>
      </c>
      <c r="V648" s="486">
        <f t="shared" si="1033"/>
        <v>0.75</v>
      </c>
      <c r="W648" s="506">
        <f t="shared" si="1034"/>
        <v>1363.5</v>
      </c>
      <c r="X648" s="487">
        <f t="shared" si="1035"/>
        <v>4090.5</v>
      </c>
      <c r="Y648" s="529">
        <f t="shared" si="1036"/>
        <v>545.4</v>
      </c>
      <c r="Z648" s="529">
        <f t="shared" si="1037"/>
        <v>409.05</v>
      </c>
      <c r="AA648" s="529">
        <f t="shared" si="1038"/>
        <v>409.05</v>
      </c>
      <c r="AB648" s="416">
        <v>0</v>
      </c>
      <c r="AC648" s="417" t="s">
        <v>1795</v>
      </c>
      <c r="AD648" s="227"/>
      <c r="AE648" s="241">
        <v>10</v>
      </c>
      <c r="AF648" s="204" t="str">
        <f t="shared" si="977"/>
        <v>Chauffeurs (25%)</v>
      </c>
      <c r="AG648" s="486">
        <f t="shared" si="1040"/>
        <v>0.25</v>
      </c>
      <c r="AH648" s="486">
        <f t="shared" si="1041"/>
        <v>0.75</v>
      </c>
      <c r="AI648" s="506">
        <f t="shared" si="1022"/>
        <v>2727</v>
      </c>
      <c r="AJ648" s="506">
        <f t="shared" si="1018"/>
        <v>0</v>
      </c>
      <c r="AK648" s="487">
        <f t="shared" si="1023"/>
        <v>8181</v>
      </c>
      <c r="AL648" s="487">
        <f t="shared" si="1039"/>
        <v>10908</v>
      </c>
      <c r="AM648" s="316">
        <f t="shared" si="970"/>
        <v>1363.5</v>
      </c>
      <c r="AN648" s="316">
        <f t="shared" si="971"/>
        <v>0</v>
      </c>
      <c r="AO648" s="316">
        <f t="shared" si="972"/>
        <v>1363.5</v>
      </c>
      <c r="AP648" s="316">
        <f t="shared" si="973"/>
        <v>0</v>
      </c>
      <c r="AQ648" s="169" t="s">
        <v>1153</v>
      </c>
    </row>
    <row r="649" spans="1:47" s="169" customFormat="1" x14ac:dyDescent="0.3">
      <c r="A649" s="588">
        <v>11</v>
      </c>
      <c r="B649" s="517" t="s">
        <v>1796</v>
      </c>
      <c r="C649" s="589" t="s">
        <v>124</v>
      </c>
      <c r="D649" s="536">
        <v>290</v>
      </c>
      <c r="E649" s="411">
        <v>4</v>
      </c>
      <c r="F649" s="512">
        <v>9</v>
      </c>
      <c r="G649" s="486">
        <v>0.25</v>
      </c>
      <c r="H649" s="486">
        <f t="shared" si="1027"/>
        <v>0.75</v>
      </c>
      <c r="I649" s="416">
        <f t="shared" si="1028"/>
        <v>2610</v>
      </c>
      <c r="J649" s="487">
        <f t="shared" si="1029"/>
        <v>7830</v>
      </c>
      <c r="K649" s="487">
        <f t="shared" si="1030"/>
        <v>949.09090909090912</v>
      </c>
      <c r="L649" s="487">
        <f t="shared" si="1031"/>
        <v>949.09090909090912</v>
      </c>
      <c r="M649" s="487">
        <f t="shared" si="1032"/>
        <v>711.81818181818187</v>
      </c>
      <c r="N649" s="416">
        <v>0</v>
      </c>
      <c r="O649" s="507" t="s">
        <v>1797</v>
      </c>
      <c r="P649" s="171"/>
      <c r="Q649" s="589" t="s">
        <v>124</v>
      </c>
      <c r="R649" s="516">
        <v>290</v>
      </c>
      <c r="S649" s="411">
        <v>4</v>
      </c>
      <c r="T649" s="514">
        <v>9</v>
      </c>
      <c r="U649" s="486">
        <v>0.25</v>
      </c>
      <c r="V649" s="486">
        <f t="shared" si="1033"/>
        <v>0.75</v>
      </c>
      <c r="W649" s="506">
        <f t="shared" si="1034"/>
        <v>2610</v>
      </c>
      <c r="X649" s="487">
        <f t="shared" si="1035"/>
        <v>7830</v>
      </c>
      <c r="Y649" s="529">
        <f t="shared" si="1036"/>
        <v>1044</v>
      </c>
      <c r="Z649" s="529">
        <f t="shared" si="1037"/>
        <v>783</v>
      </c>
      <c r="AA649" s="529">
        <f t="shared" si="1038"/>
        <v>783</v>
      </c>
      <c r="AB649" s="416">
        <v>0</v>
      </c>
      <c r="AC649" s="417" t="s">
        <v>1797</v>
      </c>
      <c r="AD649" s="227"/>
      <c r="AE649" s="241">
        <v>11</v>
      </c>
      <c r="AF649" s="204" t="str">
        <f t="shared" si="977"/>
        <v>Gardiens (40%)</v>
      </c>
      <c r="AG649" s="486">
        <f t="shared" si="1040"/>
        <v>0.25</v>
      </c>
      <c r="AH649" s="486">
        <f t="shared" si="1041"/>
        <v>0.75</v>
      </c>
      <c r="AI649" s="506">
        <f t="shared" si="1022"/>
        <v>5220</v>
      </c>
      <c r="AJ649" s="506">
        <f t="shared" si="1018"/>
        <v>0</v>
      </c>
      <c r="AK649" s="487">
        <f t="shared" si="1023"/>
        <v>15660</v>
      </c>
      <c r="AL649" s="487">
        <f t="shared" si="1039"/>
        <v>20880</v>
      </c>
      <c r="AM649" s="316">
        <f t="shared" si="970"/>
        <v>2610</v>
      </c>
      <c r="AN649" s="316">
        <f t="shared" si="971"/>
        <v>0</v>
      </c>
      <c r="AO649" s="316">
        <f t="shared" si="972"/>
        <v>2610</v>
      </c>
      <c r="AP649" s="316">
        <f t="shared" si="973"/>
        <v>0</v>
      </c>
      <c r="AQ649" s="169" t="s">
        <v>1153</v>
      </c>
    </row>
    <row r="650" spans="1:47" x14ac:dyDescent="0.3">
      <c r="A650" s="480" t="s">
        <v>1798</v>
      </c>
      <c r="B650" s="861" t="s">
        <v>645</v>
      </c>
      <c r="C650" s="862"/>
      <c r="D650" s="862"/>
      <c r="E650" s="862"/>
      <c r="F650" s="862"/>
      <c r="G650" s="862"/>
      <c r="H650" s="863"/>
      <c r="I650" s="481">
        <f>SUM(I651:I666)</f>
        <v>58888</v>
      </c>
      <c r="J650" s="482">
        <f t="shared" ref="J650" si="1042">SUM(J651:J666)</f>
        <v>11025</v>
      </c>
      <c r="K650" s="482">
        <f>SUM(K651:K666)</f>
        <v>23555.199999999997</v>
      </c>
      <c r="L650" s="482">
        <f t="shared" ref="L650:M650" si="1043">SUM(L651:L666)</f>
        <v>23555.199999999997</v>
      </c>
      <c r="M650" s="482">
        <f t="shared" si="1043"/>
        <v>11777.599999999999</v>
      </c>
      <c r="N650" s="481">
        <f>SUM(N651:N666)</f>
        <v>0</v>
      </c>
      <c r="O650" s="508"/>
      <c r="Q650" s="538"/>
      <c r="R650" s="539"/>
      <c r="S650" s="538"/>
      <c r="T650" s="539"/>
      <c r="U650" s="539"/>
      <c r="V650" s="484"/>
      <c r="W650" s="482">
        <f>SUM(W651:W666)</f>
        <v>58358</v>
      </c>
      <c r="X650" s="482">
        <f t="shared" ref="X650" si="1044">SUM(X651:X666)</f>
        <v>10575</v>
      </c>
      <c r="Y650" s="482">
        <f>SUM(Y651:Y666)</f>
        <v>58358</v>
      </c>
      <c r="Z650" s="482">
        <f t="shared" ref="Z650:AA650" si="1045">SUM(Z651:Z666)</f>
        <v>0</v>
      </c>
      <c r="AA650" s="482">
        <f t="shared" si="1045"/>
        <v>0</v>
      </c>
      <c r="AB650" s="481">
        <f>SUM(AB651:AB666)</f>
        <v>0</v>
      </c>
      <c r="AC650" s="508"/>
      <c r="AD650" s="234"/>
      <c r="AE650" s="247" t="s">
        <v>1798</v>
      </c>
      <c r="AF650" s="204" t="str">
        <f t="shared" si="977"/>
        <v xml:space="preserve">Coûts opérationnels liés au fonctionnement </v>
      </c>
      <c r="AG650" s="485">
        <f t="shared" si="1040"/>
        <v>0.84443196058943004</v>
      </c>
      <c r="AH650" s="485">
        <f t="shared" si="1041"/>
        <v>0.15556803941056999</v>
      </c>
      <c r="AI650" s="482">
        <f t="shared" si="1022"/>
        <v>117246</v>
      </c>
      <c r="AJ650" s="482">
        <f t="shared" si="1018"/>
        <v>0</v>
      </c>
      <c r="AK650" s="482">
        <f t="shared" si="1023"/>
        <v>21600</v>
      </c>
      <c r="AL650" s="482">
        <f t="shared" si="1039"/>
        <v>138846</v>
      </c>
      <c r="AM650" s="314">
        <f t="shared" ref="AM650:AM691" si="1046">I650</f>
        <v>58888</v>
      </c>
      <c r="AN650" s="314">
        <f t="shared" ref="AN650:AN691" si="1047">N650</f>
        <v>0</v>
      </c>
      <c r="AO650" s="314">
        <f t="shared" ref="AO650:AO683" si="1048">W650</f>
        <v>58358</v>
      </c>
      <c r="AP650" s="314">
        <f t="shared" ref="AP650:AP683" si="1049">AB650</f>
        <v>0</v>
      </c>
    </row>
    <row r="651" spans="1:47" s="172" customFormat="1" ht="26" x14ac:dyDescent="0.3">
      <c r="A651" s="586">
        <v>1</v>
      </c>
      <c r="B651" s="583" t="s">
        <v>649</v>
      </c>
      <c r="C651" s="562" t="s">
        <v>650</v>
      </c>
      <c r="D651" s="536">
        <v>80</v>
      </c>
      <c r="E651" s="411">
        <v>2</v>
      </c>
      <c r="F651" s="587">
        <v>202.5</v>
      </c>
      <c r="G651" s="413">
        <v>1</v>
      </c>
      <c r="H651" s="413">
        <f t="shared" ref="H651:H666" si="1050">100%-G651</f>
        <v>0</v>
      </c>
      <c r="I651" s="414">
        <f t="shared" ref="I651:I666" si="1051">D651*E651*F651*G651</f>
        <v>32400</v>
      </c>
      <c r="J651" s="415">
        <f t="shared" ref="J651:J666" si="1052">D651*E651*F651*H651</f>
        <v>0</v>
      </c>
      <c r="K651" s="415">
        <f t="shared" ref="K651:K666" si="1053">I651*40%</f>
        <v>12960</v>
      </c>
      <c r="L651" s="415">
        <f t="shared" ref="L651:L666" si="1054">I651*40%</f>
        <v>12960</v>
      </c>
      <c r="M651" s="415">
        <f t="shared" ref="M651:M666" si="1055">I651*20%</f>
        <v>6480</v>
      </c>
      <c r="N651" s="416">
        <v>0</v>
      </c>
      <c r="O651" s="507" t="s">
        <v>1799</v>
      </c>
      <c r="P651" s="174"/>
      <c r="Q651" s="562" t="s">
        <v>650</v>
      </c>
      <c r="R651" s="516">
        <v>80</v>
      </c>
      <c r="S651" s="411">
        <v>2</v>
      </c>
      <c r="T651" s="514">
        <v>202</v>
      </c>
      <c r="U651" s="413">
        <v>1</v>
      </c>
      <c r="V651" s="413">
        <f t="shared" ref="V651:V666" si="1056">100%-U651</f>
        <v>0</v>
      </c>
      <c r="W651" s="419">
        <f t="shared" ref="W651:W666" si="1057">R651*S651*T651*U651</f>
        <v>32320</v>
      </c>
      <c r="X651" s="415">
        <f t="shared" ref="X651:X666" si="1058">R651*S651*T651*V651</f>
        <v>0</v>
      </c>
      <c r="Y651" s="415">
        <f>W651</f>
        <v>32320</v>
      </c>
      <c r="Z651" s="415"/>
      <c r="AA651" s="415"/>
      <c r="AB651" s="416">
        <v>0</v>
      </c>
      <c r="AC651" s="417" t="s">
        <v>1800</v>
      </c>
      <c r="AD651" s="227"/>
      <c r="AE651" s="241">
        <v>1</v>
      </c>
      <c r="AF651" s="204" t="str">
        <f t="shared" si="977"/>
        <v>Location vehicule</v>
      </c>
      <c r="AG651" s="413">
        <f t="shared" si="1040"/>
        <v>1</v>
      </c>
      <c r="AH651" s="413">
        <f t="shared" si="1041"/>
        <v>0</v>
      </c>
      <c r="AI651" s="419">
        <f t="shared" si="1022"/>
        <v>64720</v>
      </c>
      <c r="AJ651" s="419">
        <f t="shared" si="1018"/>
        <v>0</v>
      </c>
      <c r="AK651" s="415">
        <f t="shared" si="1023"/>
        <v>0</v>
      </c>
      <c r="AL651" s="415">
        <f t="shared" si="1039"/>
        <v>64720</v>
      </c>
      <c r="AM651" s="323">
        <f t="shared" si="1046"/>
        <v>32400</v>
      </c>
      <c r="AN651" s="323">
        <f t="shared" si="1047"/>
        <v>0</v>
      </c>
      <c r="AO651" s="323">
        <f t="shared" si="1048"/>
        <v>32320</v>
      </c>
      <c r="AP651" s="323">
        <f t="shared" si="1049"/>
        <v>0</v>
      </c>
      <c r="AQ651" s="169" t="s">
        <v>1153</v>
      </c>
      <c r="AT651" s="169"/>
      <c r="AU651" s="169"/>
    </row>
    <row r="652" spans="1:47" s="172" customFormat="1" ht="39" x14ac:dyDescent="0.3">
      <c r="A652" s="586">
        <v>2</v>
      </c>
      <c r="B652" s="583" t="s">
        <v>1801</v>
      </c>
      <c r="C652" s="562" t="s">
        <v>648</v>
      </c>
      <c r="D652" s="536">
        <v>5000</v>
      </c>
      <c r="E652" s="411">
        <v>2</v>
      </c>
      <c r="F652" s="512">
        <v>1</v>
      </c>
      <c r="G652" s="413">
        <v>1</v>
      </c>
      <c r="H652" s="413">
        <f t="shared" si="1050"/>
        <v>0</v>
      </c>
      <c r="I652" s="414">
        <f t="shared" si="1051"/>
        <v>10000</v>
      </c>
      <c r="J652" s="415">
        <f t="shared" si="1052"/>
        <v>0</v>
      </c>
      <c r="K652" s="415">
        <f t="shared" si="1053"/>
        <v>4000</v>
      </c>
      <c r="L652" s="415">
        <f t="shared" si="1054"/>
        <v>4000</v>
      </c>
      <c r="M652" s="415">
        <f t="shared" si="1055"/>
        <v>2000</v>
      </c>
      <c r="N652" s="416">
        <v>0</v>
      </c>
      <c r="O652" s="507" t="s">
        <v>1802</v>
      </c>
      <c r="P652" s="174"/>
      <c r="Q652" s="562" t="s">
        <v>648</v>
      </c>
      <c r="R652" s="516">
        <v>5000</v>
      </c>
      <c r="S652" s="411">
        <v>2</v>
      </c>
      <c r="T652" s="514">
        <v>1</v>
      </c>
      <c r="U652" s="413">
        <v>1</v>
      </c>
      <c r="V652" s="413">
        <f t="shared" si="1056"/>
        <v>0</v>
      </c>
      <c r="W652" s="419">
        <f t="shared" si="1057"/>
        <v>10000</v>
      </c>
      <c r="X652" s="415">
        <f t="shared" si="1058"/>
        <v>0</v>
      </c>
      <c r="Y652" s="415">
        <f t="shared" ref="Y652:Y666" si="1059">W652</f>
        <v>10000</v>
      </c>
      <c r="Z652" s="415"/>
      <c r="AA652" s="415"/>
      <c r="AB652" s="416">
        <v>0</v>
      </c>
      <c r="AC652" s="417" t="s">
        <v>1802</v>
      </c>
      <c r="AD652" s="227"/>
      <c r="AE652" s="241">
        <v>2</v>
      </c>
      <c r="AF652" s="204" t="str">
        <f t="shared" ref="AF652:AF691" si="1060">B652</f>
        <v xml:space="preserve">Achat de 2 Motos pour accessibilité de certains villages non accessibles par véhicule </v>
      </c>
      <c r="AG652" s="413">
        <f t="shared" si="1040"/>
        <v>1</v>
      </c>
      <c r="AH652" s="413">
        <f t="shared" si="1041"/>
        <v>0</v>
      </c>
      <c r="AI652" s="419">
        <f t="shared" si="1022"/>
        <v>20000</v>
      </c>
      <c r="AJ652" s="419">
        <f t="shared" si="1018"/>
        <v>0</v>
      </c>
      <c r="AK652" s="415">
        <f t="shared" si="1023"/>
        <v>0</v>
      </c>
      <c r="AL652" s="415">
        <f t="shared" si="1039"/>
        <v>20000</v>
      </c>
      <c r="AM652" s="323">
        <f t="shared" si="1046"/>
        <v>10000</v>
      </c>
      <c r="AN652" s="323">
        <f t="shared" si="1047"/>
        <v>0</v>
      </c>
      <c r="AO652" s="323">
        <f t="shared" si="1048"/>
        <v>10000</v>
      </c>
      <c r="AP652" s="323">
        <f t="shared" si="1049"/>
        <v>0</v>
      </c>
      <c r="AQ652" s="169" t="s">
        <v>1153</v>
      </c>
      <c r="AT652" s="169"/>
      <c r="AU652" s="169"/>
    </row>
    <row r="653" spans="1:47" s="172" customFormat="1" x14ac:dyDescent="0.3">
      <c r="A653" s="586">
        <v>3</v>
      </c>
      <c r="B653" s="583" t="s">
        <v>651</v>
      </c>
      <c r="C653" s="562" t="s">
        <v>126</v>
      </c>
      <c r="D653" s="536">
        <v>1</v>
      </c>
      <c r="E653" s="411">
        <f>300*2</f>
        <v>600</v>
      </c>
      <c r="F653" s="512">
        <v>9</v>
      </c>
      <c r="G653" s="413">
        <v>1</v>
      </c>
      <c r="H653" s="413">
        <f t="shared" si="1050"/>
        <v>0</v>
      </c>
      <c r="I653" s="414">
        <f t="shared" si="1051"/>
        <v>5400</v>
      </c>
      <c r="J653" s="415">
        <f t="shared" si="1052"/>
        <v>0</v>
      </c>
      <c r="K653" s="415">
        <f t="shared" si="1053"/>
        <v>2160</v>
      </c>
      <c r="L653" s="415">
        <f t="shared" si="1054"/>
        <v>2160</v>
      </c>
      <c r="M653" s="415">
        <f t="shared" si="1055"/>
        <v>1080</v>
      </c>
      <c r="N653" s="416">
        <v>0</v>
      </c>
      <c r="O653" s="507" t="s">
        <v>1803</v>
      </c>
      <c r="P653" s="174"/>
      <c r="Q653" s="562" t="s">
        <v>126</v>
      </c>
      <c r="R653" s="516">
        <v>1</v>
      </c>
      <c r="S653" s="411">
        <f>300*2</f>
        <v>600</v>
      </c>
      <c r="T653" s="514">
        <v>9</v>
      </c>
      <c r="U653" s="413">
        <v>1</v>
      </c>
      <c r="V653" s="413">
        <f t="shared" si="1056"/>
        <v>0</v>
      </c>
      <c r="W653" s="419">
        <f t="shared" si="1057"/>
        <v>5400</v>
      </c>
      <c r="X653" s="415">
        <f t="shared" si="1058"/>
        <v>0</v>
      </c>
      <c r="Y653" s="415">
        <f t="shared" si="1059"/>
        <v>5400</v>
      </c>
      <c r="Z653" s="415"/>
      <c r="AA653" s="415"/>
      <c r="AB653" s="416">
        <v>0</v>
      </c>
      <c r="AC653" s="417" t="s">
        <v>1803</v>
      </c>
      <c r="AD653" s="227"/>
      <c r="AE653" s="241">
        <v>3</v>
      </c>
      <c r="AF653" s="204" t="str">
        <f t="shared" si="1060"/>
        <v>Carburant pour motos</v>
      </c>
      <c r="AG653" s="413">
        <f t="shared" si="1040"/>
        <v>1</v>
      </c>
      <c r="AH653" s="413">
        <f t="shared" si="1041"/>
        <v>0</v>
      </c>
      <c r="AI653" s="419">
        <f t="shared" si="1022"/>
        <v>10800</v>
      </c>
      <c r="AJ653" s="419">
        <f t="shared" si="1018"/>
        <v>0</v>
      </c>
      <c r="AK653" s="415">
        <f t="shared" si="1023"/>
        <v>0</v>
      </c>
      <c r="AL653" s="415">
        <f t="shared" si="1039"/>
        <v>10800</v>
      </c>
      <c r="AM653" s="323">
        <f t="shared" si="1046"/>
        <v>5400</v>
      </c>
      <c r="AN653" s="323">
        <f t="shared" si="1047"/>
        <v>0</v>
      </c>
      <c r="AO653" s="323">
        <f t="shared" si="1048"/>
        <v>5400</v>
      </c>
      <c r="AP653" s="323">
        <f t="shared" si="1049"/>
        <v>0</v>
      </c>
      <c r="AQ653" s="169" t="s">
        <v>1153</v>
      </c>
      <c r="AT653" s="169"/>
      <c r="AU653" s="169"/>
    </row>
    <row r="654" spans="1:47" s="172" customFormat="1" x14ac:dyDescent="0.3">
      <c r="A654" s="586">
        <v>4</v>
      </c>
      <c r="B654" s="583" t="s">
        <v>652</v>
      </c>
      <c r="C654" s="562" t="s">
        <v>648</v>
      </c>
      <c r="D654" s="536">
        <v>100</v>
      </c>
      <c r="E654" s="411">
        <v>2</v>
      </c>
      <c r="F654" s="512">
        <v>9</v>
      </c>
      <c r="G654" s="413">
        <v>0</v>
      </c>
      <c r="H654" s="413">
        <f t="shared" si="1050"/>
        <v>1</v>
      </c>
      <c r="I654" s="414">
        <f t="shared" si="1051"/>
        <v>0</v>
      </c>
      <c r="J654" s="415">
        <f t="shared" si="1052"/>
        <v>1800</v>
      </c>
      <c r="K654" s="415">
        <f t="shared" si="1053"/>
        <v>0</v>
      </c>
      <c r="L654" s="415">
        <f t="shared" si="1054"/>
        <v>0</v>
      </c>
      <c r="M654" s="415">
        <f t="shared" si="1055"/>
        <v>0</v>
      </c>
      <c r="N654" s="416">
        <v>0</v>
      </c>
      <c r="O654" s="507" t="s">
        <v>653</v>
      </c>
      <c r="P654" s="174"/>
      <c r="Q654" s="562" t="s">
        <v>648</v>
      </c>
      <c r="R654" s="516">
        <v>100</v>
      </c>
      <c r="S654" s="411">
        <v>2</v>
      </c>
      <c r="T654" s="514">
        <v>9</v>
      </c>
      <c r="U654" s="413">
        <v>0</v>
      </c>
      <c r="V654" s="413">
        <f t="shared" si="1056"/>
        <v>1</v>
      </c>
      <c r="W654" s="419">
        <f t="shared" si="1057"/>
        <v>0</v>
      </c>
      <c r="X654" s="415">
        <f t="shared" si="1058"/>
        <v>1800</v>
      </c>
      <c r="Y654" s="415">
        <f t="shared" si="1059"/>
        <v>0</v>
      </c>
      <c r="Z654" s="415"/>
      <c r="AA654" s="415"/>
      <c r="AB654" s="416">
        <v>0</v>
      </c>
      <c r="AC654" s="417" t="s">
        <v>653</v>
      </c>
      <c r="AD654" s="227"/>
      <c r="AE654" s="241">
        <v>4</v>
      </c>
      <c r="AF654" s="204" t="str">
        <f t="shared" si="1060"/>
        <v>Entretiens des motos</v>
      </c>
      <c r="AG654" s="413">
        <f t="shared" si="1040"/>
        <v>0</v>
      </c>
      <c r="AH654" s="413">
        <f t="shared" si="1041"/>
        <v>1</v>
      </c>
      <c r="AI654" s="419">
        <f t="shared" si="1022"/>
        <v>0</v>
      </c>
      <c r="AJ654" s="419">
        <f t="shared" si="1018"/>
        <v>0</v>
      </c>
      <c r="AK654" s="415">
        <f t="shared" si="1023"/>
        <v>3600</v>
      </c>
      <c r="AL654" s="415">
        <f t="shared" si="1039"/>
        <v>3600</v>
      </c>
      <c r="AM654" s="323">
        <f t="shared" si="1046"/>
        <v>0</v>
      </c>
      <c r="AN654" s="323">
        <f t="shared" si="1047"/>
        <v>0</v>
      </c>
      <c r="AO654" s="323">
        <f t="shared" si="1048"/>
        <v>0</v>
      </c>
      <c r="AP654" s="323">
        <f t="shared" si="1049"/>
        <v>0</v>
      </c>
      <c r="AQ654" s="169" t="s">
        <v>1153</v>
      </c>
      <c r="AT654" s="169"/>
      <c r="AU654" s="169"/>
    </row>
    <row r="655" spans="1:47" s="172" customFormat="1" x14ac:dyDescent="0.3">
      <c r="A655" s="586">
        <v>5</v>
      </c>
      <c r="B655" s="583" t="s">
        <v>654</v>
      </c>
      <c r="C655" s="562" t="s">
        <v>655</v>
      </c>
      <c r="D655" s="536">
        <v>30</v>
      </c>
      <c r="E655" s="411">
        <v>1</v>
      </c>
      <c r="F655" s="512">
        <v>9</v>
      </c>
      <c r="G655" s="413">
        <v>0</v>
      </c>
      <c r="H655" s="413">
        <f t="shared" si="1050"/>
        <v>1</v>
      </c>
      <c r="I655" s="414">
        <f t="shared" si="1051"/>
        <v>0</v>
      </c>
      <c r="J655" s="415">
        <f t="shared" si="1052"/>
        <v>270</v>
      </c>
      <c r="K655" s="415">
        <f t="shared" si="1053"/>
        <v>0</v>
      </c>
      <c r="L655" s="415">
        <f t="shared" si="1054"/>
        <v>0</v>
      </c>
      <c r="M655" s="415">
        <f t="shared" si="1055"/>
        <v>0</v>
      </c>
      <c r="N655" s="416">
        <v>0</v>
      </c>
      <c r="O655" s="507" t="s">
        <v>654</v>
      </c>
      <c r="P655" s="174"/>
      <c r="Q655" s="562" t="s">
        <v>655</v>
      </c>
      <c r="R655" s="516">
        <v>30</v>
      </c>
      <c r="S655" s="411">
        <v>1</v>
      </c>
      <c r="T655" s="514">
        <v>9</v>
      </c>
      <c r="U655" s="413">
        <v>0</v>
      </c>
      <c r="V655" s="413">
        <f t="shared" si="1056"/>
        <v>1</v>
      </c>
      <c r="W655" s="419">
        <f t="shared" si="1057"/>
        <v>0</v>
      </c>
      <c r="X655" s="415">
        <f t="shared" si="1058"/>
        <v>270</v>
      </c>
      <c r="Y655" s="415">
        <f t="shared" si="1059"/>
        <v>0</v>
      </c>
      <c r="Z655" s="415"/>
      <c r="AA655" s="415"/>
      <c r="AB655" s="416">
        <v>0</v>
      </c>
      <c r="AC655" s="417" t="s">
        <v>654</v>
      </c>
      <c r="AD655" s="227"/>
      <c r="AE655" s="241">
        <v>5</v>
      </c>
      <c r="AF655" s="204" t="str">
        <f t="shared" si="1060"/>
        <v>Achat papier duplicateur</v>
      </c>
      <c r="AG655" s="413">
        <f t="shared" si="1040"/>
        <v>0</v>
      </c>
      <c r="AH655" s="413">
        <f t="shared" si="1041"/>
        <v>1</v>
      </c>
      <c r="AI655" s="419">
        <f t="shared" si="1022"/>
        <v>0</v>
      </c>
      <c r="AJ655" s="419">
        <f t="shared" si="1018"/>
        <v>0</v>
      </c>
      <c r="AK655" s="415">
        <f t="shared" si="1023"/>
        <v>540</v>
      </c>
      <c r="AL655" s="415">
        <f t="shared" si="1039"/>
        <v>540</v>
      </c>
      <c r="AM655" s="323">
        <f t="shared" si="1046"/>
        <v>0</v>
      </c>
      <c r="AN655" s="323">
        <f t="shared" si="1047"/>
        <v>0</v>
      </c>
      <c r="AO655" s="323">
        <f t="shared" si="1048"/>
        <v>0</v>
      </c>
      <c r="AP655" s="323">
        <f t="shared" si="1049"/>
        <v>0</v>
      </c>
      <c r="AQ655" s="169" t="s">
        <v>1153</v>
      </c>
      <c r="AT655" s="169"/>
      <c r="AU655" s="169"/>
    </row>
    <row r="656" spans="1:47" s="172" customFormat="1" x14ac:dyDescent="0.3">
      <c r="A656" s="586">
        <v>6</v>
      </c>
      <c r="B656" s="583" t="s">
        <v>656</v>
      </c>
      <c r="C656" s="562" t="s">
        <v>657</v>
      </c>
      <c r="D656" s="536">
        <v>3</v>
      </c>
      <c r="E656" s="411">
        <v>44</v>
      </c>
      <c r="F656" s="512">
        <v>2</v>
      </c>
      <c r="G656" s="413">
        <v>1</v>
      </c>
      <c r="H656" s="413">
        <f t="shared" si="1050"/>
        <v>0</v>
      </c>
      <c r="I656" s="414">
        <f t="shared" si="1051"/>
        <v>264</v>
      </c>
      <c r="J656" s="415">
        <f t="shared" si="1052"/>
        <v>0</v>
      </c>
      <c r="K656" s="415">
        <f t="shared" si="1053"/>
        <v>105.60000000000001</v>
      </c>
      <c r="L656" s="415">
        <f t="shared" si="1054"/>
        <v>105.60000000000001</v>
      </c>
      <c r="M656" s="415">
        <f t="shared" si="1055"/>
        <v>52.800000000000004</v>
      </c>
      <c r="N656" s="416">
        <v>0</v>
      </c>
      <c r="O656" s="507" t="s">
        <v>656</v>
      </c>
      <c r="P656" s="174"/>
      <c r="Q656" s="562" t="s">
        <v>657</v>
      </c>
      <c r="R656" s="516">
        <v>3</v>
      </c>
      <c r="S656" s="411">
        <v>44</v>
      </c>
      <c r="T656" s="514">
        <v>2</v>
      </c>
      <c r="U656" s="413">
        <v>1</v>
      </c>
      <c r="V656" s="413">
        <f t="shared" si="1056"/>
        <v>0</v>
      </c>
      <c r="W656" s="419">
        <f t="shared" si="1057"/>
        <v>264</v>
      </c>
      <c r="X656" s="415">
        <f t="shared" si="1058"/>
        <v>0</v>
      </c>
      <c r="Y656" s="415">
        <f t="shared" si="1059"/>
        <v>264</v>
      </c>
      <c r="Z656" s="415"/>
      <c r="AA656" s="415"/>
      <c r="AB656" s="416">
        <v>0</v>
      </c>
      <c r="AC656" s="417" t="s">
        <v>656</v>
      </c>
      <c r="AD656" s="227"/>
      <c r="AE656" s="241">
        <v>6</v>
      </c>
      <c r="AF656" s="204" t="str">
        <f t="shared" si="1060"/>
        <v>Achat classeurs</v>
      </c>
      <c r="AG656" s="413">
        <f t="shared" si="1040"/>
        <v>1</v>
      </c>
      <c r="AH656" s="413">
        <f t="shared" si="1041"/>
        <v>0</v>
      </c>
      <c r="AI656" s="419">
        <f t="shared" si="1022"/>
        <v>528</v>
      </c>
      <c r="AJ656" s="419">
        <f t="shared" si="1018"/>
        <v>0</v>
      </c>
      <c r="AK656" s="415">
        <f t="shared" si="1023"/>
        <v>0</v>
      </c>
      <c r="AL656" s="415">
        <f t="shared" si="1039"/>
        <v>528</v>
      </c>
      <c r="AM656" s="323">
        <f t="shared" si="1046"/>
        <v>264</v>
      </c>
      <c r="AN656" s="323">
        <f t="shared" si="1047"/>
        <v>0</v>
      </c>
      <c r="AO656" s="323">
        <f t="shared" si="1048"/>
        <v>264</v>
      </c>
      <c r="AP656" s="323">
        <f t="shared" si="1049"/>
        <v>0</v>
      </c>
      <c r="AQ656" s="169" t="s">
        <v>1153</v>
      </c>
      <c r="AT656" s="169"/>
      <c r="AU656" s="169"/>
    </row>
    <row r="657" spans="1:47" s="172" customFormat="1" x14ac:dyDescent="0.3">
      <c r="A657" s="586">
        <v>7</v>
      </c>
      <c r="B657" s="583" t="s">
        <v>658</v>
      </c>
      <c r="C657" s="562" t="s">
        <v>659</v>
      </c>
      <c r="D657" s="536">
        <v>10</v>
      </c>
      <c r="E657" s="411">
        <v>6</v>
      </c>
      <c r="F657" s="512">
        <v>2</v>
      </c>
      <c r="G657" s="413">
        <v>1</v>
      </c>
      <c r="H657" s="413">
        <f t="shared" si="1050"/>
        <v>0</v>
      </c>
      <c r="I657" s="414">
        <f t="shared" si="1051"/>
        <v>120</v>
      </c>
      <c r="J657" s="415">
        <f t="shared" si="1052"/>
        <v>0</v>
      </c>
      <c r="K657" s="415">
        <f t="shared" si="1053"/>
        <v>48</v>
      </c>
      <c r="L657" s="415">
        <f t="shared" si="1054"/>
        <v>48</v>
      </c>
      <c r="M657" s="415">
        <f t="shared" si="1055"/>
        <v>24</v>
      </c>
      <c r="N657" s="416">
        <v>0</v>
      </c>
      <c r="O657" s="507" t="s">
        <v>658</v>
      </c>
      <c r="P657" s="174"/>
      <c r="Q657" s="562" t="s">
        <v>659</v>
      </c>
      <c r="R657" s="516">
        <v>10</v>
      </c>
      <c r="S657" s="411">
        <v>6</v>
      </c>
      <c r="T657" s="514">
        <v>2</v>
      </c>
      <c r="U657" s="413">
        <v>1</v>
      </c>
      <c r="V657" s="413">
        <f t="shared" si="1056"/>
        <v>0</v>
      </c>
      <c r="W657" s="419">
        <f t="shared" si="1057"/>
        <v>120</v>
      </c>
      <c r="X657" s="415">
        <f t="shared" si="1058"/>
        <v>0</v>
      </c>
      <c r="Y657" s="415">
        <f t="shared" si="1059"/>
        <v>120</v>
      </c>
      <c r="Z657" s="415"/>
      <c r="AA657" s="415"/>
      <c r="AB657" s="416">
        <v>0</v>
      </c>
      <c r="AC657" s="417" t="s">
        <v>658</v>
      </c>
      <c r="AD657" s="227"/>
      <c r="AE657" s="241">
        <v>7</v>
      </c>
      <c r="AF657" s="204" t="str">
        <f t="shared" si="1060"/>
        <v>Achat enveloppe A4</v>
      </c>
      <c r="AG657" s="413">
        <f t="shared" si="1040"/>
        <v>1</v>
      </c>
      <c r="AH657" s="413">
        <f t="shared" si="1041"/>
        <v>0</v>
      </c>
      <c r="AI657" s="419">
        <f t="shared" si="1022"/>
        <v>240</v>
      </c>
      <c r="AJ657" s="419">
        <f t="shared" si="1018"/>
        <v>0</v>
      </c>
      <c r="AK657" s="415">
        <f t="shared" si="1023"/>
        <v>0</v>
      </c>
      <c r="AL657" s="415">
        <f t="shared" si="1039"/>
        <v>240</v>
      </c>
      <c r="AM657" s="323">
        <f t="shared" si="1046"/>
        <v>120</v>
      </c>
      <c r="AN657" s="323">
        <f t="shared" si="1047"/>
        <v>0</v>
      </c>
      <c r="AO657" s="323">
        <f t="shared" si="1048"/>
        <v>120</v>
      </c>
      <c r="AP657" s="323">
        <f t="shared" si="1049"/>
        <v>0</v>
      </c>
      <c r="AQ657" s="169" t="s">
        <v>1153</v>
      </c>
      <c r="AT657" s="169"/>
      <c r="AU657" s="169"/>
    </row>
    <row r="658" spans="1:47" s="172" customFormat="1" x14ac:dyDescent="0.3">
      <c r="A658" s="586">
        <v>8</v>
      </c>
      <c r="B658" s="583" t="s">
        <v>660</v>
      </c>
      <c r="C658" s="562" t="s">
        <v>661</v>
      </c>
      <c r="D658" s="536">
        <v>7</v>
      </c>
      <c r="E658" s="411">
        <v>6</v>
      </c>
      <c r="F658" s="512">
        <v>2</v>
      </c>
      <c r="G658" s="413">
        <v>1</v>
      </c>
      <c r="H658" s="413">
        <f t="shared" si="1050"/>
        <v>0</v>
      </c>
      <c r="I658" s="414">
        <f t="shared" si="1051"/>
        <v>84</v>
      </c>
      <c r="J658" s="415">
        <f t="shared" si="1052"/>
        <v>0</v>
      </c>
      <c r="K658" s="415">
        <f t="shared" si="1053"/>
        <v>33.6</v>
      </c>
      <c r="L658" s="415">
        <f t="shared" si="1054"/>
        <v>33.6</v>
      </c>
      <c r="M658" s="415">
        <f t="shared" si="1055"/>
        <v>16.8</v>
      </c>
      <c r="N658" s="416">
        <v>0</v>
      </c>
      <c r="O658" s="507" t="s">
        <v>660</v>
      </c>
      <c r="P658" s="174"/>
      <c r="Q658" s="562" t="s">
        <v>661</v>
      </c>
      <c r="R658" s="516">
        <v>7</v>
      </c>
      <c r="S658" s="411">
        <v>6</v>
      </c>
      <c r="T658" s="514">
        <v>2</v>
      </c>
      <c r="U658" s="413">
        <v>1</v>
      </c>
      <c r="V658" s="413">
        <f t="shared" si="1056"/>
        <v>0</v>
      </c>
      <c r="W658" s="419">
        <f t="shared" si="1057"/>
        <v>84</v>
      </c>
      <c r="X658" s="415">
        <f t="shared" si="1058"/>
        <v>0</v>
      </c>
      <c r="Y658" s="415">
        <f t="shared" si="1059"/>
        <v>84</v>
      </c>
      <c r="Z658" s="415"/>
      <c r="AA658" s="415"/>
      <c r="AB658" s="416">
        <v>0</v>
      </c>
      <c r="AC658" s="417" t="s">
        <v>660</v>
      </c>
      <c r="AD658" s="227"/>
      <c r="AE658" s="241">
        <v>8</v>
      </c>
      <c r="AF658" s="204" t="str">
        <f t="shared" si="1060"/>
        <v>Achat stylo</v>
      </c>
      <c r="AG658" s="413">
        <f t="shared" si="1040"/>
        <v>1</v>
      </c>
      <c r="AH658" s="413">
        <f t="shared" si="1041"/>
        <v>0</v>
      </c>
      <c r="AI658" s="419">
        <f t="shared" si="1022"/>
        <v>168</v>
      </c>
      <c r="AJ658" s="419">
        <f t="shared" si="1018"/>
        <v>0</v>
      </c>
      <c r="AK658" s="415">
        <f t="shared" si="1023"/>
        <v>0</v>
      </c>
      <c r="AL658" s="415">
        <f t="shared" si="1039"/>
        <v>168</v>
      </c>
      <c r="AM658" s="323">
        <f t="shared" si="1046"/>
        <v>84</v>
      </c>
      <c r="AN658" s="323">
        <f t="shared" si="1047"/>
        <v>0</v>
      </c>
      <c r="AO658" s="323">
        <f t="shared" si="1048"/>
        <v>84</v>
      </c>
      <c r="AP658" s="323">
        <f t="shared" si="1049"/>
        <v>0</v>
      </c>
      <c r="AQ658" s="169" t="s">
        <v>1153</v>
      </c>
      <c r="AT658" s="169"/>
      <c r="AU658" s="169"/>
    </row>
    <row r="659" spans="1:47" s="172" customFormat="1" x14ac:dyDescent="0.3">
      <c r="A659" s="586">
        <v>9</v>
      </c>
      <c r="B659" s="583" t="s">
        <v>1737</v>
      </c>
      <c r="C659" s="562" t="s">
        <v>663</v>
      </c>
      <c r="D659" s="536">
        <v>450</v>
      </c>
      <c r="E659" s="411">
        <v>2</v>
      </c>
      <c r="F659" s="512">
        <v>1</v>
      </c>
      <c r="G659" s="413">
        <v>0.5</v>
      </c>
      <c r="H659" s="413">
        <f t="shared" si="1050"/>
        <v>0.5</v>
      </c>
      <c r="I659" s="414">
        <f t="shared" si="1051"/>
        <v>450</v>
      </c>
      <c r="J659" s="415">
        <f t="shared" si="1052"/>
        <v>450</v>
      </c>
      <c r="K659" s="415">
        <f t="shared" si="1053"/>
        <v>180</v>
      </c>
      <c r="L659" s="415">
        <f t="shared" si="1054"/>
        <v>180</v>
      </c>
      <c r="M659" s="415">
        <f t="shared" si="1055"/>
        <v>90</v>
      </c>
      <c r="N659" s="416">
        <v>0</v>
      </c>
      <c r="O659" s="507" t="s">
        <v>1804</v>
      </c>
      <c r="P659" s="174"/>
      <c r="Q659" s="562" t="s">
        <v>663</v>
      </c>
      <c r="R659" s="516">
        <v>450</v>
      </c>
      <c r="S659" s="411">
        <v>0</v>
      </c>
      <c r="T659" s="514">
        <v>1</v>
      </c>
      <c r="U659" s="413">
        <v>0.5</v>
      </c>
      <c r="V659" s="413">
        <f t="shared" si="1056"/>
        <v>0.5</v>
      </c>
      <c r="W659" s="419">
        <f t="shared" si="1057"/>
        <v>0</v>
      </c>
      <c r="X659" s="415">
        <f t="shared" si="1058"/>
        <v>0</v>
      </c>
      <c r="Y659" s="415">
        <f t="shared" si="1059"/>
        <v>0</v>
      </c>
      <c r="Z659" s="415"/>
      <c r="AA659" s="415"/>
      <c r="AB659" s="416">
        <v>0</v>
      </c>
      <c r="AC659" s="417" t="s">
        <v>1804</v>
      </c>
      <c r="AD659" s="227"/>
      <c r="AE659" s="241">
        <v>9</v>
      </c>
      <c r="AF659" s="204" t="str">
        <f t="shared" si="1060"/>
        <v xml:space="preserve">Achat Kit Internet VSAT </v>
      </c>
      <c r="AG659" s="413">
        <f t="shared" si="1040"/>
        <v>0.5</v>
      </c>
      <c r="AH659" s="413">
        <f t="shared" si="1041"/>
        <v>0.5</v>
      </c>
      <c r="AI659" s="419">
        <f t="shared" si="1022"/>
        <v>450</v>
      </c>
      <c r="AJ659" s="419">
        <f t="shared" si="1018"/>
        <v>0</v>
      </c>
      <c r="AK659" s="415">
        <f t="shared" si="1023"/>
        <v>450</v>
      </c>
      <c r="AL659" s="415">
        <f t="shared" si="1039"/>
        <v>900</v>
      </c>
      <c r="AM659" s="323">
        <f t="shared" si="1046"/>
        <v>450</v>
      </c>
      <c r="AN659" s="323">
        <f t="shared" si="1047"/>
        <v>0</v>
      </c>
      <c r="AO659" s="323">
        <f t="shared" si="1048"/>
        <v>0</v>
      </c>
      <c r="AP659" s="323">
        <f t="shared" si="1049"/>
        <v>0</v>
      </c>
      <c r="AQ659" s="169" t="s">
        <v>1153</v>
      </c>
      <c r="AT659" s="169"/>
      <c r="AU659" s="169"/>
    </row>
    <row r="660" spans="1:47" s="172" customFormat="1" x14ac:dyDescent="0.3">
      <c r="A660" s="586">
        <v>10</v>
      </c>
      <c r="B660" s="583" t="s">
        <v>662</v>
      </c>
      <c r="C660" s="562" t="s">
        <v>663</v>
      </c>
      <c r="D660" s="536">
        <v>100</v>
      </c>
      <c r="E660" s="411">
        <v>2</v>
      </c>
      <c r="F660" s="512">
        <v>9</v>
      </c>
      <c r="G660" s="413">
        <v>1</v>
      </c>
      <c r="H660" s="413">
        <f t="shared" si="1050"/>
        <v>0</v>
      </c>
      <c r="I660" s="414">
        <f t="shared" si="1051"/>
        <v>1800</v>
      </c>
      <c r="J660" s="415">
        <f t="shared" si="1052"/>
        <v>0</v>
      </c>
      <c r="K660" s="415">
        <f t="shared" si="1053"/>
        <v>720</v>
      </c>
      <c r="L660" s="415">
        <f t="shared" si="1054"/>
        <v>720</v>
      </c>
      <c r="M660" s="415">
        <f t="shared" si="1055"/>
        <v>360</v>
      </c>
      <c r="N660" s="416">
        <v>0</v>
      </c>
      <c r="O660" s="507" t="s">
        <v>664</v>
      </c>
      <c r="P660" s="174"/>
      <c r="Q660" s="562" t="s">
        <v>663</v>
      </c>
      <c r="R660" s="516">
        <v>100</v>
      </c>
      <c r="S660" s="411">
        <v>9</v>
      </c>
      <c r="T660" s="514">
        <v>2</v>
      </c>
      <c r="U660" s="413">
        <v>1</v>
      </c>
      <c r="V660" s="413">
        <f t="shared" si="1056"/>
        <v>0</v>
      </c>
      <c r="W660" s="419">
        <f t="shared" si="1057"/>
        <v>1800</v>
      </c>
      <c r="X660" s="415">
        <f t="shared" si="1058"/>
        <v>0</v>
      </c>
      <c r="Y660" s="415">
        <f t="shared" si="1059"/>
        <v>1800</v>
      </c>
      <c r="Z660" s="415"/>
      <c r="AA660" s="415"/>
      <c r="AB660" s="416">
        <v>0</v>
      </c>
      <c r="AC660" s="417" t="s">
        <v>664</v>
      </c>
      <c r="AD660" s="227"/>
      <c r="AE660" s="241">
        <v>10</v>
      </c>
      <c r="AF660" s="204" t="str">
        <f t="shared" si="1060"/>
        <v xml:space="preserve">Paiement connexion </v>
      </c>
      <c r="AG660" s="413">
        <f t="shared" si="1040"/>
        <v>1</v>
      </c>
      <c r="AH660" s="413">
        <f t="shared" si="1041"/>
        <v>0</v>
      </c>
      <c r="AI660" s="419">
        <f t="shared" si="1022"/>
        <v>3600</v>
      </c>
      <c r="AJ660" s="419">
        <f t="shared" si="1018"/>
        <v>0</v>
      </c>
      <c r="AK660" s="415">
        <f t="shared" si="1023"/>
        <v>0</v>
      </c>
      <c r="AL660" s="415">
        <f t="shared" si="1039"/>
        <v>3600</v>
      </c>
      <c r="AM660" s="323">
        <f t="shared" si="1046"/>
        <v>1800</v>
      </c>
      <c r="AN660" s="323">
        <f t="shared" si="1047"/>
        <v>0</v>
      </c>
      <c r="AO660" s="323">
        <f t="shared" si="1048"/>
        <v>1800</v>
      </c>
      <c r="AP660" s="323">
        <f t="shared" si="1049"/>
        <v>0</v>
      </c>
      <c r="AQ660" s="169" t="s">
        <v>1153</v>
      </c>
      <c r="AT660" s="169"/>
      <c r="AU660" s="169"/>
    </row>
    <row r="661" spans="1:47" s="172" customFormat="1" x14ac:dyDescent="0.3">
      <c r="A661" s="586">
        <v>11</v>
      </c>
      <c r="B661" s="583" t="s">
        <v>1805</v>
      </c>
      <c r="C661" s="562" t="s">
        <v>126</v>
      </c>
      <c r="D661" s="536">
        <v>1</v>
      </c>
      <c r="E661" s="411">
        <v>750</v>
      </c>
      <c r="F661" s="512">
        <v>9</v>
      </c>
      <c r="G661" s="413">
        <v>0.5</v>
      </c>
      <c r="H661" s="413">
        <f t="shared" si="1050"/>
        <v>0.5</v>
      </c>
      <c r="I661" s="414">
        <f t="shared" si="1051"/>
        <v>3375</v>
      </c>
      <c r="J661" s="415">
        <f t="shared" si="1052"/>
        <v>3375</v>
      </c>
      <c r="K661" s="415">
        <f t="shared" si="1053"/>
        <v>1350</v>
      </c>
      <c r="L661" s="415">
        <f t="shared" si="1054"/>
        <v>1350</v>
      </c>
      <c r="M661" s="415">
        <f t="shared" si="1055"/>
        <v>675</v>
      </c>
      <c r="N661" s="416">
        <v>0</v>
      </c>
      <c r="O661" s="507" t="s">
        <v>1806</v>
      </c>
      <c r="P661" s="174"/>
      <c r="Q661" s="562" t="s">
        <v>126</v>
      </c>
      <c r="R661" s="516">
        <v>1</v>
      </c>
      <c r="S661" s="411">
        <v>750</v>
      </c>
      <c r="T661" s="514">
        <v>9</v>
      </c>
      <c r="U661" s="413">
        <v>0.5</v>
      </c>
      <c r="V661" s="413">
        <f t="shared" si="1056"/>
        <v>0.5</v>
      </c>
      <c r="W661" s="419">
        <f t="shared" si="1057"/>
        <v>3375</v>
      </c>
      <c r="X661" s="415">
        <f t="shared" si="1058"/>
        <v>3375</v>
      </c>
      <c r="Y661" s="415">
        <f t="shared" si="1059"/>
        <v>3375</v>
      </c>
      <c r="Z661" s="415"/>
      <c r="AA661" s="415"/>
      <c r="AB661" s="416">
        <v>0</v>
      </c>
      <c r="AC661" s="417" t="s">
        <v>1806</v>
      </c>
      <c r="AD661" s="227"/>
      <c r="AE661" s="241">
        <v>11</v>
      </c>
      <c r="AF661" s="204" t="str">
        <f t="shared" si="1060"/>
        <v xml:space="preserve">Carburant pour vehicules </v>
      </c>
      <c r="AG661" s="413">
        <f t="shared" si="1040"/>
        <v>0.5</v>
      </c>
      <c r="AH661" s="413">
        <f t="shared" si="1041"/>
        <v>0.5</v>
      </c>
      <c r="AI661" s="419">
        <f t="shared" si="1022"/>
        <v>6750</v>
      </c>
      <c r="AJ661" s="419">
        <f t="shared" si="1018"/>
        <v>0</v>
      </c>
      <c r="AK661" s="415">
        <f t="shared" si="1023"/>
        <v>6750</v>
      </c>
      <c r="AL661" s="415">
        <f t="shared" si="1039"/>
        <v>13500</v>
      </c>
      <c r="AM661" s="323">
        <f t="shared" si="1046"/>
        <v>3375</v>
      </c>
      <c r="AN661" s="323">
        <f t="shared" si="1047"/>
        <v>0</v>
      </c>
      <c r="AO661" s="323">
        <f t="shared" si="1048"/>
        <v>3375</v>
      </c>
      <c r="AP661" s="323">
        <f t="shared" si="1049"/>
        <v>0</v>
      </c>
      <c r="AQ661" s="169" t="s">
        <v>1153</v>
      </c>
      <c r="AT661" s="169"/>
      <c r="AU661" s="169"/>
    </row>
    <row r="662" spans="1:47" s="172" customFormat="1" x14ac:dyDescent="0.3">
      <c r="A662" s="586">
        <v>12</v>
      </c>
      <c r="B662" s="583" t="s">
        <v>665</v>
      </c>
      <c r="C662" s="562" t="s">
        <v>544</v>
      </c>
      <c r="D662" s="536">
        <v>10</v>
      </c>
      <c r="E662" s="411">
        <v>8</v>
      </c>
      <c r="F662" s="512">
        <v>9</v>
      </c>
      <c r="G662" s="413">
        <v>1</v>
      </c>
      <c r="H662" s="413">
        <f t="shared" si="1050"/>
        <v>0</v>
      </c>
      <c r="I662" s="414">
        <f t="shared" si="1051"/>
        <v>720</v>
      </c>
      <c r="J662" s="415">
        <f t="shared" si="1052"/>
        <v>0</v>
      </c>
      <c r="K662" s="415">
        <f t="shared" si="1053"/>
        <v>288</v>
      </c>
      <c r="L662" s="415">
        <f t="shared" si="1054"/>
        <v>288</v>
      </c>
      <c r="M662" s="415">
        <f t="shared" si="1055"/>
        <v>144</v>
      </c>
      <c r="N662" s="416">
        <v>0</v>
      </c>
      <c r="O662" s="507" t="s">
        <v>666</v>
      </c>
      <c r="P662" s="174"/>
      <c r="Q662" s="562" t="s">
        <v>544</v>
      </c>
      <c r="R662" s="516">
        <v>10</v>
      </c>
      <c r="S662" s="411">
        <v>8</v>
      </c>
      <c r="T662" s="514">
        <v>9</v>
      </c>
      <c r="U662" s="413">
        <v>1</v>
      </c>
      <c r="V662" s="413">
        <f t="shared" si="1056"/>
        <v>0</v>
      </c>
      <c r="W662" s="419">
        <f t="shared" si="1057"/>
        <v>720</v>
      </c>
      <c r="X662" s="415">
        <f t="shared" si="1058"/>
        <v>0</v>
      </c>
      <c r="Y662" s="415">
        <f t="shared" si="1059"/>
        <v>720</v>
      </c>
      <c r="Z662" s="415"/>
      <c r="AA662" s="415"/>
      <c r="AB662" s="416">
        <v>0</v>
      </c>
      <c r="AC662" s="417" t="s">
        <v>666</v>
      </c>
      <c r="AD662" s="227"/>
      <c r="AE662" s="241">
        <v>12</v>
      </c>
      <c r="AF662" s="204" t="str">
        <f t="shared" si="1060"/>
        <v>Carte d'appel - Credit telephone</v>
      </c>
      <c r="AG662" s="413">
        <f t="shared" si="1040"/>
        <v>1</v>
      </c>
      <c r="AH662" s="413">
        <f t="shared" si="1041"/>
        <v>0</v>
      </c>
      <c r="AI662" s="419">
        <f t="shared" si="1022"/>
        <v>1440</v>
      </c>
      <c r="AJ662" s="419">
        <f t="shared" si="1018"/>
        <v>0</v>
      </c>
      <c r="AK662" s="415">
        <f t="shared" si="1023"/>
        <v>0</v>
      </c>
      <c r="AL662" s="415">
        <f t="shared" si="1039"/>
        <v>1440</v>
      </c>
      <c r="AM662" s="323">
        <f t="shared" si="1046"/>
        <v>720</v>
      </c>
      <c r="AN662" s="323">
        <f t="shared" si="1047"/>
        <v>0</v>
      </c>
      <c r="AO662" s="323">
        <f t="shared" si="1048"/>
        <v>720</v>
      </c>
      <c r="AP662" s="323">
        <f t="shared" si="1049"/>
        <v>0</v>
      </c>
      <c r="AQ662" s="169" t="s">
        <v>1153</v>
      </c>
      <c r="AT662" s="169"/>
      <c r="AU662" s="169"/>
    </row>
    <row r="663" spans="1:47" s="172" customFormat="1" x14ac:dyDescent="0.3">
      <c r="A663" s="586">
        <v>13</v>
      </c>
      <c r="B663" s="583" t="s">
        <v>1807</v>
      </c>
      <c r="C663" s="562" t="s">
        <v>667</v>
      </c>
      <c r="D663" s="536">
        <v>300</v>
      </c>
      <c r="E663" s="411">
        <v>1</v>
      </c>
      <c r="F663" s="512">
        <v>9</v>
      </c>
      <c r="G663" s="413">
        <v>0.5</v>
      </c>
      <c r="H663" s="413">
        <f t="shared" si="1050"/>
        <v>0.5</v>
      </c>
      <c r="I663" s="414">
        <f t="shared" si="1051"/>
        <v>1350</v>
      </c>
      <c r="J663" s="415">
        <f t="shared" si="1052"/>
        <v>1350</v>
      </c>
      <c r="K663" s="415">
        <f t="shared" si="1053"/>
        <v>540</v>
      </c>
      <c r="L663" s="415">
        <f t="shared" si="1054"/>
        <v>540</v>
      </c>
      <c r="M663" s="415">
        <f t="shared" si="1055"/>
        <v>270</v>
      </c>
      <c r="N663" s="416">
        <v>0</v>
      </c>
      <c r="O663" s="507" t="s">
        <v>668</v>
      </c>
      <c r="P663" s="174"/>
      <c r="Q663" s="562" t="s">
        <v>667</v>
      </c>
      <c r="R663" s="516">
        <v>300</v>
      </c>
      <c r="S663" s="411">
        <v>1</v>
      </c>
      <c r="T663" s="514">
        <v>9</v>
      </c>
      <c r="U663" s="413">
        <v>0.5</v>
      </c>
      <c r="V663" s="413">
        <f t="shared" si="1056"/>
        <v>0.5</v>
      </c>
      <c r="W663" s="419">
        <f t="shared" si="1057"/>
        <v>1350</v>
      </c>
      <c r="X663" s="415">
        <f t="shared" si="1058"/>
        <v>1350</v>
      </c>
      <c r="Y663" s="415">
        <f t="shared" si="1059"/>
        <v>1350</v>
      </c>
      <c r="Z663" s="415"/>
      <c r="AA663" s="415"/>
      <c r="AB663" s="416">
        <v>0</v>
      </c>
      <c r="AC663" s="417" t="s">
        <v>1808</v>
      </c>
      <c r="AD663" s="227"/>
      <c r="AE663" s="241">
        <v>13</v>
      </c>
      <c r="AF663" s="204" t="str">
        <f t="shared" si="1060"/>
        <v>Location bureau de rutshuru</v>
      </c>
      <c r="AG663" s="413">
        <f t="shared" si="1040"/>
        <v>0.5</v>
      </c>
      <c r="AH663" s="413">
        <f t="shared" si="1041"/>
        <v>0.5</v>
      </c>
      <c r="AI663" s="419">
        <f t="shared" si="1022"/>
        <v>2700</v>
      </c>
      <c r="AJ663" s="419">
        <f t="shared" ref="AJ663:AJ685" si="1061">N663+AB663</f>
        <v>0</v>
      </c>
      <c r="AK663" s="415">
        <f t="shared" si="1023"/>
        <v>2700</v>
      </c>
      <c r="AL663" s="415">
        <f t="shared" si="1039"/>
        <v>5400</v>
      </c>
      <c r="AM663" s="323">
        <f t="shared" si="1046"/>
        <v>1350</v>
      </c>
      <c r="AN663" s="323">
        <f t="shared" si="1047"/>
        <v>0</v>
      </c>
      <c r="AO663" s="323">
        <f t="shared" si="1048"/>
        <v>1350</v>
      </c>
      <c r="AP663" s="323">
        <f t="shared" si="1049"/>
        <v>0</v>
      </c>
      <c r="AQ663" s="169" t="s">
        <v>1153</v>
      </c>
      <c r="AT663" s="169"/>
      <c r="AU663" s="169"/>
    </row>
    <row r="664" spans="1:47" s="172" customFormat="1" x14ac:dyDescent="0.3">
      <c r="A664" s="586">
        <v>14</v>
      </c>
      <c r="B664" s="583" t="s">
        <v>1809</v>
      </c>
      <c r="C664" s="562" t="s">
        <v>667</v>
      </c>
      <c r="D664" s="536">
        <v>600</v>
      </c>
      <c r="E664" s="411">
        <v>1</v>
      </c>
      <c r="F664" s="512">
        <v>9</v>
      </c>
      <c r="G664" s="413">
        <v>0.5</v>
      </c>
      <c r="H664" s="413">
        <f t="shared" si="1050"/>
        <v>0.5</v>
      </c>
      <c r="I664" s="414">
        <f t="shared" si="1051"/>
        <v>2700</v>
      </c>
      <c r="J664" s="415">
        <f t="shared" si="1052"/>
        <v>2700</v>
      </c>
      <c r="K664" s="415">
        <f t="shared" si="1053"/>
        <v>1080</v>
      </c>
      <c r="L664" s="415">
        <f t="shared" si="1054"/>
        <v>1080</v>
      </c>
      <c r="M664" s="415">
        <f t="shared" si="1055"/>
        <v>540</v>
      </c>
      <c r="N664" s="416">
        <v>0</v>
      </c>
      <c r="O664" s="507" t="s">
        <v>669</v>
      </c>
      <c r="P664" s="174"/>
      <c r="Q664" s="562" t="s">
        <v>667</v>
      </c>
      <c r="R664" s="516">
        <v>600</v>
      </c>
      <c r="S664" s="411">
        <v>1</v>
      </c>
      <c r="T664" s="514">
        <v>9</v>
      </c>
      <c r="U664" s="413">
        <v>0.5</v>
      </c>
      <c r="V664" s="413">
        <f t="shared" si="1056"/>
        <v>0.5</v>
      </c>
      <c r="W664" s="419">
        <f t="shared" si="1057"/>
        <v>2700</v>
      </c>
      <c r="X664" s="415">
        <f t="shared" si="1058"/>
        <v>2700</v>
      </c>
      <c r="Y664" s="415">
        <f t="shared" si="1059"/>
        <v>2700</v>
      </c>
      <c r="Z664" s="415"/>
      <c r="AA664" s="415"/>
      <c r="AB664" s="416">
        <v>0</v>
      </c>
      <c r="AC664" s="417" t="s">
        <v>1810</v>
      </c>
      <c r="AD664" s="227"/>
      <c r="AE664" s="241">
        <v>14</v>
      </c>
      <c r="AF664" s="204" t="str">
        <f t="shared" si="1060"/>
        <v>Location bureau de Goma</v>
      </c>
      <c r="AG664" s="413">
        <f t="shared" si="1040"/>
        <v>0.5</v>
      </c>
      <c r="AH664" s="413">
        <f t="shared" si="1041"/>
        <v>0.5</v>
      </c>
      <c r="AI664" s="419">
        <f t="shared" si="1022"/>
        <v>5400</v>
      </c>
      <c r="AJ664" s="419">
        <f t="shared" si="1061"/>
        <v>0</v>
      </c>
      <c r="AK664" s="415">
        <f t="shared" si="1023"/>
        <v>5400</v>
      </c>
      <c r="AL664" s="415">
        <f t="shared" si="1039"/>
        <v>10800</v>
      </c>
      <c r="AM664" s="323">
        <f t="shared" si="1046"/>
        <v>2700</v>
      </c>
      <c r="AN664" s="323">
        <f t="shared" si="1047"/>
        <v>0</v>
      </c>
      <c r="AO664" s="323">
        <f t="shared" si="1048"/>
        <v>2700</v>
      </c>
      <c r="AP664" s="323">
        <f t="shared" si="1049"/>
        <v>0</v>
      </c>
      <c r="AQ664" s="169" t="s">
        <v>1153</v>
      </c>
      <c r="AT664" s="169"/>
      <c r="AU664" s="169"/>
    </row>
    <row r="665" spans="1:47" s="172" customFormat="1" x14ac:dyDescent="0.3">
      <c r="A665" s="586">
        <v>15</v>
      </c>
      <c r="B665" s="583" t="s">
        <v>670</v>
      </c>
      <c r="C665" s="562" t="s">
        <v>671</v>
      </c>
      <c r="D665" s="536">
        <v>30</v>
      </c>
      <c r="E665" s="411">
        <v>4</v>
      </c>
      <c r="F665" s="512">
        <v>9</v>
      </c>
      <c r="G665" s="413">
        <v>0</v>
      </c>
      <c r="H665" s="413">
        <f t="shared" si="1050"/>
        <v>1</v>
      </c>
      <c r="I665" s="414">
        <f t="shared" si="1051"/>
        <v>0</v>
      </c>
      <c r="J665" s="415">
        <f t="shared" si="1052"/>
        <v>1080</v>
      </c>
      <c r="K665" s="415">
        <f t="shared" si="1053"/>
        <v>0</v>
      </c>
      <c r="L665" s="415">
        <f t="shared" si="1054"/>
        <v>0</v>
      </c>
      <c r="M665" s="415">
        <f t="shared" si="1055"/>
        <v>0</v>
      </c>
      <c r="N665" s="416">
        <v>0</v>
      </c>
      <c r="O665" s="507" t="s">
        <v>670</v>
      </c>
      <c r="P665" s="174"/>
      <c r="Q665" s="562" t="s">
        <v>671</v>
      </c>
      <c r="R665" s="516">
        <v>30</v>
      </c>
      <c r="S665" s="411">
        <v>4</v>
      </c>
      <c r="T665" s="514">
        <v>9</v>
      </c>
      <c r="U665" s="413">
        <v>0</v>
      </c>
      <c r="V665" s="413">
        <f t="shared" si="1056"/>
        <v>1</v>
      </c>
      <c r="W665" s="419">
        <f t="shared" si="1057"/>
        <v>0</v>
      </c>
      <c r="X665" s="415">
        <f t="shared" si="1058"/>
        <v>1080</v>
      </c>
      <c r="Y665" s="415">
        <f t="shared" si="1059"/>
        <v>0</v>
      </c>
      <c r="Z665" s="415"/>
      <c r="AA665" s="415"/>
      <c r="AB665" s="416">
        <v>0</v>
      </c>
      <c r="AC665" s="417" t="s">
        <v>670</v>
      </c>
      <c r="AD665" s="227"/>
      <c r="AE665" s="241">
        <v>15</v>
      </c>
      <c r="AF665" s="204" t="str">
        <f t="shared" si="1060"/>
        <v>Lubrifiant pour le generateur</v>
      </c>
      <c r="AG665" s="413">
        <f t="shared" si="1040"/>
        <v>0</v>
      </c>
      <c r="AH665" s="413">
        <f t="shared" si="1041"/>
        <v>1</v>
      </c>
      <c r="AI665" s="419">
        <f t="shared" si="1022"/>
        <v>0</v>
      </c>
      <c r="AJ665" s="419">
        <f t="shared" si="1061"/>
        <v>0</v>
      </c>
      <c r="AK665" s="415">
        <f t="shared" si="1023"/>
        <v>2160</v>
      </c>
      <c r="AL665" s="415">
        <f t="shared" si="1039"/>
        <v>2160</v>
      </c>
      <c r="AM665" s="323">
        <f t="shared" si="1046"/>
        <v>0</v>
      </c>
      <c r="AN665" s="323">
        <f t="shared" si="1047"/>
        <v>0</v>
      </c>
      <c r="AO665" s="323">
        <f t="shared" si="1048"/>
        <v>0</v>
      </c>
      <c r="AP665" s="323">
        <f t="shared" si="1049"/>
        <v>0</v>
      </c>
      <c r="AQ665" s="169" t="s">
        <v>1153</v>
      </c>
      <c r="AT665" s="169"/>
      <c r="AU665" s="169"/>
    </row>
    <row r="666" spans="1:47" s="172" customFormat="1" x14ac:dyDescent="0.3">
      <c r="A666" s="586">
        <v>16</v>
      </c>
      <c r="B666" s="583" t="s">
        <v>627</v>
      </c>
      <c r="C666" s="562" t="s">
        <v>505</v>
      </c>
      <c r="D666" s="536">
        <v>25</v>
      </c>
      <c r="E666" s="411">
        <v>1</v>
      </c>
      <c r="F666" s="512">
        <v>9</v>
      </c>
      <c r="G666" s="413">
        <v>1</v>
      </c>
      <c r="H666" s="413">
        <f t="shared" si="1050"/>
        <v>0</v>
      </c>
      <c r="I666" s="414">
        <f t="shared" si="1051"/>
        <v>225</v>
      </c>
      <c r="J666" s="415">
        <f t="shared" si="1052"/>
        <v>0</v>
      </c>
      <c r="K666" s="415">
        <f t="shared" si="1053"/>
        <v>90</v>
      </c>
      <c r="L666" s="415">
        <f t="shared" si="1054"/>
        <v>90</v>
      </c>
      <c r="M666" s="415">
        <f t="shared" si="1055"/>
        <v>45</v>
      </c>
      <c r="N666" s="416">
        <v>0</v>
      </c>
      <c r="O666" s="507"/>
      <c r="P666" s="174"/>
      <c r="Q666" s="562" t="s">
        <v>505</v>
      </c>
      <c r="R666" s="516">
        <v>25</v>
      </c>
      <c r="S666" s="411">
        <v>1</v>
      </c>
      <c r="T666" s="514">
        <v>9</v>
      </c>
      <c r="U666" s="413">
        <v>1</v>
      </c>
      <c r="V666" s="413">
        <f t="shared" si="1056"/>
        <v>0</v>
      </c>
      <c r="W666" s="419">
        <f t="shared" si="1057"/>
        <v>225</v>
      </c>
      <c r="X666" s="415">
        <f t="shared" si="1058"/>
        <v>0</v>
      </c>
      <c r="Y666" s="415">
        <f t="shared" si="1059"/>
        <v>225</v>
      </c>
      <c r="Z666" s="415"/>
      <c r="AA666" s="415"/>
      <c r="AB666" s="416">
        <v>0</v>
      </c>
      <c r="AC666" s="417"/>
      <c r="AD666" s="227"/>
      <c r="AE666" s="241">
        <v>16</v>
      </c>
      <c r="AF666" s="204" t="str">
        <f t="shared" si="1060"/>
        <v xml:space="preserve">KIT PPE </v>
      </c>
      <c r="AG666" s="413">
        <f t="shared" si="1040"/>
        <v>1</v>
      </c>
      <c r="AH666" s="413">
        <f t="shared" si="1041"/>
        <v>0</v>
      </c>
      <c r="AI666" s="419">
        <f t="shared" si="1022"/>
        <v>450</v>
      </c>
      <c r="AJ666" s="419">
        <f t="shared" si="1061"/>
        <v>0</v>
      </c>
      <c r="AK666" s="415">
        <f t="shared" si="1023"/>
        <v>0</v>
      </c>
      <c r="AL666" s="415">
        <f t="shared" si="1039"/>
        <v>450</v>
      </c>
      <c r="AM666" s="323">
        <f t="shared" si="1046"/>
        <v>225</v>
      </c>
      <c r="AN666" s="323">
        <f t="shared" si="1047"/>
        <v>0</v>
      </c>
      <c r="AO666" s="323">
        <f t="shared" si="1048"/>
        <v>225</v>
      </c>
      <c r="AP666" s="323">
        <f t="shared" si="1049"/>
        <v>0</v>
      </c>
      <c r="AQ666" s="169" t="s">
        <v>1153</v>
      </c>
      <c r="AT666" s="169"/>
      <c r="AU666" s="169"/>
    </row>
    <row r="667" spans="1:47" s="181" customFormat="1" ht="27" customHeight="1" x14ac:dyDescent="0.3">
      <c r="A667" s="473" t="s">
        <v>293</v>
      </c>
      <c r="B667" s="474" t="s">
        <v>672</v>
      </c>
      <c r="C667" s="473"/>
      <c r="D667" s="475"/>
      <c r="E667" s="476"/>
      <c r="F667" s="476"/>
      <c r="G667" s="477"/>
      <c r="H667" s="477"/>
      <c r="I667" s="478">
        <f>I674+I668+I679</f>
        <v>28486</v>
      </c>
      <c r="J667" s="534">
        <f>J674+J668+J679</f>
        <v>0</v>
      </c>
      <c r="K667" s="534">
        <f t="shared" ref="K667:N667" si="1062">K674+K668+K679</f>
        <v>10852.727272727272</v>
      </c>
      <c r="L667" s="534">
        <f t="shared" si="1062"/>
        <v>10852.727272727272</v>
      </c>
      <c r="M667" s="534">
        <f t="shared" si="1062"/>
        <v>6780.545454545455</v>
      </c>
      <c r="N667" s="478">
        <f t="shared" si="1062"/>
        <v>0</v>
      </c>
      <c r="O667" s="479"/>
      <c r="Q667" s="473"/>
      <c r="R667" s="475"/>
      <c r="S667" s="476"/>
      <c r="T667" s="476"/>
      <c r="U667" s="477"/>
      <c r="V667" s="477"/>
      <c r="W667" s="534">
        <f>W674+W668+W679</f>
        <v>28486</v>
      </c>
      <c r="X667" s="534">
        <f t="shared" ref="X667:AB667" si="1063">X674+X668+X679</f>
        <v>0</v>
      </c>
      <c r="Y667" s="534">
        <f t="shared" si="1063"/>
        <v>10852.727272727272</v>
      </c>
      <c r="Z667" s="534">
        <f t="shared" si="1063"/>
        <v>10852.727272727272</v>
      </c>
      <c r="AA667" s="534">
        <f t="shared" si="1063"/>
        <v>6780.545454545455</v>
      </c>
      <c r="AB667" s="478">
        <f t="shared" si="1063"/>
        <v>0</v>
      </c>
      <c r="AC667" s="479"/>
      <c r="AD667" s="232"/>
      <c r="AE667" s="338" t="str">
        <f t="shared" ref="AE667:AE685" si="1064">A667</f>
        <v>GEEP G</v>
      </c>
      <c r="AF667" s="245" t="str">
        <f t="shared" si="1060"/>
        <v>Couts operationnels Gender</v>
      </c>
      <c r="AG667" s="477">
        <f t="shared" si="1040"/>
        <v>1</v>
      </c>
      <c r="AH667" s="477">
        <f t="shared" si="1041"/>
        <v>0</v>
      </c>
      <c r="AI667" s="534">
        <f t="shared" si="1022"/>
        <v>56972</v>
      </c>
      <c r="AJ667" s="534">
        <f t="shared" si="1061"/>
        <v>0</v>
      </c>
      <c r="AK667" s="534">
        <f t="shared" si="1023"/>
        <v>0</v>
      </c>
      <c r="AL667" s="534">
        <f t="shared" si="1039"/>
        <v>56972</v>
      </c>
      <c r="AM667" s="321">
        <f t="shared" si="1046"/>
        <v>28486</v>
      </c>
      <c r="AN667" s="321">
        <f t="shared" si="1047"/>
        <v>0</v>
      </c>
      <c r="AO667" s="321">
        <f t="shared" si="1048"/>
        <v>28486</v>
      </c>
      <c r="AP667" s="321">
        <f t="shared" si="1049"/>
        <v>0</v>
      </c>
      <c r="AU667" s="340"/>
    </row>
    <row r="668" spans="1:47" ht="12.75" customHeight="1" x14ac:dyDescent="0.3">
      <c r="A668" s="480" t="s">
        <v>1811</v>
      </c>
      <c r="B668" s="861" t="s">
        <v>673</v>
      </c>
      <c r="C668" s="862"/>
      <c r="D668" s="862"/>
      <c r="E668" s="862"/>
      <c r="F668" s="862"/>
      <c r="G668" s="862"/>
      <c r="H668" s="863"/>
      <c r="I668" s="481">
        <f t="shared" ref="I668:N668" si="1065">SUM(I669:I673)</f>
        <v>14896</v>
      </c>
      <c r="J668" s="482">
        <f t="shared" si="1065"/>
        <v>0</v>
      </c>
      <c r="K668" s="482">
        <f t="shared" si="1065"/>
        <v>5416.727272727273</v>
      </c>
      <c r="L668" s="482">
        <f t="shared" si="1065"/>
        <v>5416.727272727273</v>
      </c>
      <c r="M668" s="482">
        <f t="shared" si="1065"/>
        <v>4062.545454545455</v>
      </c>
      <c r="N668" s="481">
        <f t="shared" si="1065"/>
        <v>0</v>
      </c>
      <c r="O668" s="508"/>
      <c r="Q668" s="538"/>
      <c r="R668" s="539"/>
      <c r="S668" s="538"/>
      <c r="T668" s="539"/>
      <c r="U668" s="539"/>
      <c r="V668" s="484"/>
      <c r="W668" s="482">
        <f t="shared" ref="W668:AB668" si="1066">SUM(W669:W673)</f>
        <v>14896</v>
      </c>
      <c r="X668" s="482">
        <f t="shared" si="1066"/>
        <v>0</v>
      </c>
      <c r="Y668" s="482">
        <f t="shared" si="1066"/>
        <v>5416.727272727273</v>
      </c>
      <c r="Z668" s="482">
        <f t="shared" si="1066"/>
        <v>5416.727272727273</v>
      </c>
      <c r="AA668" s="482">
        <f t="shared" si="1066"/>
        <v>4062.545454545455</v>
      </c>
      <c r="AB668" s="481">
        <f t="shared" si="1066"/>
        <v>0</v>
      </c>
      <c r="AC668" s="508"/>
      <c r="AD668" s="234"/>
      <c r="AE668" s="247" t="str">
        <f t="shared" si="1064"/>
        <v>Activité 11.1</v>
      </c>
      <c r="AF668" s="204" t="str">
        <f t="shared" si="1060"/>
        <v>Materiels, Outils de commununication et autres fournitures pour la mise en place de l'approche Washindi</v>
      </c>
      <c r="AG668" s="485">
        <f t="shared" si="1040"/>
        <v>1</v>
      </c>
      <c r="AH668" s="485">
        <f t="shared" si="1041"/>
        <v>0</v>
      </c>
      <c r="AI668" s="482">
        <f t="shared" si="1022"/>
        <v>29792</v>
      </c>
      <c r="AJ668" s="482">
        <f t="shared" si="1061"/>
        <v>0</v>
      </c>
      <c r="AK668" s="482">
        <f t="shared" si="1023"/>
        <v>0</v>
      </c>
      <c r="AL668" s="482">
        <f t="shared" si="1039"/>
        <v>29792</v>
      </c>
      <c r="AM668" s="314">
        <f t="shared" si="1046"/>
        <v>14896</v>
      </c>
      <c r="AN668" s="314">
        <f t="shared" si="1047"/>
        <v>0</v>
      </c>
      <c r="AO668" s="314">
        <f t="shared" si="1048"/>
        <v>14896</v>
      </c>
      <c r="AP668" s="314">
        <f t="shared" si="1049"/>
        <v>0</v>
      </c>
      <c r="AQ668" s="186" t="s">
        <v>898</v>
      </c>
      <c r="AR668" s="169" t="s">
        <v>516</v>
      </c>
      <c r="AU668" s="177"/>
    </row>
    <row r="669" spans="1:47" s="169" customFormat="1" x14ac:dyDescent="0.3">
      <c r="A669" s="588">
        <v>1</v>
      </c>
      <c r="B669" s="517" t="s">
        <v>1812</v>
      </c>
      <c r="C669" s="592" t="s">
        <v>554</v>
      </c>
      <c r="D669" s="536">
        <v>60</v>
      </c>
      <c r="E669" s="593">
        <v>22.5</v>
      </c>
      <c r="F669" s="512">
        <v>8</v>
      </c>
      <c r="G669" s="486">
        <v>1</v>
      </c>
      <c r="H669" s="486">
        <f t="shared" ref="H669:H673" si="1067">100%-G669</f>
        <v>0</v>
      </c>
      <c r="I669" s="416">
        <f t="shared" ref="I669:I673" si="1068">D669*E669*F669*G669</f>
        <v>10800</v>
      </c>
      <c r="J669" s="487">
        <f t="shared" ref="J669:J673" si="1069">D669*E669*F669*H669</f>
        <v>0</v>
      </c>
      <c r="K669" s="487">
        <f t="shared" ref="K669:K673" si="1070">I669*4/11</f>
        <v>3927.2727272727275</v>
      </c>
      <c r="L669" s="487">
        <f t="shared" ref="L669:L673" si="1071">I669*4/11</f>
        <v>3927.2727272727275</v>
      </c>
      <c r="M669" s="487">
        <f t="shared" ref="M669:M673" si="1072">I669*3/11</f>
        <v>2945.4545454545455</v>
      </c>
      <c r="N669" s="416">
        <v>0</v>
      </c>
      <c r="O669" s="507" t="s">
        <v>1813</v>
      </c>
      <c r="P669" s="171"/>
      <c r="Q669" s="592" t="s">
        <v>554</v>
      </c>
      <c r="R669" s="536">
        <v>60</v>
      </c>
      <c r="S669" s="593">
        <v>22.5</v>
      </c>
      <c r="T669" s="512">
        <v>8</v>
      </c>
      <c r="U669" s="486">
        <v>1</v>
      </c>
      <c r="V669" s="486">
        <f t="shared" ref="V669:V673" si="1073">100%-U669</f>
        <v>0</v>
      </c>
      <c r="W669" s="416">
        <f t="shared" ref="W669:W673" si="1074">R669*S669*T669*U669</f>
        <v>10800</v>
      </c>
      <c r="X669" s="487">
        <f t="shared" ref="X669:X673" si="1075">R669*S669*T669*V669</f>
        <v>0</v>
      </c>
      <c r="Y669" s="487">
        <f t="shared" ref="Y669:Y673" si="1076">W669*4/11</f>
        <v>3927.2727272727275</v>
      </c>
      <c r="Z669" s="487">
        <f t="shared" ref="Z669:Z673" si="1077">W669*4/11</f>
        <v>3927.2727272727275</v>
      </c>
      <c r="AA669" s="487">
        <f t="shared" ref="AA669:AA673" si="1078">W669*3/11</f>
        <v>2945.4545454545455</v>
      </c>
      <c r="AB669" s="416">
        <v>0</v>
      </c>
      <c r="AC669" s="507" t="s">
        <v>1813</v>
      </c>
      <c r="AD669" s="227"/>
      <c r="AE669" s="241">
        <f t="shared" si="1064"/>
        <v>1</v>
      </c>
      <c r="AF669" s="204" t="str">
        <f t="shared" si="1060"/>
        <v xml:space="preserve">Location véhicule pendant 8 mois </v>
      </c>
      <c r="AG669" s="486">
        <f t="shared" si="1040"/>
        <v>1</v>
      </c>
      <c r="AH669" s="486">
        <f t="shared" si="1041"/>
        <v>0</v>
      </c>
      <c r="AI669" s="506">
        <f t="shared" ref="AI669:AI691" si="1079">I669+W669</f>
        <v>21600</v>
      </c>
      <c r="AJ669" s="506">
        <f t="shared" si="1061"/>
        <v>0</v>
      </c>
      <c r="AK669" s="487">
        <f t="shared" ref="AK669:AK688" si="1080">J669+X669</f>
        <v>0</v>
      </c>
      <c r="AL669" s="487">
        <f t="shared" ref="AL669:AL678" si="1081">AI669+AJ669+AK669</f>
        <v>21600</v>
      </c>
      <c r="AM669" s="316">
        <f t="shared" si="1046"/>
        <v>10800</v>
      </c>
      <c r="AN669" s="316">
        <f t="shared" si="1047"/>
        <v>0</v>
      </c>
      <c r="AO669" s="316">
        <f t="shared" si="1048"/>
        <v>10800</v>
      </c>
      <c r="AP669" s="316">
        <f t="shared" si="1049"/>
        <v>0</v>
      </c>
      <c r="AQ669" s="186" t="s">
        <v>898</v>
      </c>
      <c r="AR669" s="169" t="s">
        <v>516</v>
      </c>
    </row>
    <row r="670" spans="1:47" s="169" customFormat="1" x14ac:dyDescent="0.3">
      <c r="A670" s="588">
        <v>2</v>
      </c>
      <c r="B670" s="590" t="s">
        <v>676</v>
      </c>
      <c r="C670" s="594" t="s">
        <v>522</v>
      </c>
      <c r="D670" s="536">
        <v>120</v>
      </c>
      <c r="E670" s="411">
        <v>8</v>
      </c>
      <c r="F670" s="512">
        <v>1</v>
      </c>
      <c r="G670" s="486">
        <v>1</v>
      </c>
      <c r="H670" s="486">
        <f t="shared" si="1067"/>
        <v>0</v>
      </c>
      <c r="I670" s="416">
        <f t="shared" si="1068"/>
        <v>960</v>
      </c>
      <c r="J670" s="487">
        <f t="shared" si="1069"/>
        <v>0</v>
      </c>
      <c r="K670" s="487">
        <f t="shared" si="1070"/>
        <v>349.09090909090907</v>
      </c>
      <c r="L670" s="487">
        <f t="shared" si="1071"/>
        <v>349.09090909090907</v>
      </c>
      <c r="M670" s="487">
        <f t="shared" si="1072"/>
        <v>261.81818181818181</v>
      </c>
      <c r="N670" s="416">
        <v>0</v>
      </c>
      <c r="O670" s="507"/>
      <c r="P670" s="171"/>
      <c r="Q670" s="594" t="s">
        <v>522</v>
      </c>
      <c r="R670" s="536">
        <v>120</v>
      </c>
      <c r="S670" s="411">
        <v>8</v>
      </c>
      <c r="T670" s="512">
        <v>1</v>
      </c>
      <c r="U670" s="486">
        <v>1</v>
      </c>
      <c r="V670" s="486">
        <f t="shared" si="1073"/>
        <v>0</v>
      </c>
      <c r="W670" s="416">
        <f t="shared" si="1074"/>
        <v>960</v>
      </c>
      <c r="X670" s="487">
        <f t="shared" si="1075"/>
        <v>0</v>
      </c>
      <c r="Y670" s="487">
        <f t="shared" si="1076"/>
        <v>349.09090909090907</v>
      </c>
      <c r="Z670" s="487">
        <f t="shared" si="1077"/>
        <v>349.09090909090907</v>
      </c>
      <c r="AA670" s="487">
        <f t="shared" si="1078"/>
        <v>261.81818181818181</v>
      </c>
      <c r="AB670" s="416">
        <v>0</v>
      </c>
      <c r="AC670" s="507"/>
      <c r="AD670" s="227"/>
      <c r="AE670" s="241">
        <f t="shared" si="1064"/>
        <v>2</v>
      </c>
      <c r="AF670" s="204" t="str">
        <f t="shared" si="1060"/>
        <v xml:space="preserve">Kit covid-19(Masques, termofaflash, lave mains </v>
      </c>
      <c r="AG670" s="486">
        <f t="shared" si="1040"/>
        <v>1</v>
      </c>
      <c r="AH670" s="486">
        <f t="shared" si="1041"/>
        <v>0</v>
      </c>
      <c r="AI670" s="506">
        <f t="shared" si="1079"/>
        <v>1920</v>
      </c>
      <c r="AJ670" s="506">
        <f t="shared" si="1061"/>
        <v>0</v>
      </c>
      <c r="AK670" s="487">
        <f t="shared" si="1080"/>
        <v>0</v>
      </c>
      <c r="AL670" s="487">
        <f t="shared" si="1081"/>
        <v>1920</v>
      </c>
      <c r="AM670" s="316">
        <f t="shared" si="1046"/>
        <v>960</v>
      </c>
      <c r="AN670" s="316">
        <f t="shared" si="1047"/>
        <v>0</v>
      </c>
      <c r="AO670" s="316">
        <f t="shared" si="1048"/>
        <v>960</v>
      </c>
      <c r="AP670" s="316">
        <f t="shared" si="1049"/>
        <v>0</v>
      </c>
      <c r="AQ670" s="186" t="s">
        <v>898</v>
      </c>
      <c r="AR670" s="169" t="s">
        <v>516</v>
      </c>
    </row>
    <row r="671" spans="1:47" s="169" customFormat="1" x14ac:dyDescent="0.3">
      <c r="A671" s="588">
        <v>3</v>
      </c>
      <c r="B671" s="590" t="s">
        <v>678</v>
      </c>
      <c r="C671" s="594" t="s">
        <v>480</v>
      </c>
      <c r="D671" s="536">
        <v>100</v>
      </c>
      <c r="E671" s="411">
        <v>16</v>
      </c>
      <c r="F671" s="512">
        <v>1</v>
      </c>
      <c r="G671" s="486">
        <v>1</v>
      </c>
      <c r="H671" s="486">
        <f t="shared" si="1067"/>
        <v>0</v>
      </c>
      <c r="I671" s="416">
        <f t="shared" si="1068"/>
        <v>1600</v>
      </c>
      <c r="J671" s="487">
        <f t="shared" si="1069"/>
        <v>0</v>
      </c>
      <c r="K671" s="487">
        <f t="shared" si="1070"/>
        <v>581.81818181818187</v>
      </c>
      <c r="L671" s="487">
        <f t="shared" si="1071"/>
        <v>581.81818181818187</v>
      </c>
      <c r="M671" s="487">
        <f t="shared" si="1072"/>
        <v>436.36363636363637</v>
      </c>
      <c r="N671" s="416">
        <v>0</v>
      </c>
      <c r="O671" s="507" t="s">
        <v>1814</v>
      </c>
      <c r="P671" s="171"/>
      <c r="Q671" s="594" t="s">
        <v>480</v>
      </c>
      <c r="R671" s="536">
        <v>100</v>
      </c>
      <c r="S671" s="411">
        <v>16</v>
      </c>
      <c r="T671" s="512">
        <v>1</v>
      </c>
      <c r="U671" s="486">
        <v>1</v>
      </c>
      <c r="V671" s="486">
        <f t="shared" si="1073"/>
        <v>0</v>
      </c>
      <c r="W671" s="416">
        <f t="shared" si="1074"/>
        <v>1600</v>
      </c>
      <c r="X671" s="487">
        <f t="shared" si="1075"/>
        <v>0</v>
      </c>
      <c r="Y671" s="487">
        <f t="shared" si="1076"/>
        <v>581.81818181818187</v>
      </c>
      <c r="Z671" s="487">
        <f t="shared" si="1077"/>
        <v>581.81818181818187</v>
      </c>
      <c r="AA671" s="487">
        <f t="shared" si="1078"/>
        <v>436.36363636363637</v>
      </c>
      <c r="AB671" s="416">
        <v>0</v>
      </c>
      <c r="AC671" s="507" t="s">
        <v>1814</v>
      </c>
      <c r="AD671" s="227"/>
      <c r="AE671" s="241">
        <f t="shared" si="1064"/>
        <v>3</v>
      </c>
      <c r="AF671" s="204" t="str">
        <f t="shared" si="1060"/>
        <v>Dictaphones</v>
      </c>
      <c r="AG671" s="486">
        <f t="shared" si="1040"/>
        <v>1</v>
      </c>
      <c r="AH671" s="486">
        <f t="shared" si="1041"/>
        <v>0</v>
      </c>
      <c r="AI671" s="506">
        <f t="shared" si="1079"/>
        <v>3200</v>
      </c>
      <c r="AJ671" s="506">
        <f t="shared" si="1061"/>
        <v>0</v>
      </c>
      <c r="AK671" s="487">
        <f t="shared" si="1080"/>
        <v>0</v>
      </c>
      <c r="AL671" s="487">
        <f t="shared" si="1081"/>
        <v>3200</v>
      </c>
      <c r="AM671" s="316">
        <f t="shared" si="1046"/>
        <v>1600</v>
      </c>
      <c r="AN671" s="316">
        <f t="shared" si="1047"/>
        <v>0</v>
      </c>
      <c r="AO671" s="316">
        <f t="shared" si="1048"/>
        <v>1600</v>
      </c>
      <c r="AP671" s="316">
        <f t="shared" si="1049"/>
        <v>0</v>
      </c>
      <c r="AQ671" s="186" t="s">
        <v>898</v>
      </c>
      <c r="AR671" s="169" t="s">
        <v>516</v>
      </c>
    </row>
    <row r="672" spans="1:47" s="169" customFormat="1" x14ac:dyDescent="0.3">
      <c r="A672" s="588">
        <v>4</v>
      </c>
      <c r="B672" s="590" t="s">
        <v>680</v>
      </c>
      <c r="C672" s="594" t="s">
        <v>480</v>
      </c>
      <c r="D672" s="536">
        <v>7</v>
      </c>
      <c r="E672" s="411">
        <v>48</v>
      </c>
      <c r="F672" s="512">
        <v>1</v>
      </c>
      <c r="G672" s="486">
        <v>1</v>
      </c>
      <c r="H672" s="486">
        <f t="shared" si="1067"/>
        <v>0</v>
      </c>
      <c r="I672" s="416">
        <f t="shared" si="1068"/>
        <v>336</v>
      </c>
      <c r="J672" s="487">
        <f t="shared" si="1069"/>
        <v>0</v>
      </c>
      <c r="K672" s="487">
        <f t="shared" si="1070"/>
        <v>122.18181818181819</v>
      </c>
      <c r="L672" s="487">
        <f t="shared" si="1071"/>
        <v>122.18181818181819</v>
      </c>
      <c r="M672" s="487">
        <f t="shared" si="1072"/>
        <v>91.63636363636364</v>
      </c>
      <c r="N672" s="416">
        <v>0</v>
      </c>
      <c r="O672" s="507" t="s">
        <v>1815</v>
      </c>
      <c r="P672" s="171"/>
      <c r="Q672" s="594" t="s">
        <v>480</v>
      </c>
      <c r="R672" s="536">
        <v>7</v>
      </c>
      <c r="S672" s="411">
        <v>48</v>
      </c>
      <c r="T672" s="512">
        <v>1</v>
      </c>
      <c r="U672" s="486">
        <v>1</v>
      </c>
      <c r="V672" s="486">
        <f t="shared" si="1073"/>
        <v>0</v>
      </c>
      <c r="W672" s="416">
        <f t="shared" si="1074"/>
        <v>336</v>
      </c>
      <c r="X672" s="487">
        <f t="shared" si="1075"/>
        <v>0</v>
      </c>
      <c r="Y672" s="487">
        <f t="shared" si="1076"/>
        <v>122.18181818181819</v>
      </c>
      <c r="Z672" s="487">
        <f t="shared" si="1077"/>
        <v>122.18181818181819</v>
      </c>
      <c r="AA672" s="487">
        <f t="shared" si="1078"/>
        <v>91.63636363636364</v>
      </c>
      <c r="AB672" s="416">
        <v>0</v>
      </c>
      <c r="AC672" s="507" t="s">
        <v>1815</v>
      </c>
      <c r="AD672" s="227"/>
      <c r="AE672" s="241">
        <f t="shared" si="1064"/>
        <v>4</v>
      </c>
      <c r="AF672" s="204" t="str">
        <f t="shared" si="1060"/>
        <v>Production des t-shirt pour les facilitateurs et les IT</v>
      </c>
      <c r="AG672" s="486">
        <f t="shared" ref="AG672:AG678" si="1082">AI672/($AI672+$AK672)</f>
        <v>1</v>
      </c>
      <c r="AH672" s="486">
        <f t="shared" ref="AH672:AH678" si="1083">AK672/($AI672+$AK672)</f>
        <v>0</v>
      </c>
      <c r="AI672" s="506">
        <f t="shared" si="1079"/>
        <v>672</v>
      </c>
      <c r="AJ672" s="506">
        <f t="shared" si="1061"/>
        <v>0</v>
      </c>
      <c r="AK672" s="487">
        <f t="shared" si="1080"/>
        <v>0</v>
      </c>
      <c r="AL672" s="487">
        <f t="shared" si="1081"/>
        <v>672</v>
      </c>
      <c r="AM672" s="316">
        <f t="shared" si="1046"/>
        <v>336</v>
      </c>
      <c r="AN672" s="316">
        <f t="shared" si="1047"/>
        <v>0</v>
      </c>
      <c r="AO672" s="316">
        <f t="shared" si="1048"/>
        <v>336</v>
      </c>
      <c r="AP672" s="316">
        <f t="shared" si="1049"/>
        <v>0</v>
      </c>
      <c r="AQ672" s="186" t="s">
        <v>898</v>
      </c>
      <c r="AR672" s="169" t="s">
        <v>516</v>
      </c>
    </row>
    <row r="673" spans="1:47" s="169" customFormat="1" x14ac:dyDescent="0.3">
      <c r="A673" s="588">
        <v>5</v>
      </c>
      <c r="B673" s="517" t="s">
        <v>682</v>
      </c>
      <c r="C673" s="592" t="s">
        <v>480</v>
      </c>
      <c r="D673" s="536">
        <v>25</v>
      </c>
      <c r="E673" s="411">
        <v>48</v>
      </c>
      <c r="F673" s="512">
        <v>1</v>
      </c>
      <c r="G673" s="486">
        <v>1</v>
      </c>
      <c r="H673" s="486">
        <f t="shared" si="1067"/>
        <v>0</v>
      </c>
      <c r="I673" s="416">
        <f t="shared" si="1068"/>
        <v>1200</v>
      </c>
      <c r="J673" s="487">
        <f t="shared" si="1069"/>
        <v>0</v>
      </c>
      <c r="K673" s="487">
        <f t="shared" si="1070"/>
        <v>436.36363636363637</v>
      </c>
      <c r="L673" s="487">
        <f t="shared" si="1071"/>
        <v>436.36363636363637</v>
      </c>
      <c r="M673" s="487">
        <f t="shared" si="1072"/>
        <v>327.27272727272725</v>
      </c>
      <c r="N673" s="416">
        <v>0</v>
      </c>
      <c r="O673" s="507" t="s">
        <v>1816</v>
      </c>
      <c r="P673" s="171"/>
      <c r="Q673" s="592" t="s">
        <v>480</v>
      </c>
      <c r="R673" s="536">
        <v>25</v>
      </c>
      <c r="S673" s="411">
        <v>48</v>
      </c>
      <c r="T673" s="512">
        <v>1</v>
      </c>
      <c r="U673" s="486">
        <v>1</v>
      </c>
      <c r="V673" s="486">
        <f t="shared" si="1073"/>
        <v>0</v>
      </c>
      <c r="W673" s="416">
        <f t="shared" si="1074"/>
        <v>1200</v>
      </c>
      <c r="X673" s="487">
        <f t="shared" si="1075"/>
        <v>0</v>
      </c>
      <c r="Y673" s="487">
        <f t="shared" si="1076"/>
        <v>436.36363636363637</v>
      </c>
      <c r="Z673" s="487">
        <f t="shared" si="1077"/>
        <v>436.36363636363637</v>
      </c>
      <c r="AA673" s="487">
        <f t="shared" si="1078"/>
        <v>327.27272727272725</v>
      </c>
      <c r="AB673" s="416">
        <v>0</v>
      </c>
      <c r="AC673" s="507" t="s">
        <v>1816</v>
      </c>
      <c r="AD673" s="227"/>
      <c r="AE673" s="241">
        <f t="shared" si="1064"/>
        <v>5</v>
      </c>
      <c r="AF673" s="204" t="str">
        <f t="shared" si="1060"/>
        <v xml:space="preserve">Production des boites à image </v>
      </c>
      <c r="AG673" s="486">
        <f t="shared" si="1082"/>
        <v>1</v>
      </c>
      <c r="AH673" s="486">
        <f t="shared" si="1083"/>
        <v>0</v>
      </c>
      <c r="AI673" s="506">
        <f t="shared" si="1079"/>
        <v>2400</v>
      </c>
      <c r="AJ673" s="506">
        <f t="shared" si="1061"/>
        <v>0</v>
      </c>
      <c r="AK673" s="487">
        <f t="shared" si="1080"/>
        <v>0</v>
      </c>
      <c r="AL673" s="487">
        <f t="shared" si="1081"/>
        <v>2400</v>
      </c>
      <c r="AM673" s="316">
        <f t="shared" si="1046"/>
        <v>1200</v>
      </c>
      <c r="AN673" s="316">
        <f t="shared" si="1047"/>
        <v>0</v>
      </c>
      <c r="AO673" s="316">
        <f t="shared" si="1048"/>
        <v>1200</v>
      </c>
      <c r="AP673" s="316">
        <f t="shared" si="1049"/>
        <v>0</v>
      </c>
      <c r="AQ673" s="186" t="s">
        <v>898</v>
      </c>
      <c r="AR673" s="169" t="s">
        <v>516</v>
      </c>
    </row>
    <row r="674" spans="1:47" x14ac:dyDescent="0.3">
      <c r="A674" s="480" t="s">
        <v>1817</v>
      </c>
      <c r="B674" s="861" t="s">
        <v>683</v>
      </c>
      <c r="C674" s="862"/>
      <c r="D674" s="862"/>
      <c r="E674" s="862"/>
      <c r="F674" s="862"/>
      <c r="G674" s="862"/>
      <c r="H674" s="863"/>
      <c r="I674" s="481">
        <f t="shared" ref="I674:N674" si="1084">SUM(I675:I678)</f>
        <v>6975</v>
      </c>
      <c r="J674" s="482">
        <f t="shared" si="1084"/>
        <v>0</v>
      </c>
      <c r="K674" s="482">
        <f t="shared" si="1084"/>
        <v>2790</v>
      </c>
      <c r="L674" s="482">
        <f t="shared" si="1084"/>
        <v>2790</v>
      </c>
      <c r="M674" s="482">
        <f t="shared" si="1084"/>
        <v>1395</v>
      </c>
      <c r="N674" s="481">
        <f t="shared" si="1084"/>
        <v>0</v>
      </c>
      <c r="O674" s="508"/>
      <c r="Q674" s="538"/>
      <c r="R674" s="539"/>
      <c r="S674" s="538"/>
      <c r="T674" s="539"/>
      <c r="U674" s="539"/>
      <c r="V674" s="484"/>
      <c r="W674" s="482">
        <f t="shared" ref="W674:AB674" si="1085">SUM(W675:W678)</f>
        <v>6975</v>
      </c>
      <c r="X674" s="482">
        <f t="shared" si="1085"/>
        <v>0</v>
      </c>
      <c r="Y674" s="482">
        <f t="shared" si="1085"/>
        <v>2790</v>
      </c>
      <c r="Z674" s="482">
        <f t="shared" si="1085"/>
        <v>2790</v>
      </c>
      <c r="AA674" s="482">
        <f t="shared" si="1085"/>
        <v>1395</v>
      </c>
      <c r="AB674" s="481">
        <f t="shared" si="1085"/>
        <v>0</v>
      </c>
      <c r="AC674" s="508"/>
      <c r="AD674" s="234"/>
      <c r="AE674" s="247" t="str">
        <f t="shared" si="1064"/>
        <v>Activité 11.2</v>
      </c>
      <c r="AF674" s="204" t="str">
        <f t="shared" si="1060"/>
        <v xml:space="preserve">Personnel indirect pour la mise en place de l'approche Washindi </v>
      </c>
      <c r="AG674" s="485">
        <f t="shared" si="1082"/>
        <v>1</v>
      </c>
      <c r="AH674" s="485">
        <f t="shared" si="1083"/>
        <v>0</v>
      </c>
      <c r="AI674" s="482">
        <f t="shared" si="1079"/>
        <v>13950</v>
      </c>
      <c r="AJ674" s="482">
        <f t="shared" si="1061"/>
        <v>0</v>
      </c>
      <c r="AK674" s="482">
        <f t="shared" si="1080"/>
        <v>0</v>
      </c>
      <c r="AL674" s="482">
        <f t="shared" si="1081"/>
        <v>13950</v>
      </c>
      <c r="AM674" s="314">
        <f t="shared" si="1046"/>
        <v>6975</v>
      </c>
      <c r="AN674" s="314">
        <f t="shared" si="1047"/>
        <v>0</v>
      </c>
      <c r="AO674" s="314">
        <f t="shared" si="1048"/>
        <v>6975</v>
      </c>
      <c r="AP674" s="314">
        <f t="shared" si="1049"/>
        <v>0</v>
      </c>
      <c r="AQ674" s="186" t="s">
        <v>898</v>
      </c>
      <c r="AR674" s="169" t="s">
        <v>516</v>
      </c>
    </row>
    <row r="675" spans="1:47" s="199" customFormat="1" ht="13.5" customHeight="1" x14ac:dyDescent="0.3">
      <c r="A675" s="595">
        <v>1</v>
      </c>
      <c r="B675" s="562" t="s">
        <v>685</v>
      </c>
      <c r="C675" s="562" t="s">
        <v>556</v>
      </c>
      <c r="D675" s="410">
        <v>250</v>
      </c>
      <c r="E675" s="411">
        <v>1</v>
      </c>
      <c r="F675" s="412">
        <v>9</v>
      </c>
      <c r="G675" s="413">
        <v>1</v>
      </c>
      <c r="H675" s="413">
        <f t="shared" ref="H675:H678" si="1086">100%-G675</f>
        <v>0</v>
      </c>
      <c r="I675" s="414">
        <f t="shared" ref="I675:I678" si="1087">D675*E675*F675*G675</f>
        <v>2250</v>
      </c>
      <c r="J675" s="415">
        <f t="shared" ref="J675:J678" si="1088">D675*E675*F675*H675</f>
        <v>0</v>
      </c>
      <c r="K675" s="415">
        <f t="shared" ref="K675:K678" si="1089">I675*40%</f>
        <v>900</v>
      </c>
      <c r="L675" s="415">
        <f t="shared" ref="L675:L678" si="1090">I675*40%</f>
        <v>900</v>
      </c>
      <c r="M675" s="415">
        <f t="shared" ref="M675:M678" si="1091">I675*20%</f>
        <v>450</v>
      </c>
      <c r="N675" s="416">
        <v>0</v>
      </c>
      <c r="O675" s="417" t="s">
        <v>686</v>
      </c>
      <c r="P675" s="200"/>
      <c r="Q675" s="562" t="s">
        <v>556</v>
      </c>
      <c r="R675" s="410">
        <v>250</v>
      </c>
      <c r="S675" s="411">
        <v>1</v>
      </c>
      <c r="T675" s="412">
        <v>9</v>
      </c>
      <c r="U675" s="413">
        <v>1</v>
      </c>
      <c r="V675" s="413">
        <f t="shared" ref="V675:V678" si="1092">100%-U675</f>
        <v>0</v>
      </c>
      <c r="W675" s="414">
        <f t="shared" ref="W675:W678" si="1093">R675*S675*T675*U675</f>
        <v>2250</v>
      </c>
      <c r="X675" s="415">
        <f t="shared" ref="X675:X678" si="1094">R675*S675*T675*V675</f>
        <v>0</v>
      </c>
      <c r="Y675" s="415">
        <f t="shared" ref="Y675:Y678" si="1095">W675*40%</f>
        <v>900</v>
      </c>
      <c r="Z675" s="415">
        <f t="shared" ref="Z675:Z678" si="1096">W675*40%</f>
        <v>900</v>
      </c>
      <c r="AA675" s="415">
        <f t="shared" ref="AA675:AA678" si="1097">W675*20%</f>
        <v>450</v>
      </c>
      <c r="AB675" s="416">
        <v>0</v>
      </c>
      <c r="AC675" s="417" t="s">
        <v>686</v>
      </c>
      <c r="AD675" s="227"/>
      <c r="AE675" s="241">
        <f t="shared" si="1064"/>
        <v>1</v>
      </c>
      <c r="AF675" s="204" t="str">
        <f t="shared" si="1060"/>
        <v>Chargé des programmes (25%)</v>
      </c>
      <c r="AG675" s="413">
        <f t="shared" si="1082"/>
        <v>1</v>
      </c>
      <c r="AH675" s="413">
        <f t="shared" si="1083"/>
        <v>0</v>
      </c>
      <c r="AI675" s="419">
        <f t="shared" si="1079"/>
        <v>4500</v>
      </c>
      <c r="AJ675" s="419">
        <f t="shared" si="1061"/>
        <v>0</v>
      </c>
      <c r="AK675" s="415">
        <f t="shared" si="1080"/>
        <v>0</v>
      </c>
      <c r="AL675" s="415">
        <f t="shared" si="1081"/>
        <v>4500</v>
      </c>
      <c r="AM675" s="323">
        <f t="shared" si="1046"/>
        <v>2250</v>
      </c>
      <c r="AN675" s="323">
        <f t="shared" si="1047"/>
        <v>0</v>
      </c>
      <c r="AO675" s="323">
        <f t="shared" si="1048"/>
        <v>2250</v>
      </c>
      <c r="AP675" s="323">
        <f t="shared" si="1049"/>
        <v>0</v>
      </c>
      <c r="AQ675" s="186" t="s">
        <v>898</v>
      </c>
      <c r="AR675" s="169" t="s">
        <v>516</v>
      </c>
      <c r="AT675" s="186"/>
      <c r="AU675" s="186"/>
    </row>
    <row r="676" spans="1:47" s="199" customFormat="1" ht="15" customHeight="1" x14ac:dyDescent="0.3">
      <c r="A676" s="595">
        <v>2</v>
      </c>
      <c r="B676" s="562" t="s">
        <v>688</v>
      </c>
      <c r="C676" s="562" t="s">
        <v>556</v>
      </c>
      <c r="D676" s="410">
        <v>125</v>
      </c>
      <c r="E676" s="411">
        <v>1</v>
      </c>
      <c r="F676" s="412">
        <v>9</v>
      </c>
      <c r="G676" s="413">
        <v>1</v>
      </c>
      <c r="H676" s="413">
        <f t="shared" si="1086"/>
        <v>0</v>
      </c>
      <c r="I676" s="414">
        <f t="shared" si="1087"/>
        <v>1125</v>
      </c>
      <c r="J676" s="415">
        <f t="shared" si="1088"/>
        <v>0</v>
      </c>
      <c r="K676" s="415">
        <f t="shared" si="1089"/>
        <v>450</v>
      </c>
      <c r="L676" s="415">
        <f t="shared" si="1090"/>
        <v>450</v>
      </c>
      <c r="M676" s="415">
        <f t="shared" si="1091"/>
        <v>225</v>
      </c>
      <c r="N676" s="416">
        <v>0</v>
      </c>
      <c r="O676" s="417" t="s">
        <v>686</v>
      </c>
      <c r="P676" s="200"/>
      <c r="Q676" s="562" t="s">
        <v>556</v>
      </c>
      <c r="R676" s="410">
        <v>125</v>
      </c>
      <c r="S676" s="411">
        <v>1</v>
      </c>
      <c r="T676" s="412">
        <v>9</v>
      </c>
      <c r="U676" s="413">
        <v>1</v>
      </c>
      <c r="V676" s="413">
        <f t="shared" si="1092"/>
        <v>0</v>
      </c>
      <c r="W676" s="414">
        <f t="shared" si="1093"/>
        <v>1125</v>
      </c>
      <c r="X676" s="415">
        <f t="shared" si="1094"/>
        <v>0</v>
      </c>
      <c r="Y676" s="415">
        <f t="shared" si="1095"/>
        <v>450</v>
      </c>
      <c r="Z676" s="415">
        <f t="shared" si="1096"/>
        <v>450</v>
      </c>
      <c r="AA676" s="415">
        <f t="shared" si="1097"/>
        <v>225</v>
      </c>
      <c r="AB676" s="416">
        <v>0</v>
      </c>
      <c r="AC676" s="417" t="s">
        <v>686</v>
      </c>
      <c r="AD676" s="227"/>
      <c r="AE676" s="241">
        <f t="shared" si="1064"/>
        <v>2</v>
      </c>
      <c r="AF676" s="204" t="str">
        <f t="shared" si="1060"/>
        <v>Comptable projet (25%)</v>
      </c>
      <c r="AG676" s="413">
        <f t="shared" si="1082"/>
        <v>1</v>
      </c>
      <c r="AH676" s="413">
        <f t="shared" si="1083"/>
        <v>0</v>
      </c>
      <c r="AI676" s="419">
        <f t="shared" si="1079"/>
        <v>2250</v>
      </c>
      <c r="AJ676" s="419">
        <f t="shared" si="1061"/>
        <v>0</v>
      </c>
      <c r="AK676" s="415">
        <f t="shared" si="1080"/>
        <v>0</v>
      </c>
      <c r="AL676" s="415">
        <f t="shared" si="1081"/>
        <v>2250</v>
      </c>
      <c r="AM676" s="323">
        <f t="shared" si="1046"/>
        <v>1125</v>
      </c>
      <c r="AN676" s="323">
        <f t="shared" si="1047"/>
        <v>0</v>
      </c>
      <c r="AO676" s="323">
        <f t="shared" si="1048"/>
        <v>1125</v>
      </c>
      <c r="AP676" s="323">
        <f t="shared" si="1049"/>
        <v>0</v>
      </c>
      <c r="AQ676" s="186" t="s">
        <v>898</v>
      </c>
      <c r="AR676" s="169" t="s">
        <v>516</v>
      </c>
      <c r="AT676" s="186"/>
      <c r="AU676" s="186"/>
    </row>
    <row r="677" spans="1:47" s="199" customFormat="1" x14ac:dyDescent="0.3">
      <c r="A677" s="595">
        <v>3</v>
      </c>
      <c r="B677" s="562" t="s">
        <v>691</v>
      </c>
      <c r="C677" s="562" t="s">
        <v>556</v>
      </c>
      <c r="D677" s="410">
        <v>150</v>
      </c>
      <c r="E677" s="411">
        <v>1</v>
      </c>
      <c r="F677" s="412">
        <v>9</v>
      </c>
      <c r="G677" s="413">
        <v>1</v>
      </c>
      <c r="H677" s="413">
        <f t="shared" si="1086"/>
        <v>0</v>
      </c>
      <c r="I677" s="414">
        <f t="shared" si="1087"/>
        <v>1350</v>
      </c>
      <c r="J677" s="415">
        <f t="shared" si="1088"/>
        <v>0</v>
      </c>
      <c r="K677" s="415">
        <f t="shared" si="1089"/>
        <v>540</v>
      </c>
      <c r="L677" s="415">
        <f t="shared" si="1090"/>
        <v>540</v>
      </c>
      <c r="M677" s="415">
        <f t="shared" si="1091"/>
        <v>270</v>
      </c>
      <c r="N677" s="416">
        <v>0</v>
      </c>
      <c r="O677" s="417" t="s">
        <v>686</v>
      </c>
      <c r="P677" s="200"/>
      <c r="Q677" s="562" t="s">
        <v>556</v>
      </c>
      <c r="R677" s="410">
        <v>150</v>
      </c>
      <c r="S677" s="411">
        <v>1</v>
      </c>
      <c r="T677" s="412">
        <v>9</v>
      </c>
      <c r="U677" s="413">
        <v>1</v>
      </c>
      <c r="V677" s="413">
        <f t="shared" si="1092"/>
        <v>0</v>
      </c>
      <c r="W677" s="414">
        <f t="shared" si="1093"/>
        <v>1350</v>
      </c>
      <c r="X677" s="415">
        <f t="shared" si="1094"/>
        <v>0</v>
      </c>
      <c r="Y677" s="415">
        <f t="shared" si="1095"/>
        <v>540</v>
      </c>
      <c r="Z677" s="415">
        <f t="shared" si="1096"/>
        <v>540</v>
      </c>
      <c r="AA677" s="415">
        <f t="shared" si="1097"/>
        <v>270</v>
      </c>
      <c r="AB677" s="416">
        <v>0</v>
      </c>
      <c r="AC677" s="417" t="s">
        <v>686</v>
      </c>
      <c r="AD677" s="227"/>
      <c r="AE677" s="241">
        <f t="shared" si="1064"/>
        <v>3</v>
      </c>
      <c r="AF677" s="204" t="str">
        <f t="shared" si="1060"/>
        <v>Chargé de suivi et évaluation (25%)</v>
      </c>
      <c r="AG677" s="413">
        <f t="shared" si="1082"/>
        <v>1</v>
      </c>
      <c r="AH677" s="413">
        <f t="shared" si="1083"/>
        <v>0</v>
      </c>
      <c r="AI677" s="419">
        <f t="shared" si="1079"/>
        <v>2700</v>
      </c>
      <c r="AJ677" s="419">
        <f t="shared" si="1061"/>
        <v>0</v>
      </c>
      <c r="AK677" s="415">
        <f t="shared" si="1080"/>
        <v>0</v>
      </c>
      <c r="AL677" s="415">
        <f t="shared" si="1081"/>
        <v>2700</v>
      </c>
      <c r="AM677" s="323">
        <f t="shared" si="1046"/>
        <v>1350</v>
      </c>
      <c r="AN677" s="323">
        <f t="shared" si="1047"/>
        <v>0</v>
      </c>
      <c r="AO677" s="323">
        <f t="shared" si="1048"/>
        <v>1350</v>
      </c>
      <c r="AP677" s="323">
        <f t="shared" si="1049"/>
        <v>0</v>
      </c>
      <c r="AQ677" s="186" t="s">
        <v>898</v>
      </c>
      <c r="AR677" s="169" t="s">
        <v>516</v>
      </c>
      <c r="AT677" s="186"/>
      <c r="AU677" s="186"/>
    </row>
    <row r="678" spans="1:47" s="199" customFormat="1" x14ac:dyDescent="0.3">
      <c r="A678" s="595">
        <v>4</v>
      </c>
      <c r="B678" s="562" t="s">
        <v>693</v>
      </c>
      <c r="C678" s="562" t="s">
        <v>556</v>
      </c>
      <c r="D678" s="410">
        <v>250</v>
      </c>
      <c r="E678" s="411">
        <v>1</v>
      </c>
      <c r="F678" s="412">
        <v>9</v>
      </c>
      <c r="G678" s="413">
        <v>1</v>
      </c>
      <c r="H678" s="413">
        <f t="shared" si="1086"/>
        <v>0</v>
      </c>
      <c r="I678" s="414">
        <f t="shared" si="1087"/>
        <v>2250</v>
      </c>
      <c r="J678" s="415">
        <f t="shared" si="1088"/>
        <v>0</v>
      </c>
      <c r="K678" s="415">
        <f t="shared" si="1089"/>
        <v>900</v>
      </c>
      <c r="L678" s="415">
        <f t="shared" si="1090"/>
        <v>900</v>
      </c>
      <c r="M678" s="415">
        <f t="shared" si="1091"/>
        <v>450</v>
      </c>
      <c r="N678" s="416">
        <v>0</v>
      </c>
      <c r="O678" s="417" t="s">
        <v>686</v>
      </c>
      <c r="P678" s="200"/>
      <c r="Q678" s="562" t="s">
        <v>556</v>
      </c>
      <c r="R678" s="410">
        <v>250</v>
      </c>
      <c r="S678" s="411">
        <v>1</v>
      </c>
      <c r="T678" s="412">
        <v>9</v>
      </c>
      <c r="U678" s="413">
        <v>1</v>
      </c>
      <c r="V678" s="413">
        <f t="shared" si="1092"/>
        <v>0</v>
      </c>
      <c r="W678" s="414">
        <f t="shared" si="1093"/>
        <v>2250</v>
      </c>
      <c r="X678" s="415">
        <f t="shared" si="1094"/>
        <v>0</v>
      </c>
      <c r="Y678" s="415">
        <f t="shared" si="1095"/>
        <v>900</v>
      </c>
      <c r="Z678" s="415">
        <f t="shared" si="1096"/>
        <v>900</v>
      </c>
      <c r="AA678" s="415">
        <f t="shared" si="1097"/>
        <v>450</v>
      </c>
      <c r="AB678" s="416">
        <v>0</v>
      </c>
      <c r="AC678" s="417" t="s">
        <v>686</v>
      </c>
      <c r="AD678" s="227"/>
      <c r="AE678" s="241">
        <f t="shared" si="1064"/>
        <v>4</v>
      </c>
      <c r="AF678" s="204" t="str">
        <f t="shared" si="1060"/>
        <v>Point focal recherche et apprentissage (25%)</v>
      </c>
      <c r="AG678" s="413">
        <f t="shared" si="1082"/>
        <v>1</v>
      </c>
      <c r="AH678" s="413">
        <f t="shared" si="1083"/>
        <v>0</v>
      </c>
      <c r="AI678" s="419">
        <f t="shared" si="1079"/>
        <v>4500</v>
      </c>
      <c r="AJ678" s="419">
        <f t="shared" si="1061"/>
        <v>0</v>
      </c>
      <c r="AK678" s="415">
        <f t="shared" si="1080"/>
        <v>0</v>
      </c>
      <c r="AL678" s="415">
        <f t="shared" si="1081"/>
        <v>4500</v>
      </c>
      <c r="AM678" s="323">
        <f t="shared" si="1046"/>
        <v>2250</v>
      </c>
      <c r="AN678" s="323">
        <f t="shared" si="1047"/>
        <v>0</v>
      </c>
      <c r="AO678" s="323">
        <f t="shared" si="1048"/>
        <v>2250</v>
      </c>
      <c r="AP678" s="323">
        <f t="shared" si="1049"/>
        <v>0</v>
      </c>
      <c r="AQ678" s="186" t="s">
        <v>898</v>
      </c>
      <c r="AR678" s="169" t="s">
        <v>516</v>
      </c>
      <c r="AT678" s="186"/>
      <c r="AU678" s="186"/>
    </row>
    <row r="679" spans="1:47" x14ac:dyDescent="0.3">
      <c r="A679" s="480" t="s">
        <v>1818</v>
      </c>
      <c r="B679" s="861" t="s">
        <v>694</v>
      </c>
      <c r="C679" s="862"/>
      <c r="D679" s="862"/>
      <c r="E679" s="862"/>
      <c r="F679" s="862"/>
      <c r="G679" s="862"/>
      <c r="H679" s="863"/>
      <c r="I679" s="481">
        <f>SUM(I680:I685)</f>
        <v>6615</v>
      </c>
      <c r="J679" s="482">
        <f t="shared" ref="J679:N679" si="1098">SUM(J680:J685)</f>
        <v>0</v>
      </c>
      <c r="K679" s="482">
        <f>SUM(K680:K685)</f>
        <v>2646</v>
      </c>
      <c r="L679" s="482">
        <f t="shared" si="1098"/>
        <v>2646</v>
      </c>
      <c r="M679" s="482">
        <f t="shared" si="1098"/>
        <v>1323</v>
      </c>
      <c r="N679" s="481">
        <f t="shared" si="1098"/>
        <v>0</v>
      </c>
      <c r="O679" s="508"/>
      <c r="Q679" s="538"/>
      <c r="R679" s="539"/>
      <c r="S679" s="538"/>
      <c r="T679" s="539"/>
      <c r="U679" s="539"/>
      <c r="V679" s="484"/>
      <c r="W679" s="482">
        <f>SUM(W680:W685)</f>
        <v>6615</v>
      </c>
      <c r="X679" s="482">
        <f t="shared" ref="X679:AB679" si="1099">SUM(X680:X685)</f>
        <v>0</v>
      </c>
      <c r="Y679" s="482">
        <f t="shared" si="1099"/>
        <v>2646</v>
      </c>
      <c r="Z679" s="482">
        <f t="shared" si="1099"/>
        <v>2646</v>
      </c>
      <c r="AA679" s="482">
        <f t="shared" si="1099"/>
        <v>1323</v>
      </c>
      <c r="AB679" s="481">
        <f t="shared" si="1099"/>
        <v>0</v>
      </c>
      <c r="AC679" s="508"/>
      <c r="AD679" s="234"/>
      <c r="AE679" s="247" t="str">
        <f t="shared" si="1064"/>
        <v>Activité 11.3</v>
      </c>
      <c r="AF679" s="204" t="str">
        <f t="shared" si="1060"/>
        <v xml:space="preserve">Frais administratifs pour la mise en place de l'approche Washindi </v>
      </c>
      <c r="AG679" s="485">
        <f t="shared" ref="AG679:AG683" si="1100">AI679/($AI679+$AK679)</f>
        <v>1</v>
      </c>
      <c r="AH679" s="485">
        <f t="shared" ref="AH679:AH683" si="1101">AK679/($AI679+$AK679)</f>
        <v>0</v>
      </c>
      <c r="AI679" s="482">
        <f t="shared" si="1079"/>
        <v>13230</v>
      </c>
      <c r="AJ679" s="482">
        <f t="shared" si="1061"/>
        <v>0</v>
      </c>
      <c r="AK679" s="482">
        <f t="shared" si="1080"/>
        <v>0</v>
      </c>
      <c r="AL679" s="482">
        <f t="shared" ref="AL679:AL683" si="1102">AI679+AJ679+AK679</f>
        <v>13230</v>
      </c>
      <c r="AM679" s="314">
        <f t="shared" si="1046"/>
        <v>6615</v>
      </c>
      <c r="AN679" s="314">
        <f t="shared" si="1047"/>
        <v>0</v>
      </c>
      <c r="AO679" s="314">
        <f t="shared" si="1048"/>
        <v>6615</v>
      </c>
      <c r="AP679" s="314">
        <f t="shared" si="1049"/>
        <v>0</v>
      </c>
      <c r="AQ679" s="186" t="s">
        <v>898</v>
      </c>
      <c r="AR679" s="169" t="s">
        <v>516</v>
      </c>
    </row>
    <row r="680" spans="1:47" s="199" customFormat="1" ht="13.5" customHeight="1" x14ac:dyDescent="0.3">
      <c r="A680" s="595">
        <v>1</v>
      </c>
      <c r="B680" s="562" t="s">
        <v>1819</v>
      </c>
      <c r="C680" s="562" t="s">
        <v>556</v>
      </c>
      <c r="D680" s="410">
        <v>50</v>
      </c>
      <c r="E680" s="411">
        <v>1</v>
      </c>
      <c r="F680" s="412">
        <v>9</v>
      </c>
      <c r="G680" s="413">
        <v>1</v>
      </c>
      <c r="H680" s="413">
        <f t="shared" ref="H680:H683" si="1103">100%-G680</f>
        <v>0</v>
      </c>
      <c r="I680" s="414">
        <f t="shared" ref="I680:I683" si="1104">D680*E680*F680*G680</f>
        <v>450</v>
      </c>
      <c r="J680" s="415">
        <f t="shared" ref="J680:J683" si="1105">D680*E680*F680*H680</f>
        <v>0</v>
      </c>
      <c r="K680" s="415">
        <f t="shared" ref="K680:K683" si="1106">I680*40%</f>
        <v>180</v>
      </c>
      <c r="L680" s="415">
        <f t="shared" ref="L680:L683" si="1107">I680*40%</f>
        <v>180</v>
      </c>
      <c r="M680" s="415">
        <f t="shared" ref="M680:M683" si="1108">I680*20%</f>
        <v>90</v>
      </c>
      <c r="N680" s="416">
        <v>0</v>
      </c>
      <c r="O680" s="417"/>
      <c r="P680" s="200"/>
      <c r="Q680" s="562" t="s">
        <v>556</v>
      </c>
      <c r="R680" s="410">
        <v>50</v>
      </c>
      <c r="S680" s="411">
        <v>1</v>
      </c>
      <c r="T680" s="412">
        <v>9</v>
      </c>
      <c r="U680" s="413">
        <v>1</v>
      </c>
      <c r="V680" s="413">
        <f t="shared" ref="V680:V685" si="1109">100%-U680</f>
        <v>0</v>
      </c>
      <c r="W680" s="414">
        <f t="shared" ref="W680:W685" si="1110">R680*S680*T680*U680</f>
        <v>450</v>
      </c>
      <c r="X680" s="415">
        <f t="shared" ref="X680:X685" si="1111">R680*S680*T680*V680</f>
        <v>0</v>
      </c>
      <c r="Y680" s="415">
        <f t="shared" ref="Y680:Y685" si="1112">W680*40%</f>
        <v>180</v>
      </c>
      <c r="Z680" s="415">
        <f t="shared" ref="Z680:Z685" si="1113">W680*40%</f>
        <v>180</v>
      </c>
      <c r="AA680" s="415">
        <f t="shared" ref="AA680:AA685" si="1114">W680*20%</f>
        <v>90</v>
      </c>
      <c r="AB680" s="416">
        <v>0</v>
      </c>
      <c r="AC680" s="417"/>
      <c r="AD680" s="227"/>
      <c r="AE680" s="241">
        <f t="shared" si="1064"/>
        <v>1</v>
      </c>
      <c r="AF680" s="204" t="str">
        <f t="shared" si="1060"/>
        <v xml:space="preserve">Contribution eau et électricité </v>
      </c>
      <c r="AG680" s="413">
        <f t="shared" si="1100"/>
        <v>1</v>
      </c>
      <c r="AH680" s="413">
        <f t="shared" si="1101"/>
        <v>0</v>
      </c>
      <c r="AI680" s="419">
        <f t="shared" si="1079"/>
        <v>900</v>
      </c>
      <c r="AJ680" s="419">
        <f t="shared" si="1061"/>
        <v>0</v>
      </c>
      <c r="AK680" s="415">
        <f t="shared" si="1080"/>
        <v>0</v>
      </c>
      <c r="AL680" s="415">
        <f t="shared" si="1102"/>
        <v>900</v>
      </c>
      <c r="AM680" s="323">
        <f t="shared" si="1046"/>
        <v>450</v>
      </c>
      <c r="AN680" s="323">
        <f t="shared" si="1047"/>
        <v>0</v>
      </c>
      <c r="AO680" s="323">
        <f t="shared" si="1048"/>
        <v>450</v>
      </c>
      <c r="AP680" s="323">
        <f t="shared" si="1049"/>
        <v>0</v>
      </c>
      <c r="AQ680" s="186" t="s">
        <v>898</v>
      </c>
      <c r="AR680" s="169" t="s">
        <v>516</v>
      </c>
      <c r="AT680" s="186"/>
      <c r="AU680" s="186"/>
    </row>
    <row r="681" spans="1:47" s="199" customFormat="1" ht="15" customHeight="1" x14ac:dyDescent="0.3">
      <c r="A681" s="595">
        <v>2</v>
      </c>
      <c r="B681" s="562" t="s">
        <v>1820</v>
      </c>
      <c r="C681" s="562" t="s">
        <v>556</v>
      </c>
      <c r="D681" s="410">
        <v>200</v>
      </c>
      <c r="E681" s="411">
        <v>1</v>
      </c>
      <c r="F681" s="412">
        <v>9</v>
      </c>
      <c r="G681" s="413">
        <v>1</v>
      </c>
      <c r="H681" s="413">
        <f t="shared" si="1103"/>
        <v>0</v>
      </c>
      <c r="I681" s="414">
        <f t="shared" si="1104"/>
        <v>1800</v>
      </c>
      <c r="J681" s="415">
        <f t="shared" si="1105"/>
        <v>0</v>
      </c>
      <c r="K681" s="415">
        <f t="shared" si="1106"/>
        <v>720</v>
      </c>
      <c r="L681" s="415">
        <f t="shared" si="1107"/>
        <v>720</v>
      </c>
      <c r="M681" s="415">
        <f t="shared" si="1108"/>
        <v>360</v>
      </c>
      <c r="N681" s="416">
        <v>0</v>
      </c>
      <c r="O681" s="417"/>
      <c r="P681" s="200"/>
      <c r="Q681" s="562" t="s">
        <v>556</v>
      </c>
      <c r="R681" s="410">
        <v>200</v>
      </c>
      <c r="S681" s="411">
        <v>1</v>
      </c>
      <c r="T681" s="412">
        <v>9</v>
      </c>
      <c r="U681" s="413">
        <v>1</v>
      </c>
      <c r="V681" s="413">
        <f t="shared" si="1109"/>
        <v>0</v>
      </c>
      <c r="W681" s="414">
        <f t="shared" si="1110"/>
        <v>1800</v>
      </c>
      <c r="X681" s="415">
        <f t="shared" si="1111"/>
        <v>0</v>
      </c>
      <c r="Y681" s="415">
        <f t="shared" si="1112"/>
        <v>720</v>
      </c>
      <c r="Z681" s="415">
        <f t="shared" si="1113"/>
        <v>720</v>
      </c>
      <c r="AA681" s="415">
        <f t="shared" si="1114"/>
        <v>360</v>
      </c>
      <c r="AB681" s="416">
        <v>0</v>
      </c>
      <c r="AC681" s="417"/>
      <c r="AD681" s="227"/>
      <c r="AE681" s="241">
        <f t="shared" si="1064"/>
        <v>2</v>
      </c>
      <c r="AF681" s="204" t="str">
        <f t="shared" si="1060"/>
        <v xml:space="preserve">Contribution loyer Bureau </v>
      </c>
      <c r="AG681" s="413">
        <f t="shared" si="1100"/>
        <v>1</v>
      </c>
      <c r="AH681" s="413">
        <f t="shared" si="1101"/>
        <v>0</v>
      </c>
      <c r="AI681" s="419">
        <f t="shared" si="1079"/>
        <v>3600</v>
      </c>
      <c r="AJ681" s="419">
        <f t="shared" si="1061"/>
        <v>0</v>
      </c>
      <c r="AK681" s="415">
        <f t="shared" si="1080"/>
        <v>0</v>
      </c>
      <c r="AL681" s="415">
        <f t="shared" si="1102"/>
        <v>3600</v>
      </c>
      <c r="AM681" s="323">
        <f t="shared" si="1046"/>
        <v>1800</v>
      </c>
      <c r="AN681" s="323">
        <f t="shared" si="1047"/>
        <v>0</v>
      </c>
      <c r="AO681" s="323">
        <f t="shared" si="1048"/>
        <v>1800</v>
      </c>
      <c r="AP681" s="323">
        <f t="shared" si="1049"/>
        <v>0</v>
      </c>
      <c r="AQ681" s="186" t="s">
        <v>898</v>
      </c>
      <c r="AR681" s="169" t="s">
        <v>516</v>
      </c>
      <c r="AT681" s="186"/>
      <c r="AU681" s="186"/>
    </row>
    <row r="682" spans="1:47" s="199" customFormat="1" x14ac:dyDescent="0.3">
      <c r="A682" s="595">
        <v>3</v>
      </c>
      <c r="B682" s="562" t="s">
        <v>695</v>
      </c>
      <c r="C682" s="562" t="s">
        <v>556</v>
      </c>
      <c r="D682" s="410">
        <v>165</v>
      </c>
      <c r="E682" s="411">
        <v>1</v>
      </c>
      <c r="F682" s="412">
        <v>9</v>
      </c>
      <c r="G682" s="413">
        <v>1</v>
      </c>
      <c r="H682" s="413">
        <f t="shared" si="1103"/>
        <v>0</v>
      </c>
      <c r="I682" s="414">
        <f t="shared" si="1104"/>
        <v>1485</v>
      </c>
      <c r="J682" s="415">
        <f t="shared" si="1105"/>
        <v>0</v>
      </c>
      <c r="K682" s="415">
        <f t="shared" si="1106"/>
        <v>594</v>
      </c>
      <c r="L682" s="415">
        <f t="shared" si="1107"/>
        <v>594</v>
      </c>
      <c r="M682" s="415">
        <f t="shared" si="1108"/>
        <v>297</v>
      </c>
      <c r="N682" s="416">
        <v>0</v>
      </c>
      <c r="O682" s="417"/>
      <c r="P682" s="200"/>
      <c r="Q682" s="562" t="s">
        <v>556</v>
      </c>
      <c r="R682" s="410">
        <v>165</v>
      </c>
      <c r="S682" s="411">
        <v>1</v>
      </c>
      <c r="T682" s="412">
        <v>9</v>
      </c>
      <c r="U682" s="413">
        <v>1</v>
      </c>
      <c r="V682" s="413">
        <f t="shared" si="1109"/>
        <v>0</v>
      </c>
      <c r="W682" s="414">
        <f t="shared" si="1110"/>
        <v>1485</v>
      </c>
      <c r="X682" s="415">
        <f t="shared" si="1111"/>
        <v>0</v>
      </c>
      <c r="Y682" s="415">
        <f t="shared" si="1112"/>
        <v>594</v>
      </c>
      <c r="Z682" s="415">
        <f t="shared" si="1113"/>
        <v>594</v>
      </c>
      <c r="AA682" s="415">
        <f t="shared" si="1114"/>
        <v>297</v>
      </c>
      <c r="AB682" s="416">
        <v>0</v>
      </c>
      <c r="AC682" s="417"/>
      <c r="AD682" s="227"/>
      <c r="AE682" s="241">
        <f t="shared" si="1064"/>
        <v>3</v>
      </c>
      <c r="AF682" s="204" t="str">
        <f t="shared" si="1060"/>
        <v xml:space="preserve">Fournitures de bureau </v>
      </c>
      <c r="AG682" s="413">
        <f t="shared" si="1100"/>
        <v>1</v>
      </c>
      <c r="AH682" s="413">
        <f t="shared" si="1101"/>
        <v>0</v>
      </c>
      <c r="AI682" s="419">
        <f t="shared" si="1079"/>
        <v>2970</v>
      </c>
      <c r="AJ682" s="419">
        <f t="shared" si="1061"/>
        <v>0</v>
      </c>
      <c r="AK682" s="415">
        <f t="shared" si="1080"/>
        <v>0</v>
      </c>
      <c r="AL682" s="415">
        <f t="shared" si="1102"/>
        <v>2970</v>
      </c>
      <c r="AM682" s="323">
        <f t="shared" si="1046"/>
        <v>1485</v>
      </c>
      <c r="AN682" s="323">
        <f t="shared" si="1047"/>
        <v>0</v>
      </c>
      <c r="AO682" s="323">
        <f t="shared" si="1048"/>
        <v>1485</v>
      </c>
      <c r="AP682" s="323">
        <f t="shared" si="1049"/>
        <v>0</v>
      </c>
      <c r="AQ682" s="186" t="s">
        <v>898</v>
      </c>
      <c r="AR682" s="169" t="s">
        <v>516</v>
      </c>
      <c r="AT682" s="186"/>
      <c r="AU682" s="186"/>
    </row>
    <row r="683" spans="1:47" s="199" customFormat="1" x14ac:dyDescent="0.3">
      <c r="A683" s="595">
        <v>4</v>
      </c>
      <c r="B683" s="562" t="s">
        <v>573</v>
      </c>
      <c r="C683" s="562" t="s">
        <v>556</v>
      </c>
      <c r="D683" s="410">
        <v>20</v>
      </c>
      <c r="E683" s="411">
        <v>1</v>
      </c>
      <c r="F683" s="412">
        <v>9</v>
      </c>
      <c r="G683" s="413">
        <v>1</v>
      </c>
      <c r="H683" s="413">
        <f t="shared" si="1103"/>
        <v>0</v>
      </c>
      <c r="I683" s="414">
        <f t="shared" si="1104"/>
        <v>180</v>
      </c>
      <c r="J683" s="415">
        <f t="shared" si="1105"/>
        <v>0</v>
      </c>
      <c r="K683" s="415">
        <f t="shared" si="1106"/>
        <v>72</v>
      </c>
      <c r="L683" s="415">
        <f t="shared" si="1107"/>
        <v>72</v>
      </c>
      <c r="M683" s="415">
        <f t="shared" si="1108"/>
        <v>36</v>
      </c>
      <c r="N683" s="416">
        <v>0</v>
      </c>
      <c r="O683" s="417" t="s">
        <v>1821</v>
      </c>
      <c r="P683" s="200"/>
      <c r="Q683" s="562" t="s">
        <v>556</v>
      </c>
      <c r="R683" s="410">
        <v>20</v>
      </c>
      <c r="S683" s="411">
        <v>1</v>
      </c>
      <c r="T683" s="412">
        <v>9</v>
      </c>
      <c r="U683" s="413">
        <v>1</v>
      </c>
      <c r="V683" s="413">
        <f t="shared" si="1109"/>
        <v>0</v>
      </c>
      <c r="W683" s="414">
        <f t="shared" si="1110"/>
        <v>180</v>
      </c>
      <c r="X683" s="415">
        <f t="shared" si="1111"/>
        <v>0</v>
      </c>
      <c r="Y683" s="415">
        <f t="shared" si="1112"/>
        <v>72</v>
      </c>
      <c r="Z683" s="415">
        <f t="shared" si="1113"/>
        <v>72</v>
      </c>
      <c r="AA683" s="415">
        <f t="shared" si="1114"/>
        <v>36</v>
      </c>
      <c r="AB683" s="416">
        <v>0</v>
      </c>
      <c r="AC683" s="417" t="s">
        <v>1821</v>
      </c>
      <c r="AD683" s="227"/>
      <c r="AE683" s="241">
        <f t="shared" si="1064"/>
        <v>4</v>
      </c>
      <c r="AF683" s="204" t="str">
        <f t="shared" si="1060"/>
        <v xml:space="preserve">Communication </v>
      </c>
      <c r="AG683" s="413">
        <f t="shared" si="1100"/>
        <v>1</v>
      </c>
      <c r="AH683" s="413">
        <f t="shared" si="1101"/>
        <v>0</v>
      </c>
      <c r="AI683" s="419">
        <f t="shared" si="1079"/>
        <v>360</v>
      </c>
      <c r="AJ683" s="419">
        <f t="shared" si="1061"/>
        <v>0</v>
      </c>
      <c r="AK683" s="415">
        <f t="shared" si="1080"/>
        <v>0</v>
      </c>
      <c r="AL683" s="415">
        <f t="shared" si="1102"/>
        <v>360</v>
      </c>
      <c r="AM683" s="323">
        <f t="shared" si="1046"/>
        <v>180</v>
      </c>
      <c r="AN683" s="323">
        <f t="shared" si="1047"/>
        <v>0</v>
      </c>
      <c r="AO683" s="323">
        <f t="shared" si="1048"/>
        <v>180</v>
      </c>
      <c r="AP683" s="323">
        <f t="shared" si="1049"/>
        <v>0</v>
      </c>
      <c r="AQ683" s="186" t="s">
        <v>898</v>
      </c>
      <c r="AR683" s="169" t="s">
        <v>516</v>
      </c>
      <c r="AT683" s="186"/>
      <c r="AU683" s="186"/>
    </row>
    <row r="684" spans="1:47" s="199" customFormat="1" x14ac:dyDescent="0.3">
      <c r="A684" s="595">
        <v>5</v>
      </c>
      <c r="B684" s="562" t="s">
        <v>696</v>
      </c>
      <c r="C684" s="562" t="s">
        <v>556</v>
      </c>
      <c r="D684" s="410">
        <v>100</v>
      </c>
      <c r="E684" s="411">
        <v>1</v>
      </c>
      <c r="F684" s="412">
        <v>9</v>
      </c>
      <c r="G684" s="413">
        <v>1</v>
      </c>
      <c r="H684" s="413">
        <f t="shared" ref="H684:H685" si="1115">100%-G684</f>
        <v>0</v>
      </c>
      <c r="I684" s="414">
        <f t="shared" ref="I684:I685" si="1116">D684*E684*F684*G684</f>
        <v>900</v>
      </c>
      <c r="J684" s="415">
        <f t="shared" ref="J684:J685" si="1117">D684*E684*F684*H684</f>
        <v>0</v>
      </c>
      <c r="K684" s="415">
        <f t="shared" ref="K684:K685" si="1118">I684*40%</f>
        <v>360</v>
      </c>
      <c r="L684" s="415">
        <f t="shared" ref="L684:L685" si="1119">I684*40%</f>
        <v>360</v>
      </c>
      <c r="M684" s="415">
        <f t="shared" ref="M684:M685" si="1120">I684*20%</f>
        <v>180</v>
      </c>
      <c r="N684" s="416">
        <v>0</v>
      </c>
      <c r="O684" s="417"/>
      <c r="P684" s="200"/>
      <c r="Q684" s="562" t="s">
        <v>556</v>
      </c>
      <c r="R684" s="410">
        <v>100</v>
      </c>
      <c r="S684" s="411">
        <v>1</v>
      </c>
      <c r="T684" s="412">
        <v>9</v>
      </c>
      <c r="U684" s="413">
        <v>1</v>
      </c>
      <c r="V684" s="413">
        <f t="shared" si="1109"/>
        <v>0</v>
      </c>
      <c r="W684" s="414">
        <f t="shared" si="1110"/>
        <v>900</v>
      </c>
      <c r="X684" s="415">
        <f t="shared" si="1111"/>
        <v>0</v>
      </c>
      <c r="Y684" s="415">
        <f t="shared" si="1112"/>
        <v>360</v>
      </c>
      <c r="Z684" s="415">
        <f t="shared" si="1113"/>
        <v>360</v>
      </c>
      <c r="AA684" s="415">
        <f t="shared" si="1114"/>
        <v>180</v>
      </c>
      <c r="AB684" s="416">
        <v>0</v>
      </c>
      <c r="AC684" s="417"/>
      <c r="AD684" s="227"/>
      <c r="AE684" s="241">
        <f t="shared" si="1064"/>
        <v>5</v>
      </c>
      <c r="AF684" s="204" t="str">
        <f t="shared" si="1060"/>
        <v xml:space="preserve">Internet </v>
      </c>
      <c r="AG684" s="413">
        <f t="shared" ref="AG684:AG685" si="1121">AI684/($AI684+$AK684)</f>
        <v>1</v>
      </c>
      <c r="AH684" s="413">
        <f t="shared" ref="AH684:AH685" si="1122">AK684/($AI684+$AK684)</f>
        <v>0</v>
      </c>
      <c r="AI684" s="419">
        <f t="shared" si="1079"/>
        <v>1800</v>
      </c>
      <c r="AJ684" s="419">
        <f t="shared" si="1061"/>
        <v>0</v>
      </c>
      <c r="AK684" s="415">
        <f t="shared" si="1080"/>
        <v>0</v>
      </c>
      <c r="AL684" s="415">
        <f t="shared" ref="AL684:AL685" si="1123">AI684+AJ684+AK684</f>
        <v>1800</v>
      </c>
      <c r="AM684" s="323">
        <f t="shared" si="1046"/>
        <v>900</v>
      </c>
      <c r="AN684" s="323">
        <f t="shared" si="1047"/>
        <v>0</v>
      </c>
      <c r="AO684" s="323">
        <f t="shared" ref="AO684:AO685" si="1124">W684</f>
        <v>900</v>
      </c>
      <c r="AP684" s="323">
        <f t="shared" ref="AP684:AP685" si="1125">AB684</f>
        <v>0</v>
      </c>
      <c r="AQ684" s="186" t="s">
        <v>898</v>
      </c>
      <c r="AR684" s="169" t="s">
        <v>516</v>
      </c>
      <c r="AT684" s="186"/>
      <c r="AU684" s="186"/>
    </row>
    <row r="685" spans="1:47" s="199" customFormat="1" x14ac:dyDescent="0.3">
      <c r="A685" s="595">
        <v>6</v>
      </c>
      <c r="B685" s="562" t="s">
        <v>697</v>
      </c>
      <c r="C685" s="562" t="s">
        <v>556</v>
      </c>
      <c r="D685" s="410">
        <v>200</v>
      </c>
      <c r="E685" s="411">
        <v>1</v>
      </c>
      <c r="F685" s="412">
        <v>9</v>
      </c>
      <c r="G685" s="413">
        <v>1</v>
      </c>
      <c r="H685" s="413">
        <f t="shared" si="1115"/>
        <v>0</v>
      </c>
      <c r="I685" s="414">
        <f t="shared" si="1116"/>
        <v>1800</v>
      </c>
      <c r="J685" s="415">
        <f t="shared" si="1117"/>
        <v>0</v>
      </c>
      <c r="K685" s="415">
        <f t="shared" si="1118"/>
        <v>720</v>
      </c>
      <c r="L685" s="415">
        <f t="shared" si="1119"/>
        <v>720</v>
      </c>
      <c r="M685" s="415">
        <f t="shared" si="1120"/>
        <v>360</v>
      </c>
      <c r="N685" s="416">
        <v>0</v>
      </c>
      <c r="O685" s="417"/>
      <c r="P685" s="200"/>
      <c r="Q685" s="562" t="s">
        <v>556</v>
      </c>
      <c r="R685" s="410">
        <v>200</v>
      </c>
      <c r="S685" s="411">
        <v>1</v>
      </c>
      <c r="T685" s="412">
        <v>9</v>
      </c>
      <c r="U685" s="413">
        <v>1</v>
      </c>
      <c r="V685" s="413">
        <f t="shared" si="1109"/>
        <v>0</v>
      </c>
      <c r="W685" s="414">
        <f t="shared" si="1110"/>
        <v>1800</v>
      </c>
      <c r="X685" s="415">
        <f t="shared" si="1111"/>
        <v>0</v>
      </c>
      <c r="Y685" s="415">
        <f t="shared" si="1112"/>
        <v>720</v>
      </c>
      <c r="Z685" s="415">
        <f t="shared" si="1113"/>
        <v>720</v>
      </c>
      <c r="AA685" s="415">
        <f t="shared" si="1114"/>
        <v>360</v>
      </c>
      <c r="AB685" s="416">
        <v>0</v>
      </c>
      <c r="AC685" s="417"/>
      <c r="AD685" s="227"/>
      <c r="AE685" s="241">
        <f t="shared" si="1064"/>
        <v>6</v>
      </c>
      <c r="AF685" s="204" t="str">
        <f t="shared" si="1060"/>
        <v xml:space="preserve">Carburant et Lubrifiant </v>
      </c>
      <c r="AG685" s="413">
        <f t="shared" si="1121"/>
        <v>1</v>
      </c>
      <c r="AH685" s="413">
        <f t="shared" si="1122"/>
        <v>0</v>
      </c>
      <c r="AI685" s="419">
        <f t="shared" si="1079"/>
        <v>3600</v>
      </c>
      <c r="AJ685" s="419">
        <f t="shared" si="1061"/>
        <v>0</v>
      </c>
      <c r="AK685" s="415">
        <f t="shared" si="1080"/>
        <v>0</v>
      </c>
      <c r="AL685" s="415">
        <f t="shared" si="1123"/>
        <v>3600</v>
      </c>
      <c r="AM685" s="323">
        <f t="shared" si="1046"/>
        <v>1800</v>
      </c>
      <c r="AN685" s="323">
        <f t="shared" si="1047"/>
        <v>0</v>
      </c>
      <c r="AO685" s="323">
        <f t="shared" si="1124"/>
        <v>1800</v>
      </c>
      <c r="AP685" s="323">
        <f t="shared" si="1125"/>
        <v>0</v>
      </c>
      <c r="AQ685" s="186" t="s">
        <v>898</v>
      </c>
      <c r="AR685" s="169" t="s">
        <v>516</v>
      </c>
      <c r="AT685" s="186"/>
      <c r="AU685" s="186"/>
    </row>
    <row r="686" spans="1:47" s="165" customFormat="1" ht="26" x14ac:dyDescent="0.35">
      <c r="A686" s="596" t="s">
        <v>294</v>
      </c>
      <c r="B686" s="597" t="s">
        <v>698</v>
      </c>
      <c r="C686" s="597"/>
      <c r="D686" s="598"/>
      <c r="E686" s="597"/>
      <c r="F686" s="597"/>
      <c r="G686" s="599"/>
      <c r="H686" s="599"/>
      <c r="I686" s="600">
        <f>I566+I10</f>
        <v>4167791.6429999997</v>
      </c>
      <c r="J686" s="601">
        <f>J566+J10</f>
        <v>444652.85499999998</v>
      </c>
      <c r="K686" s="601">
        <f>K566+K10</f>
        <v>2802154.9502727268</v>
      </c>
      <c r="L686" s="601">
        <f>L566+L10</f>
        <v>834409.91527272726</v>
      </c>
      <c r="M686" s="601">
        <f>M566+M10</f>
        <v>531226.77745454537</v>
      </c>
      <c r="N686" s="600"/>
      <c r="O686" s="602"/>
      <c r="P686" s="369"/>
      <c r="Q686" s="597"/>
      <c r="R686" s="598"/>
      <c r="S686" s="597"/>
      <c r="T686" s="597"/>
      <c r="U686" s="599"/>
      <c r="V686" s="599"/>
      <c r="W686" s="601">
        <f>W566+W10</f>
        <v>4155848.6607156172</v>
      </c>
      <c r="X686" s="601">
        <f>X566+X10</f>
        <v>361048.10499999998</v>
      </c>
      <c r="Y686" s="601">
        <f>Y566+Y10</f>
        <v>2909438.3618484847</v>
      </c>
      <c r="Z686" s="601">
        <f>Z566+Z10</f>
        <v>707097.60070629371</v>
      </c>
      <c r="AA686" s="601">
        <f>AA566+AA10</f>
        <v>539312.69816083915</v>
      </c>
      <c r="AB686" s="600"/>
      <c r="AC686" s="602"/>
      <c r="AD686" s="233"/>
      <c r="AE686" s="246" t="s">
        <v>294</v>
      </c>
      <c r="AF686" s="204" t="str">
        <f t="shared" si="1060"/>
        <v>ESPECE</v>
      </c>
      <c r="AG686" s="599">
        <f t="shared" si="1040"/>
        <v>0.91174599166292059</v>
      </c>
      <c r="AH686" s="599">
        <f t="shared" si="1041"/>
        <v>8.8254008337079276E-2</v>
      </c>
      <c r="AI686" s="601">
        <f t="shared" si="1079"/>
        <v>8323640.3037156165</v>
      </c>
      <c r="AJ686" s="601"/>
      <c r="AK686" s="601">
        <f t="shared" si="1080"/>
        <v>805700.96</v>
      </c>
      <c r="AL686" s="601">
        <f t="shared" si="1039"/>
        <v>9129341.2637156174</v>
      </c>
      <c r="AM686" s="326">
        <f t="shared" si="1046"/>
        <v>4167791.6429999997</v>
      </c>
      <c r="AN686" s="326">
        <f t="shared" si="1047"/>
        <v>0</v>
      </c>
      <c r="AO686" s="326">
        <f t="shared" ref="AO686:AO691" si="1126">W686</f>
        <v>4155848.6607156172</v>
      </c>
      <c r="AP686" s="326">
        <f t="shared" ref="AP686:AP691" si="1127">AB686</f>
        <v>0</v>
      </c>
    </row>
    <row r="687" spans="1:47" ht="26" x14ac:dyDescent="0.3">
      <c r="A687" s="596" t="s">
        <v>295</v>
      </c>
      <c r="B687" s="596" t="s">
        <v>699</v>
      </c>
      <c r="C687" s="408"/>
      <c r="D687" s="564"/>
      <c r="E687" s="502"/>
      <c r="F687" s="502"/>
      <c r="G687" s="503"/>
      <c r="H687" s="503"/>
      <c r="I687" s="567">
        <v>0</v>
      </c>
      <c r="J687" s="506">
        <v>0</v>
      </c>
      <c r="K687" s="603"/>
      <c r="L687" s="603"/>
      <c r="M687" s="603"/>
      <c r="N687" s="567">
        <f>N10</f>
        <v>109227.51999999999</v>
      </c>
      <c r="O687" s="497"/>
      <c r="P687" s="370"/>
      <c r="Q687" s="408"/>
      <c r="R687" s="564"/>
      <c r="S687" s="502"/>
      <c r="T687" s="502"/>
      <c r="U687" s="503"/>
      <c r="V687" s="503"/>
      <c r="W687" s="603">
        <v>0</v>
      </c>
      <c r="X687" s="506">
        <v>0</v>
      </c>
      <c r="Y687" s="603"/>
      <c r="Z687" s="603"/>
      <c r="AA687" s="603"/>
      <c r="AB687" s="567">
        <f>AB10</f>
        <v>76109.320000000007</v>
      </c>
      <c r="AC687" s="499"/>
      <c r="AE687" s="409" t="s">
        <v>295</v>
      </c>
      <c r="AF687" s="204" t="str">
        <f t="shared" si="1060"/>
        <v>SUPPLY</v>
      </c>
      <c r="AG687" s="503"/>
      <c r="AH687" s="503"/>
      <c r="AI687" s="603">
        <f t="shared" si="1079"/>
        <v>0</v>
      </c>
      <c r="AJ687" s="603">
        <f>N687+AB687</f>
        <v>185336.84</v>
      </c>
      <c r="AK687" s="506">
        <f t="shared" si="1080"/>
        <v>0</v>
      </c>
      <c r="AL687" s="506">
        <f>K687+Y687</f>
        <v>0</v>
      </c>
      <c r="AM687" s="315">
        <f t="shared" si="1046"/>
        <v>0</v>
      </c>
      <c r="AN687" s="315">
        <f t="shared" si="1047"/>
        <v>109227.51999999999</v>
      </c>
      <c r="AO687" s="315">
        <f t="shared" si="1126"/>
        <v>0</v>
      </c>
      <c r="AP687" s="315">
        <f t="shared" si="1127"/>
        <v>76109.320000000007</v>
      </c>
    </row>
    <row r="688" spans="1:47" ht="15.5" x14ac:dyDescent="0.3">
      <c r="A688" s="604" t="s">
        <v>296</v>
      </c>
      <c r="B688" s="280" t="s">
        <v>296</v>
      </c>
      <c r="C688" s="398"/>
      <c r="D688" s="564"/>
      <c r="E688" s="502"/>
      <c r="F688" s="502"/>
      <c r="G688" s="503"/>
      <c r="H688" s="503"/>
      <c r="I688" s="567">
        <f t="shared" ref="I688:N688" si="1128">I686+I687</f>
        <v>4167791.6429999997</v>
      </c>
      <c r="J688" s="603">
        <f t="shared" si="1128"/>
        <v>444652.85499999998</v>
      </c>
      <c r="K688" s="603">
        <f t="shared" si="1128"/>
        <v>2802154.9502727268</v>
      </c>
      <c r="L688" s="603">
        <f t="shared" si="1128"/>
        <v>834409.91527272726</v>
      </c>
      <c r="M688" s="603">
        <f t="shared" si="1128"/>
        <v>531226.77745454537</v>
      </c>
      <c r="N688" s="567">
        <f t="shared" si="1128"/>
        <v>109227.51999999999</v>
      </c>
      <c r="O688" s="497"/>
      <c r="P688" s="370"/>
      <c r="Q688" s="408"/>
      <c r="R688" s="564"/>
      <c r="S688" s="502"/>
      <c r="T688" s="502"/>
      <c r="U688" s="503"/>
      <c r="V688" s="503"/>
      <c r="W688" s="567">
        <f>W686+W687</f>
        <v>4155848.6607156172</v>
      </c>
      <c r="X688" s="603">
        <f t="shared" ref="X688:AB688" si="1129">X686+X687</f>
        <v>361048.10499999998</v>
      </c>
      <c r="Y688" s="603">
        <f t="shared" si="1129"/>
        <v>2909438.3618484847</v>
      </c>
      <c r="Z688" s="603">
        <f t="shared" si="1129"/>
        <v>707097.60070629371</v>
      </c>
      <c r="AA688" s="603">
        <f t="shared" si="1129"/>
        <v>539312.69816083915</v>
      </c>
      <c r="AB688" s="567">
        <f t="shared" si="1129"/>
        <v>76109.320000000007</v>
      </c>
      <c r="AC688" s="499"/>
      <c r="AE688" s="204" t="s">
        <v>296</v>
      </c>
      <c r="AF688" s="204" t="str">
        <f t="shared" si="1060"/>
        <v>SOUS-TOTAL DES COUTS DU PROGRAMME</v>
      </c>
      <c r="AG688" s="503"/>
      <c r="AH688" s="503"/>
      <c r="AI688" s="603">
        <f t="shared" si="1079"/>
        <v>8323640.3037156165</v>
      </c>
      <c r="AJ688" s="603">
        <f>N688+AB688</f>
        <v>185336.84</v>
      </c>
      <c r="AK688" s="603">
        <f t="shared" si="1080"/>
        <v>805700.96</v>
      </c>
      <c r="AL688" s="603">
        <f>AI688+AJ688+AK688</f>
        <v>9314678.1037156172</v>
      </c>
      <c r="AM688" s="327">
        <f t="shared" si="1046"/>
        <v>4167791.6429999997</v>
      </c>
      <c r="AN688" s="327">
        <f t="shared" si="1047"/>
        <v>109227.51999999999</v>
      </c>
      <c r="AO688" s="327">
        <f t="shared" si="1126"/>
        <v>4155848.6607156172</v>
      </c>
      <c r="AP688" s="327">
        <f t="shared" si="1127"/>
        <v>76109.320000000007</v>
      </c>
    </row>
    <row r="689" spans="1:42" ht="15.5" x14ac:dyDescent="0.3">
      <c r="A689" s="368" t="s">
        <v>297</v>
      </c>
      <c r="B689" s="281" t="s">
        <v>297</v>
      </c>
      <c r="C689" s="399"/>
      <c r="D689" s="564"/>
      <c r="E689" s="564"/>
      <c r="F689" s="564"/>
      <c r="G689" s="564"/>
      <c r="H689" s="564"/>
      <c r="I689" s="567"/>
      <c r="J689" s="603"/>
      <c r="K689" s="603"/>
      <c r="L689" s="603"/>
      <c r="M689" s="603"/>
      <c r="N689" s="567">
        <v>0</v>
      </c>
      <c r="O689" s="564"/>
      <c r="P689" s="371"/>
      <c r="Q689" s="564"/>
      <c r="R689" s="564"/>
      <c r="S689" s="564"/>
      <c r="T689" s="564"/>
      <c r="U689" s="564"/>
      <c r="V689" s="564"/>
      <c r="W689" s="567">
        <f>SUM(K696:K698)*7%</f>
        <v>177291.04932000002</v>
      </c>
      <c r="X689" s="603"/>
      <c r="Y689" s="603"/>
      <c r="Z689" s="603"/>
      <c r="AA689" s="603">
        <f>W689</f>
        <v>177291.04932000002</v>
      </c>
      <c r="AB689" s="567">
        <v>0</v>
      </c>
      <c r="AC689" s="564"/>
      <c r="AD689" s="564"/>
      <c r="AE689" s="545" t="s">
        <v>297</v>
      </c>
      <c r="AF689" s="204" t="str">
        <f t="shared" si="1060"/>
        <v>Dépenses d’appui du siège (7 % de la composante financière)</v>
      </c>
      <c r="AG689" s="564"/>
      <c r="AH689" s="564"/>
      <c r="AI689" s="603">
        <f t="shared" si="1079"/>
        <v>177291.04932000002</v>
      </c>
      <c r="AJ689" s="603"/>
      <c r="AK689" s="603"/>
      <c r="AL689" s="603">
        <f>AI689+AJ689+AK689</f>
        <v>177291.04932000002</v>
      </c>
      <c r="AM689" s="327">
        <f t="shared" si="1046"/>
        <v>0</v>
      </c>
      <c r="AN689" s="327">
        <f t="shared" si="1047"/>
        <v>0</v>
      </c>
      <c r="AO689" s="327">
        <f t="shared" si="1126"/>
        <v>177291.04932000002</v>
      </c>
      <c r="AP689" s="327">
        <f t="shared" si="1127"/>
        <v>0</v>
      </c>
    </row>
    <row r="690" spans="1:42" ht="26.5" thickBot="1" x14ac:dyDescent="0.35">
      <c r="A690" s="368" t="s">
        <v>298</v>
      </c>
      <c r="B690" s="376" t="s">
        <v>298</v>
      </c>
      <c r="C690" s="282"/>
      <c r="D690" s="564"/>
      <c r="E690" s="564"/>
      <c r="F690" s="564"/>
      <c r="G690" s="564"/>
      <c r="H690" s="564"/>
      <c r="I690" s="567">
        <f>C700+C703+C708</f>
        <v>35251.326365000001</v>
      </c>
      <c r="J690" s="603">
        <v>0</v>
      </c>
      <c r="K690" s="603">
        <f>$I$690*67%</f>
        <v>23618.388664550002</v>
      </c>
      <c r="L690" s="603">
        <f>$I$690*20%</f>
        <v>7050.2652730000009</v>
      </c>
      <c r="M690" s="603">
        <f>$I$690*13%</f>
        <v>4582.6724274500002</v>
      </c>
      <c r="N690" s="567">
        <v>0</v>
      </c>
      <c r="O690" s="519" t="s">
        <v>700</v>
      </c>
      <c r="P690" s="371"/>
      <c r="Q690" s="564"/>
      <c r="R690" s="564"/>
      <c r="S690" s="564"/>
      <c r="T690" s="564"/>
      <c r="U690" s="564"/>
      <c r="V690" s="564"/>
      <c r="W690" s="567">
        <f>G700+G703+G708</f>
        <v>36207.885538756178</v>
      </c>
      <c r="X690" s="603">
        <v>0</v>
      </c>
      <c r="Y690" s="603">
        <f>$W$690*67%</f>
        <v>24259.283310966639</v>
      </c>
      <c r="Z690" s="603">
        <f>$W$690*16%</f>
        <v>5793.2616862009882</v>
      </c>
      <c r="AA690" s="603">
        <f>$W$690*17%</f>
        <v>6155.3405415885509</v>
      </c>
      <c r="AB690" s="567">
        <v>0</v>
      </c>
      <c r="AC690" s="519" t="s">
        <v>700</v>
      </c>
      <c r="AD690" s="564"/>
      <c r="AE690" s="545" t="s">
        <v>298</v>
      </c>
      <c r="AF690" s="204" t="str">
        <f t="shared" si="1060"/>
        <v>Frais bancaire ( 0.5%)</v>
      </c>
      <c r="AG690" s="564"/>
      <c r="AH690" s="564"/>
      <c r="AI690" s="603">
        <f t="shared" si="1079"/>
        <v>71459.211903756179</v>
      </c>
      <c r="AJ690" s="603"/>
      <c r="AK690" s="603"/>
      <c r="AL690" s="603">
        <f>AI690+AJ690+AK690</f>
        <v>71459.211903756179</v>
      </c>
      <c r="AM690" s="327">
        <f t="shared" si="1046"/>
        <v>35251.326365000001</v>
      </c>
      <c r="AN690" s="327">
        <f t="shared" si="1047"/>
        <v>0</v>
      </c>
      <c r="AO690" s="327">
        <f t="shared" si="1126"/>
        <v>36207.885538756178</v>
      </c>
      <c r="AP690" s="327">
        <f t="shared" si="1127"/>
        <v>0</v>
      </c>
    </row>
    <row r="691" spans="1:42" ht="26.5" thickBot="1" x14ac:dyDescent="0.35">
      <c r="A691" s="368" t="s">
        <v>299</v>
      </c>
      <c r="B691" s="163" t="s">
        <v>299</v>
      </c>
      <c r="C691" s="185"/>
      <c r="D691" s="605"/>
      <c r="E691" s="605"/>
      <c r="F691" s="605"/>
      <c r="G691" s="605"/>
      <c r="H691" s="605"/>
      <c r="I691" s="606">
        <f t="shared" ref="I691:N691" si="1130">SUM(I688:I690)</f>
        <v>4203042.9693649998</v>
      </c>
      <c r="J691" s="607">
        <f t="shared" si="1130"/>
        <v>444652.85499999998</v>
      </c>
      <c r="K691" s="542">
        <f t="shared" si="1130"/>
        <v>2825773.338937277</v>
      </c>
      <c r="L691" s="542">
        <f t="shared" si="1130"/>
        <v>841460.18054572726</v>
      </c>
      <c r="M691" s="542">
        <f t="shared" si="1130"/>
        <v>535809.44988199533</v>
      </c>
      <c r="N691" s="606">
        <f t="shared" si="1130"/>
        <v>109227.51999999999</v>
      </c>
      <c r="O691" s="605"/>
      <c r="P691" s="371"/>
      <c r="Q691" s="605"/>
      <c r="R691" s="605"/>
      <c r="S691" s="605"/>
      <c r="T691" s="605"/>
      <c r="U691" s="605"/>
      <c r="V691" s="605"/>
      <c r="W691" s="542">
        <f>SUM(W688:W690)</f>
        <v>4369347.5955743734</v>
      </c>
      <c r="X691" s="542">
        <f>SUM(X688:X690)</f>
        <v>361048.10499999998</v>
      </c>
      <c r="Y691" s="542">
        <f t="shared" ref="Y691:Z691" si="1131">SUM(Y688:Y690)</f>
        <v>2933697.6451594513</v>
      </c>
      <c r="Z691" s="542">
        <f t="shared" si="1131"/>
        <v>712890.86239249469</v>
      </c>
      <c r="AA691" s="542">
        <f>SUM(AA688:AA690)</f>
        <v>722759.08802242775</v>
      </c>
      <c r="AB691" s="606">
        <f>SUM(AB688:AB690)</f>
        <v>76109.320000000007</v>
      </c>
      <c r="AC691" s="605"/>
      <c r="AD691" s="564"/>
      <c r="AE691" s="545" t="s">
        <v>299</v>
      </c>
      <c r="AF691" s="204" t="str">
        <f t="shared" si="1060"/>
        <v>BUDGET  TOTAL GENERAL DU PROJET</v>
      </c>
      <c r="AG691" s="605"/>
      <c r="AH691" s="605"/>
      <c r="AI691" s="542">
        <f t="shared" si="1079"/>
        <v>8572390.5649393722</v>
      </c>
      <c r="AJ691" s="542">
        <f>N691+AB691</f>
        <v>185336.84</v>
      </c>
      <c r="AK691" s="542">
        <f>SUM(AK688:AK690)</f>
        <v>805700.96</v>
      </c>
      <c r="AL691" s="542">
        <f>SUM(AL688:AL690)</f>
        <v>9563428.364939373</v>
      </c>
      <c r="AM691" s="328">
        <f t="shared" si="1046"/>
        <v>4203042.9693649998</v>
      </c>
      <c r="AN691" s="328">
        <f t="shared" si="1047"/>
        <v>109227.51999999999</v>
      </c>
      <c r="AO691" s="328">
        <f t="shared" si="1126"/>
        <v>4369347.5955743734</v>
      </c>
      <c r="AP691" s="328">
        <f t="shared" si="1127"/>
        <v>76109.320000000007</v>
      </c>
    </row>
    <row r="692" spans="1:42" x14ac:dyDescent="0.3">
      <c r="B692" s="178"/>
      <c r="K692" s="179"/>
      <c r="L692" s="179"/>
      <c r="M692" s="179"/>
      <c r="W692" s="176"/>
      <c r="Y692" s="179"/>
      <c r="Z692" s="179"/>
      <c r="AA692" s="179"/>
    </row>
    <row r="693" spans="1:42" ht="13.5" thickBot="1" x14ac:dyDescent="0.35">
      <c r="B693" s="178"/>
      <c r="K693" s="179"/>
      <c r="L693" s="179"/>
      <c r="M693" s="179"/>
      <c r="W693" s="176"/>
      <c r="Y693" s="179"/>
      <c r="Z693" s="179"/>
      <c r="AA693" s="179"/>
    </row>
    <row r="694" spans="1:42" ht="14.5" x14ac:dyDescent="0.35">
      <c r="B694" s="178"/>
      <c r="C694" s="286" t="s">
        <v>701</v>
      </c>
      <c r="D694" s="287"/>
      <c r="E694" s="287"/>
      <c r="F694" s="288"/>
      <c r="G694" s="289" t="s">
        <v>1822</v>
      </c>
      <c r="H694" s="290"/>
      <c r="I694" s="290"/>
      <c r="J694" s="291"/>
      <c r="K694" s="286" t="s">
        <v>1823</v>
      </c>
      <c r="L694" s="287"/>
      <c r="M694" s="287"/>
      <c r="N694" s="288"/>
      <c r="W694" s="176"/>
    </row>
    <row r="695" spans="1:42" s="182" customFormat="1" ht="27.75" customHeight="1" thickBot="1" x14ac:dyDescent="0.4">
      <c r="A695" s="276"/>
      <c r="B695" s="178"/>
      <c r="C695" s="341" t="s">
        <v>702</v>
      </c>
      <c r="D695" s="608" t="s">
        <v>703</v>
      </c>
      <c r="E695" s="609" t="s">
        <v>704</v>
      </c>
      <c r="F695" s="342" t="s">
        <v>705</v>
      </c>
      <c r="G695" s="341" t="s">
        <v>702</v>
      </c>
      <c r="H695" s="608" t="s">
        <v>703</v>
      </c>
      <c r="I695" s="609" t="s">
        <v>704</v>
      </c>
      <c r="J695" s="400" t="s">
        <v>705</v>
      </c>
      <c r="K695" s="341" t="s">
        <v>702</v>
      </c>
      <c r="L695" s="608" t="s">
        <v>703</v>
      </c>
      <c r="M695" s="609" t="s">
        <v>704</v>
      </c>
      <c r="N695" s="342" t="s">
        <v>705</v>
      </c>
      <c r="W695" s="205"/>
      <c r="AB695" s="272"/>
      <c r="AE695" s="204"/>
      <c r="AF695" s="204"/>
      <c r="AG695" s="276"/>
      <c r="AH695" s="276"/>
    </row>
    <row r="696" spans="1:42" x14ac:dyDescent="0.3">
      <c r="B696" s="213" t="s">
        <v>706</v>
      </c>
      <c r="C696" s="211">
        <f>I12+I26+I34+I41+I54+I96+I99+I129+I139+I155+I166+I335+I515+(SUM(I569:I575)/2)+(SUM(I578:I582)/2)+I577+(I583/2)+(I604/2)</f>
        <v>460016.09399999998</v>
      </c>
      <c r="D696" s="610">
        <f>N12+N26+N34+N41+N54+N96+N99+N129+N139+N155+N166+N335+N515+(SUM(N569:N575)/2)+(SUM(N578:N582)/2)+N577+(N583/2)+(N604/2)</f>
        <v>0</v>
      </c>
      <c r="E696" s="610">
        <f>J12+J26+J34+J41+J54+J96+J99+J129+J139+J155+J166+J335+J515+(SUM(J569:J575)/2)+(SUM(J578:J582)/2)+J577+(J583/2)+(J604/2)</f>
        <v>211333.54</v>
      </c>
      <c r="F696" s="212">
        <f>SUM(C696:E696)</f>
        <v>671349.63399999996</v>
      </c>
      <c r="G696" s="211">
        <f>W12+W26+W34+W41+W54+W96+W99+W129+W139+W155+W166+W335+W515+(SUM(W569:W575)/2)+(SUM(W578:W582)/2)+W577+(W583/2)+(W604/2)</f>
        <v>464637.09400000004</v>
      </c>
      <c r="H696" s="211">
        <f>AB12+AB26+AB34+AB41+AB54+AB96+AB99+AB129+AB139+AB155+AB166+AB335+AB515+(SUM(AB569:AB575)/2)+(SUM(AB578:AB582)/2)+AB577+(AB583/2)+(AB604/2)</f>
        <v>0</v>
      </c>
      <c r="I696" s="211">
        <f>X12+X26+X34+X41+X54+X96+X99+X129+X139+X155+X166+X335+X515+(SUM(X569:X575)/2)+(SUM(X578:X582)/2)+X577+(X583/2)+(X604/2)</f>
        <v>138022.54</v>
      </c>
      <c r="J696" s="401">
        <f>SUM(G696:I696)</f>
        <v>602659.63400000008</v>
      </c>
      <c r="K696" s="215">
        <f>C696+G696</f>
        <v>924653.18800000008</v>
      </c>
      <c r="L696" s="611">
        <f t="shared" ref="L696:N710" si="1132">D696+H696</f>
        <v>0</v>
      </c>
      <c r="M696" s="611">
        <f t="shared" si="1132"/>
        <v>349356.08</v>
      </c>
      <c r="N696" s="217">
        <f>F696+J696</f>
        <v>1274009.2680000002</v>
      </c>
      <c r="O696" s="181"/>
      <c r="W696" s="176"/>
    </row>
    <row r="697" spans="1:42" x14ac:dyDescent="0.3">
      <c r="B697" s="214" t="s">
        <v>707</v>
      </c>
      <c r="C697" s="211">
        <f>I171+I175+I190+I198+I205+I318+I324+I327+I331+I507+I554+(SUM(I569:I575)/2)+(SUM(I578:I582)/2)+I576+(I583/2)+(I604/2)</f>
        <v>711414.66899999999</v>
      </c>
      <c r="D697" s="610">
        <f>N171+N175+N190+N198+N205+N318+N324+N327+N331+N507+N554+(SUM(N569:N575)/2)+(SUM(N578:N582)/2)+N576+(N583/2)+(N604/2)</f>
        <v>109227.51999999999</v>
      </c>
      <c r="E697" s="610">
        <f>J171+J175+J190+J198+J205+J318+J324+J327+J331+J507+J554+(SUM(J569:J575)/2)+(SUM(J578:J582)/2)+J576+(J583/2)+(J604/2)</f>
        <v>52579.464999999997</v>
      </c>
      <c r="F697" s="212">
        <f t="shared" ref="F697:F710" si="1133">SUM(C697:E697)</f>
        <v>873221.65399999998</v>
      </c>
      <c r="G697" s="211">
        <f>W171+W175+W190+W198+W205+W318+W324+W327+W331+W507+W554+(SUM(W569:W575)/2)+(SUM(W578:W582)/2)+W576+(W583/2)+(W604/2)</f>
        <v>674348.46899999992</v>
      </c>
      <c r="H697" s="610">
        <f>AB171+AB175+AB190+AB198+AB205+AB318+AB324+AB327+AB331+AB507+AB554+(SUM(AB569:AB575)/2)+(SUM(AB578:AB582)/2)+AB576+(AB583/2)+(AB604/2)</f>
        <v>76109.320000000007</v>
      </c>
      <c r="I697" s="610">
        <f>X171+X175+X190+X198+X205+X318+X324+X327+X331+X507+X554+(SUM(X569:X575)/2)+(SUM(X578:X582)/2)+X576+(X583/2)+(X604/2)</f>
        <v>53879.665000000001</v>
      </c>
      <c r="J697" s="401">
        <f t="shared" ref="J697:J710" si="1134">SUM(G697:I697)</f>
        <v>804337.45399999991</v>
      </c>
      <c r="K697" s="215">
        <f t="shared" ref="K697:K709" si="1135">C697+G697</f>
        <v>1385763.1379999998</v>
      </c>
      <c r="L697" s="611">
        <f t="shared" si="1132"/>
        <v>185336.84</v>
      </c>
      <c r="M697" s="611">
        <f t="shared" si="1132"/>
        <v>106459.13</v>
      </c>
      <c r="N697" s="217">
        <f t="shared" si="1132"/>
        <v>1677559.108</v>
      </c>
      <c r="O697" s="181"/>
      <c r="W697" s="176"/>
    </row>
    <row r="698" spans="1:42" x14ac:dyDescent="0.3">
      <c r="B698" s="214" t="s">
        <v>708</v>
      </c>
      <c r="C698" s="211">
        <f>I405+I412+I414+I423+I427+I434+I438+I445+I452+I456+I458+I462+I466+I470+I472+I481+I488+I668+I674+I679</f>
        <v>113887.25</v>
      </c>
      <c r="D698" s="610">
        <f>N405+N412+N414+N423+N427+N434+N438+N445+N452+N456+N458+N462+N466+N470+N472+N481+N488+N668+N674+N679</f>
        <v>0</v>
      </c>
      <c r="E698" s="610">
        <f>J405+J412+J414+J423+J427+J434+J438+J445+J452+J456+J458+J462+J466+J470+J472+J481+J488+J668+J674+J679</f>
        <v>2386.25</v>
      </c>
      <c r="F698" s="212">
        <f>SUM(C698:E698)</f>
        <v>116273.5</v>
      </c>
      <c r="G698" s="211">
        <f>W405+W412+W414+W423+W427+W434+W438+W445+W452+W456+W458+W462+W466+W470+W472+W481+W488+W668+W674+W679</f>
        <v>108425.7</v>
      </c>
      <c r="H698" s="610">
        <f>AB405+AB412+AB414+AB423+AB427+AB434+AB438+AB445+AB452+AB456+AB458+AB462+AB466+AB470+AB472+AB481+AB488+AB668+AB674+AB679</f>
        <v>0</v>
      </c>
      <c r="I698" s="610">
        <f>X405+X412+X414+X423+X427+X434+X438+X445+X452+X456+X458+X462+X466+X470+X472+X481+X488+X668+X674+X679</f>
        <v>2228.3000000000002</v>
      </c>
      <c r="J698" s="401">
        <f>SUM(G698:I698)</f>
        <v>110654</v>
      </c>
      <c r="K698" s="215">
        <f>C698+G698</f>
        <v>222312.95</v>
      </c>
      <c r="L698" s="611">
        <f t="shared" si="1132"/>
        <v>0</v>
      </c>
      <c r="M698" s="611">
        <f t="shared" si="1132"/>
        <v>4614.55</v>
      </c>
      <c r="N698" s="217">
        <f t="shared" si="1132"/>
        <v>226927.5</v>
      </c>
      <c r="O698" s="181"/>
      <c r="W698" s="176"/>
    </row>
    <row r="699" spans="1:42" x14ac:dyDescent="0.3">
      <c r="B699" s="214" t="s">
        <v>709</v>
      </c>
      <c r="C699" s="211">
        <v>0</v>
      </c>
      <c r="D699" s="610">
        <v>0</v>
      </c>
      <c r="E699" s="610">
        <v>0</v>
      </c>
      <c r="F699" s="212">
        <f t="shared" si="1133"/>
        <v>0</v>
      </c>
      <c r="G699" s="211">
        <f>W689</f>
        <v>177291.04932000002</v>
      </c>
      <c r="H699" s="610">
        <v>0</v>
      </c>
      <c r="I699" s="610">
        <v>0</v>
      </c>
      <c r="J699" s="401">
        <f t="shared" si="1134"/>
        <v>177291.04932000002</v>
      </c>
      <c r="K699" s="215">
        <f t="shared" ref="K699:K700" si="1136">C699+G699</f>
        <v>177291.04932000002</v>
      </c>
      <c r="L699" s="611">
        <f t="shared" ref="L699:L700" si="1137">D699+H699</f>
        <v>0</v>
      </c>
      <c r="M699" s="611">
        <f t="shared" ref="M699:M700" si="1138">E699+I699</f>
        <v>0</v>
      </c>
      <c r="N699" s="217">
        <f t="shared" ref="N699:N700" si="1139">F699+J699</f>
        <v>177291.04932000002</v>
      </c>
      <c r="O699" s="181"/>
      <c r="W699" s="176"/>
    </row>
    <row r="700" spans="1:42" x14ac:dyDescent="0.3">
      <c r="B700" s="214" t="s">
        <v>710</v>
      </c>
      <c r="C700" s="211">
        <f>SUM(C696:C698)*0.5%</f>
        <v>6426.5900650000003</v>
      </c>
      <c r="D700" s="610">
        <v>0</v>
      </c>
      <c r="E700" s="610">
        <v>0</v>
      </c>
      <c r="F700" s="212">
        <f>SUM(C700:E700)</f>
        <v>6426.5900650000003</v>
      </c>
      <c r="G700" s="211">
        <f>SUM(G696:G699)*0.5%</f>
        <v>7123.5115616000003</v>
      </c>
      <c r="H700" s="610"/>
      <c r="I700" s="610"/>
      <c r="J700" s="401">
        <f t="shared" si="1134"/>
        <v>7123.5115616000003</v>
      </c>
      <c r="K700" s="215">
        <f t="shared" si="1136"/>
        <v>13550.101626600001</v>
      </c>
      <c r="L700" s="611">
        <f t="shared" si="1137"/>
        <v>0</v>
      </c>
      <c r="M700" s="611">
        <f t="shared" si="1138"/>
        <v>0</v>
      </c>
      <c r="N700" s="217">
        <f t="shared" si="1139"/>
        <v>13550.101626600001</v>
      </c>
      <c r="O700" s="181"/>
      <c r="W700" s="176"/>
    </row>
    <row r="701" spans="1:42" s="206" customFormat="1" x14ac:dyDescent="0.3">
      <c r="A701" s="279"/>
      <c r="B701" s="218" t="s">
        <v>711</v>
      </c>
      <c r="C701" s="219">
        <f>SUM(C696:C700)</f>
        <v>1291744.6030650001</v>
      </c>
      <c r="D701" s="612">
        <f>SUM(D696:D700)</f>
        <v>109227.51999999999</v>
      </c>
      <c r="E701" s="612">
        <f t="shared" ref="E701" si="1140">SUM(E696:E700)</f>
        <v>266299.255</v>
      </c>
      <c r="F701" s="220">
        <f t="shared" si="1133"/>
        <v>1667271.3780650003</v>
      </c>
      <c r="G701" s="219">
        <f>SUM(G696:G700)</f>
        <v>1431825.8238816001</v>
      </c>
      <c r="H701" s="612">
        <f>SUM(H696:H700)</f>
        <v>76109.320000000007</v>
      </c>
      <c r="I701" s="612">
        <f>SUM(I696:I700)</f>
        <v>194130.505</v>
      </c>
      <c r="J701" s="402">
        <f t="shared" si="1134"/>
        <v>1702065.6488816002</v>
      </c>
      <c r="K701" s="221">
        <f t="shared" si="1135"/>
        <v>2723570.4269466</v>
      </c>
      <c r="L701" s="613">
        <f>D701+H701</f>
        <v>185336.84</v>
      </c>
      <c r="M701" s="613">
        <f t="shared" si="1132"/>
        <v>460429.76</v>
      </c>
      <c r="N701" s="222">
        <f t="shared" si="1132"/>
        <v>3369337.0269466005</v>
      </c>
      <c r="O701" s="360">
        <f>M701/N701</f>
        <v>0.13665292498722101</v>
      </c>
      <c r="Q701" s="207"/>
      <c r="S701" s="207"/>
      <c r="W701" s="208"/>
      <c r="AB701" s="273"/>
      <c r="AC701" s="207"/>
      <c r="AD701" s="207"/>
      <c r="AE701" s="240"/>
      <c r="AF701" s="240"/>
      <c r="AG701" s="277"/>
      <c r="AH701" s="277"/>
    </row>
    <row r="702" spans="1:42" s="206" customFormat="1" x14ac:dyDescent="0.3">
      <c r="A702" s="279"/>
      <c r="B702" s="214" t="s">
        <v>1824</v>
      </c>
      <c r="C702" s="223">
        <f>I58+I61+I68+I72+I80+I209+I215+I229+I231+I236+I239+I348+I358+I360+I363+I366+I372+I499+I611</f>
        <v>1700601.5299999998</v>
      </c>
      <c r="D702" s="614">
        <f>N58+N61+N68+N72+N80+N209+N215+N229+N231+N236+N239+N348+N358+N360+N363+N366+N372+N499+N611</f>
        <v>0</v>
      </c>
      <c r="E702" s="614">
        <f>J58+J61+J68+J72+J80+J209+J215+J229+J231+J236+J239+J348+J358+J360+J363+J366+J372+J499+J611</f>
        <v>78913.5</v>
      </c>
      <c r="F702" s="224">
        <f>SUM(C702:E702)</f>
        <v>1779515.0299999998</v>
      </c>
      <c r="G702" s="223">
        <f>W58+W61+W68+W72+W80+W209+W215+W229+W231+W236+W239+W348+W358+W360+W363+W366+W372+W499+W611</f>
        <v>1278058.8799999999</v>
      </c>
      <c r="H702" s="614">
        <f>AB58+AB61+AB68+AB72+AB80+AB209+AB215+AB229+AB231+AB236+AB239+AB348+AB358+AB360+AB363+AB366+AB372+AB499+AB611</f>
        <v>0</v>
      </c>
      <c r="I702" s="614">
        <f>X58+X61+X68+X72+X80+X209+X215+X229+X231+X236+X239+X348+X358+X360+X363+X366+X372+X499+X611</f>
        <v>72913.5</v>
      </c>
      <c r="J702" s="403">
        <f t="shared" si="1134"/>
        <v>1350972.38</v>
      </c>
      <c r="K702" s="225">
        <f t="shared" si="1135"/>
        <v>2978660.4099999997</v>
      </c>
      <c r="L702" s="615">
        <f t="shared" si="1132"/>
        <v>0</v>
      </c>
      <c r="M702" s="615">
        <f t="shared" si="1132"/>
        <v>151827</v>
      </c>
      <c r="N702" s="226">
        <f t="shared" si="1132"/>
        <v>3130487.4099999997</v>
      </c>
      <c r="O702" s="361"/>
      <c r="Q702" s="207"/>
      <c r="S702" s="207"/>
      <c r="W702" s="208"/>
      <c r="AB702" s="274"/>
      <c r="AC702" s="207"/>
      <c r="AD702" s="207"/>
      <c r="AE702" s="240"/>
      <c r="AF702" s="240"/>
      <c r="AG702" s="277"/>
      <c r="AH702" s="277"/>
    </row>
    <row r="703" spans="1:42" s="206" customFormat="1" x14ac:dyDescent="0.3">
      <c r="A703" s="279"/>
      <c r="B703" s="214" t="s">
        <v>1825</v>
      </c>
      <c r="C703" s="223">
        <f>C702*1%</f>
        <v>17006.015299999999</v>
      </c>
      <c r="D703" s="614">
        <v>0</v>
      </c>
      <c r="E703" s="614">
        <v>0</v>
      </c>
      <c r="F703" s="224">
        <f t="shared" si="1133"/>
        <v>17006.015299999999</v>
      </c>
      <c r="G703" s="223">
        <f>G702*1%</f>
        <v>12780.5888</v>
      </c>
      <c r="H703" s="614">
        <v>0</v>
      </c>
      <c r="I703" s="614">
        <v>0</v>
      </c>
      <c r="J703" s="403">
        <f t="shared" si="1134"/>
        <v>12780.5888</v>
      </c>
      <c r="K703" s="225">
        <f t="shared" ref="K703:K704" si="1141">C703+G703</f>
        <v>29786.604099999997</v>
      </c>
      <c r="L703" s="615">
        <f t="shared" ref="L703:L704" si="1142">D703+H703</f>
        <v>0</v>
      </c>
      <c r="M703" s="615">
        <f t="shared" ref="M703:M704" si="1143">E703+I703</f>
        <v>0</v>
      </c>
      <c r="N703" s="226">
        <f t="shared" ref="N703:N704" si="1144">F703+J703</f>
        <v>29786.604099999997</v>
      </c>
      <c r="O703" s="361"/>
      <c r="Q703" s="207"/>
      <c r="S703" s="207"/>
      <c r="W703" s="208"/>
      <c r="AB703" s="274"/>
      <c r="AC703" s="207"/>
      <c r="AD703" s="207"/>
      <c r="AE703" s="240"/>
      <c r="AF703" s="240"/>
      <c r="AG703" s="277"/>
      <c r="AH703" s="277"/>
    </row>
    <row r="704" spans="1:42" s="206" customFormat="1" x14ac:dyDescent="0.3">
      <c r="A704" s="279"/>
      <c r="B704" s="218" t="s">
        <v>1826</v>
      </c>
      <c r="C704" s="219">
        <f>C702+C703</f>
        <v>1717607.5452999999</v>
      </c>
      <c r="D704" s="612">
        <f t="shared" ref="D704:E704" si="1145">D702+D703</f>
        <v>0</v>
      </c>
      <c r="E704" s="612">
        <f t="shared" si="1145"/>
        <v>78913.5</v>
      </c>
      <c r="F704" s="220">
        <f>SUM(C704:E704)</f>
        <v>1796521.0452999999</v>
      </c>
      <c r="G704" s="219">
        <f>G702+G703</f>
        <v>1290839.4687999999</v>
      </c>
      <c r="H704" s="612">
        <f t="shared" ref="H704" si="1146">H702+H703</f>
        <v>0</v>
      </c>
      <c r="I704" s="612">
        <f t="shared" ref="I704" si="1147">I702+I703</f>
        <v>72913.5</v>
      </c>
      <c r="J704" s="402">
        <f t="shared" si="1134"/>
        <v>1363752.9687999999</v>
      </c>
      <c r="K704" s="221">
        <f t="shared" si="1141"/>
        <v>3008447.0140999998</v>
      </c>
      <c r="L704" s="613">
        <f t="shared" si="1142"/>
        <v>0</v>
      </c>
      <c r="M704" s="613">
        <f t="shared" si="1143"/>
        <v>151827</v>
      </c>
      <c r="N704" s="222">
        <f t="shared" si="1144"/>
        <v>3160274.0140999998</v>
      </c>
      <c r="O704" s="360">
        <f>M704/N704</f>
        <v>4.8042353075272215E-2</v>
      </c>
      <c r="Q704" s="207"/>
      <c r="S704" s="207"/>
      <c r="W704" s="208"/>
      <c r="AB704" s="273"/>
      <c r="AC704" s="207"/>
      <c r="AD704" s="207"/>
      <c r="AE704" s="240"/>
      <c r="AF704" s="240"/>
      <c r="AG704" s="277"/>
      <c r="AH704" s="277"/>
    </row>
    <row r="705" spans="1:34" x14ac:dyDescent="0.3">
      <c r="B705" s="214" t="s">
        <v>712</v>
      </c>
      <c r="C705" s="211">
        <f>I296+I303+I309</f>
        <v>106613</v>
      </c>
      <c r="D705" s="610">
        <f>N296+N303+N309</f>
        <v>0</v>
      </c>
      <c r="E705" s="610">
        <f>J296+J303+J309</f>
        <v>0</v>
      </c>
      <c r="F705" s="212">
        <f t="shared" si="1133"/>
        <v>106613</v>
      </c>
      <c r="G705" s="211">
        <f>W296+W303+W309</f>
        <v>0</v>
      </c>
      <c r="H705" s="610">
        <f>R296+R303+R309</f>
        <v>0</v>
      </c>
      <c r="I705" s="610">
        <f>X296+X303+X309</f>
        <v>0</v>
      </c>
      <c r="J705" s="401">
        <f t="shared" si="1134"/>
        <v>0</v>
      </c>
      <c r="K705" s="215">
        <f t="shared" si="1135"/>
        <v>106613</v>
      </c>
      <c r="L705" s="611">
        <f t="shared" si="1132"/>
        <v>0</v>
      </c>
      <c r="M705" s="611">
        <f t="shared" si="1132"/>
        <v>0</v>
      </c>
      <c r="N705" s="217">
        <f t="shared" si="1132"/>
        <v>106613</v>
      </c>
      <c r="O705" s="362"/>
      <c r="W705" s="176"/>
    </row>
    <row r="706" spans="1:34" x14ac:dyDescent="0.3">
      <c r="B706" s="214" t="s">
        <v>713</v>
      </c>
      <c r="C706" s="211">
        <f>I384</f>
        <v>53264</v>
      </c>
      <c r="D706" s="610">
        <f>N384</f>
        <v>0</v>
      </c>
      <c r="E706" s="610">
        <f>J384</f>
        <v>0</v>
      </c>
      <c r="F706" s="212">
        <f t="shared" si="1133"/>
        <v>53264</v>
      </c>
      <c r="G706" s="211">
        <f>W384</f>
        <v>53264</v>
      </c>
      <c r="H706" s="610">
        <f>R384</f>
        <v>0</v>
      </c>
      <c r="I706" s="610">
        <f>X384</f>
        <v>0</v>
      </c>
      <c r="J706" s="401">
        <f t="shared" si="1134"/>
        <v>53264</v>
      </c>
      <c r="K706" s="215">
        <f t="shared" si="1135"/>
        <v>106528</v>
      </c>
      <c r="L706" s="611">
        <f t="shared" si="1132"/>
        <v>0</v>
      </c>
      <c r="M706" s="611">
        <f t="shared" si="1132"/>
        <v>0</v>
      </c>
      <c r="N706" s="217">
        <f t="shared" si="1132"/>
        <v>106528</v>
      </c>
      <c r="O706" s="362"/>
      <c r="W706" s="176"/>
    </row>
    <row r="707" spans="1:34" x14ac:dyDescent="0.3">
      <c r="B707" s="214" t="s">
        <v>714</v>
      </c>
      <c r="C707" s="211">
        <f>I249+I255+I263+I269+I285+I288+I290+I392+I492+I522+I530+I539+I562+I637</f>
        <v>1021995.1</v>
      </c>
      <c r="D707" s="610">
        <f>N249+N255+N263+N269+N285+N288+N290+N392+N492+N522+N530+N539+N562+N637</f>
        <v>0</v>
      </c>
      <c r="E707" s="610">
        <f>J249+J255+J263+J269+J285+J288+J290+J392+J492+J522+J530+J539+J562+J637</f>
        <v>99440.1</v>
      </c>
      <c r="F707" s="212">
        <f t="shared" si="1133"/>
        <v>1121435.2</v>
      </c>
      <c r="G707" s="211">
        <f>W249+W255+W263+W269+W285+W288+W290+W392+W492+W522+W530+W539+W562+W637</f>
        <v>1577114.5177156175</v>
      </c>
      <c r="H707" s="610">
        <f>AB249+AB255+AB263+AB269+AB285+AB288+AB290+AB392+AB492+AB522+AB530+AB539+AB562+AB637</f>
        <v>0</v>
      </c>
      <c r="I707" s="610">
        <f>X249+X255+X263+X269+X285+X288+X290+X392+X492+X522+X530+X539+X562+X637</f>
        <v>94004.1</v>
      </c>
      <c r="J707" s="401">
        <f t="shared" si="1134"/>
        <v>1671118.6177156176</v>
      </c>
      <c r="K707" s="215">
        <f t="shared" si="1135"/>
        <v>2599109.6177156176</v>
      </c>
      <c r="L707" s="611">
        <f t="shared" si="1132"/>
        <v>0</v>
      </c>
      <c r="M707" s="611">
        <f t="shared" si="1132"/>
        <v>193444.2</v>
      </c>
      <c r="N707" s="217">
        <f t="shared" si="1132"/>
        <v>2792553.8177156178</v>
      </c>
      <c r="O707" s="362"/>
      <c r="W707" s="176"/>
    </row>
    <row r="708" spans="1:34" s="206" customFormat="1" x14ac:dyDescent="0.3">
      <c r="A708" s="279"/>
      <c r="B708" s="214" t="s">
        <v>715</v>
      </c>
      <c r="C708" s="223">
        <f>SUM(C705:C707)*1%</f>
        <v>11818.721000000001</v>
      </c>
      <c r="D708" s="614">
        <v>0</v>
      </c>
      <c r="E708" s="614">
        <v>0</v>
      </c>
      <c r="F708" s="224">
        <f t="shared" ref="F708" si="1148">SUM(C708:E708)</f>
        <v>11818.721000000001</v>
      </c>
      <c r="G708" s="223">
        <f>SUM(G705:G707)*1%</f>
        <v>16303.785177156176</v>
      </c>
      <c r="H708" s="614">
        <v>0</v>
      </c>
      <c r="I708" s="614">
        <v>0</v>
      </c>
      <c r="J708" s="403">
        <f t="shared" ref="J708" si="1149">SUM(G708:I708)</f>
        <v>16303.785177156176</v>
      </c>
      <c r="K708" s="225">
        <f t="shared" si="1135"/>
        <v>28122.506177156178</v>
      </c>
      <c r="L708" s="615">
        <f t="shared" si="1132"/>
        <v>0</v>
      </c>
      <c r="M708" s="615">
        <f t="shared" si="1132"/>
        <v>0</v>
      </c>
      <c r="N708" s="226">
        <f t="shared" si="1132"/>
        <v>28122.506177156178</v>
      </c>
      <c r="O708" s="361"/>
      <c r="Q708" s="207"/>
      <c r="S708" s="207"/>
      <c r="W708" s="208"/>
      <c r="AB708" s="274"/>
      <c r="AC708" s="207"/>
      <c r="AD708" s="207"/>
      <c r="AE708" s="240"/>
      <c r="AF708" s="240"/>
      <c r="AG708" s="277"/>
      <c r="AH708" s="277"/>
    </row>
    <row r="709" spans="1:34" s="206" customFormat="1" x14ac:dyDescent="0.3">
      <c r="A709" s="279"/>
      <c r="B709" s="218" t="s">
        <v>716</v>
      </c>
      <c r="C709" s="219">
        <f>SUM(C705:C708)</f>
        <v>1193690.821</v>
      </c>
      <c r="D709" s="612">
        <f t="shared" ref="D709:E709" si="1150">SUM(D705:D708)</f>
        <v>0</v>
      </c>
      <c r="E709" s="612">
        <f t="shared" si="1150"/>
        <v>99440.1</v>
      </c>
      <c r="F709" s="220">
        <f t="shared" si="1133"/>
        <v>1293130.9210000001</v>
      </c>
      <c r="G709" s="219">
        <f>SUM(G705:G708)</f>
        <v>1646682.3028927736</v>
      </c>
      <c r="H709" s="612">
        <f>SUM(H705:H708)</f>
        <v>0</v>
      </c>
      <c r="I709" s="612">
        <f t="shared" ref="I709" si="1151">SUM(I705:I708)</f>
        <v>94004.1</v>
      </c>
      <c r="J709" s="402">
        <f t="shared" si="1134"/>
        <v>1740686.4028927737</v>
      </c>
      <c r="K709" s="221">
        <f t="shared" si="1135"/>
        <v>2840373.1238927739</v>
      </c>
      <c r="L709" s="613">
        <f t="shared" si="1132"/>
        <v>0</v>
      </c>
      <c r="M709" s="613">
        <f t="shared" si="1132"/>
        <v>193444.2</v>
      </c>
      <c r="N709" s="222">
        <f t="shared" si="1132"/>
        <v>3033817.3238927741</v>
      </c>
      <c r="O709" s="360">
        <f>M709/N709</f>
        <v>6.3762639390491205E-2</v>
      </c>
      <c r="Q709" s="207"/>
      <c r="S709" s="207"/>
      <c r="W709" s="208"/>
      <c r="AB709" s="273"/>
      <c r="AC709" s="207"/>
      <c r="AD709" s="207"/>
      <c r="AE709" s="240"/>
      <c r="AF709" s="240"/>
      <c r="AG709" s="277"/>
      <c r="AH709" s="277"/>
    </row>
    <row r="710" spans="1:34" s="206" customFormat="1" ht="13.5" thickBot="1" x14ac:dyDescent="0.35">
      <c r="A710" s="279"/>
      <c r="B710" s="216" t="s">
        <v>717</v>
      </c>
      <c r="C710" s="343">
        <f>C701+C704+C709</f>
        <v>4203042.9693650007</v>
      </c>
      <c r="D710" s="344">
        <f>D701+D704+D709</f>
        <v>109227.51999999999</v>
      </c>
      <c r="E710" s="344">
        <f>E701+E704+E709</f>
        <v>444652.85499999998</v>
      </c>
      <c r="F710" s="345">
        <f t="shared" si="1133"/>
        <v>4756923.3443650007</v>
      </c>
      <c r="G710" s="343">
        <f>G701+G704+G709</f>
        <v>4369347.5955743734</v>
      </c>
      <c r="H710" s="344">
        <f t="shared" ref="H710" si="1152">H701+H704+H709</f>
        <v>76109.320000000007</v>
      </c>
      <c r="I710" s="344">
        <f>I701+I704+I709</f>
        <v>361048.10499999998</v>
      </c>
      <c r="J710" s="346">
        <f t="shared" si="1134"/>
        <v>4806505.0205743741</v>
      </c>
      <c r="K710" s="347">
        <f>C710+G710</f>
        <v>8572390.5649393741</v>
      </c>
      <c r="L710" s="348">
        <f t="shared" si="1132"/>
        <v>185336.84</v>
      </c>
      <c r="M710" s="348">
        <f>E710+I710</f>
        <v>805700.96</v>
      </c>
      <c r="N710" s="349">
        <f>F710+J710</f>
        <v>9563428.3649393748</v>
      </c>
      <c r="O710" s="360">
        <f>M710/N710</f>
        <v>8.4248130404133315E-2</v>
      </c>
      <c r="Q710" s="207"/>
      <c r="S710" s="207"/>
      <c r="W710" s="208"/>
      <c r="AB710" s="273"/>
      <c r="AC710" s="207"/>
      <c r="AD710" s="207"/>
      <c r="AE710" s="240"/>
      <c r="AF710" s="240"/>
      <c r="AG710" s="277"/>
      <c r="AH710" s="277"/>
    </row>
    <row r="711" spans="1:34" x14ac:dyDescent="0.3">
      <c r="B711" s="178"/>
      <c r="C711" s="363"/>
      <c r="D711" s="364">
        <f>C710+D710</f>
        <v>4312270.4893650003</v>
      </c>
      <c r="E711" s="363"/>
      <c r="F711" s="365"/>
      <c r="G711" s="181"/>
      <c r="H711" s="364">
        <f>G710+H710</f>
        <v>4445456.9155743737</v>
      </c>
      <c r="I711" s="366"/>
      <c r="J711" s="181"/>
      <c r="K711" s="367"/>
      <c r="L711" s="364">
        <f>K710+L710</f>
        <v>8757727.404939374</v>
      </c>
      <c r="M711" s="367"/>
      <c r="N711" s="366"/>
      <c r="W711" s="176"/>
    </row>
    <row r="712" spans="1:34" ht="13.5" thickBot="1" x14ac:dyDescent="0.35">
      <c r="B712" s="178"/>
      <c r="E712" s="210"/>
      <c r="H712" s="209"/>
      <c r="W712" s="176"/>
    </row>
    <row r="713" spans="1:34" ht="14.5" x14ac:dyDescent="0.35">
      <c r="B713" s="256"/>
      <c r="C713" s="292" t="s">
        <v>701</v>
      </c>
      <c r="D713" s="293"/>
      <c r="E713" s="293"/>
      <c r="F713" s="294"/>
      <c r="G713" s="295" t="s">
        <v>1822</v>
      </c>
      <c r="H713" s="296"/>
      <c r="I713" s="296"/>
      <c r="J713" s="297"/>
      <c r="K713" s="292" t="s">
        <v>1823</v>
      </c>
      <c r="L713" s="293"/>
      <c r="M713" s="293"/>
      <c r="N713" s="294"/>
      <c r="W713" s="176"/>
    </row>
    <row r="714" spans="1:34" ht="26.25" customHeight="1" x14ac:dyDescent="0.3">
      <c r="B714" s="256"/>
      <c r="C714" s="350" t="s">
        <v>702</v>
      </c>
      <c r="D714" s="351" t="s">
        <v>703</v>
      </c>
      <c r="E714" s="352" t="s">
        <v>704</v>
      </c>
      <c r="F714" s="353" t="s">
        <v>705</v>
      </c>
      <c r="G714" s="350" t="s">
        <v>702</v>
      </c>
      <c r="H714" s="351" t="s">
        <v>703</v>
      </c>
      <c r="I714" s="352" t="s">
        <v>704</v>
      </c>
      <c r="J714" s="353" t="s">
        <v>705</v>
      </c>
      <c r="K714" s="350" t="s">
        <v>702</v>
      </c>
      <c r="L714" s="351" t="s">
        <v>703</v>
      </c>
      <c r="M714" s="352" t="s">
        <v>704</v>
      </c>
      <c r="N714" s="353" t="s">
        <v>705</v>
      </c>
      <c r="W714" s="176"/>
    </row>
    <row r="715" spans="1:34" x14ac:dyDescent="0.3">
      <c r="B715" s="256" t="s">
        <v>718</v>
      </c>
      <c r="C715" s="259">
        <f>C696</f>
        <v>460016.09399999998</v>
      </c>
      <c r="D715" s="250">
        <f t="shared" ref="D715:J715" si="1153">D696</f>
        <v>0</v>
      </c>
      <c r="E715" s="249">
        <f t="shared" si="1153"/>
        <v>211333.54</v>
      </c>
      <c r="F715" s="260">
        <f t="shared" ref="F715:F731" si="1154">SUM(C715:E715)</f>
        <v>671349.63399999996</v>
      </c>
      <c r="G715" s="265">
        <f t="shared" si="1153"/>
        <v>464637.09400000004</v>
      </c>
      <c r="H715" s="250">
        <f t="shared" si="1153"/>
        <v>0</v>
      </c>
      <c r="I715" s="251">
        <f t="shared" si="1153"/>
        <v>138022.54</v>
      </c>
      <c r="J715" s="266">
        <f t="shared" si="1153"/>
        <v>602659.63400000008</v>
      </c>
      <c r="K715" s="265">
        <f t="shared" ref="K715:K735" si="1155">C715+G715</f>
        <v>924653.18800000008</v>
      </c>
      <c r="L715" s="250">
        <f t="shared" ref="L715:L735" si="1156">D715+H715</f>
        <v>0</v>
      </c>
      <c r="M715" s="250">
        <f t="shared" ref="M715:M735" si="1157">E715+I715</f>
        <v>349356.08</v>
      </c>
      <c r="N715" s="269">
        <f t="shared" ref="N715:N735" si="1158">F715+J715</f>
        <v>1274009.2680000002</v>
      </c>
      <c r="W715" s="176"/>
    </row>
    <row r="716" spans="1:34" x14ac:dyDescent="0.3">
      <c r="B716" s="256" t="s">
        <v>729</v>
      </c>
      <c r="C716" s="259">
        <v>0</v>
      </c>
      <c r="D716" s="250">
        <v>0</v>
      </c>
      <c r="E716" s="249">
        <v>0</v>
      </c>
      <c r="F716" s="260">
        <f t="shared" si="1154"/>
        <v>0</v>
      </c>
      <c r="G716" s="259">
        <f>(C715+G715)*7%</f>
        <v>64725.723160000009</v>
      </c>
      <c r="H716" s="250">
        <v>0</v>
      </c>
      <c r="I716" s="249">
        <v>0</v>
      </c>
      <c r="J716" s="260">
        <f t="shared" ref="J716" si="1159">SUM(G716:I716)</f>
        <v>64725.723160000009</v>
      </c>
      <c r="K716" s="265">
        <f t="shared" si="1155"/>
        <v>64725.723160000009</v>
      </c>
      <c r="L716" s="250">
        <f t="shared" si="1156"/>
        <v>0</v>
      </c>
      <c r="M716" s="250">
        <f t="shared" si="1157"/>
        <v>0</v>
      </c>
      <c r="N716" s="269">
        <f t="shared" si="1158"/>
        <v>64725.723160000009</v>
      </c>
      <c r="W716" s="176"/>
    </row>
    <row r="717" spans="1:34" x14ac:dyDescent="0.3">
      <c r="B717" s="256" t="s">
        <v>719</v>
      </c>
      <c r="C717" s="259">
        <f>SUM(C715:C716)*0.5%</f>
        <v>2300.0804699999999</v>
      </c>
      <c r="D717" s="250">
        <v>0</v>
      </c>
      <c r="E717" s="249">
        <v>0</v>
      </c>
      <c r="F717" s="260">
        <f t="shared" si="1154"/>
        <v>2300.0804699999999</v>
      </c>
      <c r="G717" s="259">
        <f>SUM(G715:G716)*0.5%</f>
        <v>2646.8140858000006</v>
      </c>
      <c r="H717" s="250">
        <v>0</v>
      </c>
      <c r="I717" s="249">
        <v>0</v>
      </c>
      <c r="J717" s="260">
        <f>SUM(G717:I717)</f>
        <v>2646.8140858000006</v>
      </c>
      <c r="K717" s="265">
        <f t="shared" si="1155"/>
        <v>4946.8945558000005</v>
      </c>
      <c r="L717" s="250">
        <f t="shared" si="1156"/>
        <v>0</v>
      </c>
      <c r="M717" s="250">
        <f t="shared" si="1157"/>
        <v>0</v>
      </c>
      <c r="N717" s="269">
        <f t="shared" si="1158"/>
        <v>4946.8945558000005</v>
      </c>
      <c r="W717" s="176"/>
    </row>
    <row r="718" spans="1:34" x14ac:dyDescent="0.3">
      <c r="B718" s="257" t="s">
        <v>720</v>
      </c>
      <c r="C718" s="261">
        <f>SUM(C715:C717)</f>
        <v>462316.17446999997</v>
      </c>
      <c r="D718" s="253">
        <f t="shared" ref="D718:E718" si="1160">SUM(D715:D717)</f>
        <v>0</v>
      </c>
      <c r="E718" s="252">
        <f t="shared" si="1160"/>
        <v>211333.54</v>
      </c>
      <c r="F718" s="262">
        <f t="shared" si="1154"/>
        <v>673649.71447000001</v>
      </c>
      <c r="G718" s="267">
        <f>SUM(G715:G717)</f>
        <v>532009.63124580006</v>
      </c>
      <c r="H718" s="253">
        <f t="shared" ref="H718:I718" si="1161">SUM(H715:H717)</f>
        <v>0</v>
      </c>
      <c r="I718" s="254">
        <f t="shared" si="1161"/>
        <v>138022.54</v>
      </c>
      <c r="J718" s="268">
        <f>SUM(G718:I718)</f>
        <v>670032.1712458001</v>
      </c>
      <c r="K718" s="267">
        <f t="shared" si="1155"/>
        <v>994325.80571580003</v>
      </c>
      <c r="L718" s="253">
        <f t="shared" si="1156"/>
        <v>0</v>
      </c>
      <c r="M718" s="253">
        <f t="shared" si="1157"/>
        <v>349356.08</v>
      </c>
      <c r="N718" s="270">
        <f>F718+J718</f>
        <v>1343681.8857158001</v>
      </c>
      <c r="W718" s="176"/>
    </row>
    <row r="719" spans="1:34" x14ac:dyDescent="0.3">
      <c r="B719" s="256" t="s">
        <v>721</v>
      </c>
      <c r="C719" s="259">
        <f>C697</f>
        <v>711414.66899999999</v>
      </c>
      <c r="D719" s="250">
        <f t="shared" ref="D719:J719" si="1162">D697</f>
        <v>109227.51999999999</v>
      </c>
      <c r="E719" s="249">
        <f t="shared" si="1162"/>
        <v>52579.464999999997</v>
      </c>
      <c r="F719" s="260">
        <f t="shared" si="1154"/>
        <v>873221.65399999998</v>
      </c>
      <c r="G719" s="265">
        <f>G697</f>
        <v>674348.46899999992</v>
      </c>
      <c r="H719" s="250">
        <f t="shared" si="1162"/>
        <v>76109.320000000007</v>
      </c>
      <c r="I719" s="255">
        <f t="shared" si="1162"/>
        <v>53879.665000000001</v>
      </c>
      <c r="J719" s="266">
        <f t="shared" si="1162"/>
        <v>804337.45399999991</v>
      </c>
      <c r="K719" s="265">
        <f t="shared" si="1155"/>
        <v>1385763.1379999998</v>
      </c>
      <c r="L719" s="250">
        <f t="shared" si="1156"/>
        <v>185336.84</v>
      </c>
      <c r="M719" s="250">
        <f t="shared" si="1157"/>
        <v>106459.13</v>
      </c>
      <c r="N719" s="271">
        <f t="shared" si="1158"/>
        <v>1677559.108</v>
      </c>
      <c r="W719" s="176"/>
    </row>
    <row r="720" spans="1:34" x14ac:dyDescent="0.3">
      <c r="B720" s="256" t="s">
        <v>1827</v>
      </c>
      <c r="C720" s="259">
        <v>0</v>
      </c>
      <c r="D720" s="250">
        <v>0</v>
      </c>
      <c r="E720" s="249">
        <v>0</v>
      </c>
      <c r="F720" s="260">
        <f t="shared" ref="F720" si="1163">SUM(C720:E720)</f>
        <v>0</v>
      </c>
      <c r="G720" s="259">
        <f>(C719+G719)*7%</f>
        <v>97003.41966</v>
      </c>
      <c r="H720" s="250">
        <v>0</v>
      </c>
      <c r="I720" s="249">
        <v>0</v>
      </c>
      <c r="J720" s="260">
        <f t="shared" ref="J720" si="1164">SUM(G720:I720)</f>
        <v>97003.41966</v>
      </c>
      <c r="K720" s="265">
        <f>C720+G720</f>
        <v>97003.41966</v>
      </c>
      <c r="L720" s="250">
        <f t="shared" ref="L720" si="1165">D720+H720</f>
        <v>0</v>
      </c>
      <c r="M720" s="250">
        <f t="shared" ref="M720" si="1166">E720+I720</f>
        <v>0</v>
      </c>
      <c r="N720" s="269">
        <f t="shared" ref="N720" si="1167">F720+J720</f>
        <v>97003.41966</v>
      </c>
      <c r="W720" s="176"/>
    </row>
    <row r="721" spans="2:42" x14ac:dyDescent="0.3">
      <c r="B721" s="256" t="s">
        <v>722</v>
      </c>
      <c r="C721" s="259">
        <f>C705</f>
        <v>106613</v>
      </c>
      <c r="D721" s="250">
        <f>D705</f>
        <v>0</v>
      </c>
      <c r="E721" s="249">
        <f>E705</f>
        <v>0</v>
      </c>
      <c r="F721" s="260">
        <f t="shared" si="1154"/>
        <v>106613</v>
      </c>
      <c r="G721" s="265">
        <f>G705</f>
        <v>0</v>
      </c>
      <c r="H721" s="250">
        <f>H705</f>
        <v>0</v>
      </c>
      <c r="I721" s="255">
        <f>I705</f>
        <v>0</v>
      </c>
      <c r="J721" s="266">
        <f>J705</f>
        <v>0</v>
      </c>
      <c r="K721" s="265">
        <f t="shared" si="1155"/>
        <v>106613</v>
      </c>
      <c r="L721" s="250">
        <f t="shared" si="1156"/>
        <v>0</v>
      </c>
      <c r="M721" s="250">
        <f t="shared" si="1157"/>
        <v>0</v>
      </c>
      <c r="N721" s="271">
        <f t="shared" si="1158"/>
        <v>106613</v>
      </c>
      <c r="W721" s="176"/>
    </row>
    <row r="722" spans="2:42" x14ac:dyDescent="0.3">
      <c r="B722" s="256" t="s">
        <v>723</v>
      </c>
      <c r="C722" s="259">
        <f>((C719+C720)*0.5%)+(C721*1%)</f>
        <v>4623.2033449999999</v>
      </c>
      <c r="D722" s="250">
        <v>0</v>
      </c>
      <c r="E722" s="249">
        <v>0</v>
      </c>
      <c r="F722" s="260">
        <f>SUM(C722:E722)</f>
        <v>4623.2033449999999</v>
      </c>
      <c r="G722" s="259">
        <f>((G719+G720)*0.5%)+(G721*1%)</f>
        <v>3856.7594432999999</v>
      </c>
      <c r="H722" s="250">
        <v>0</v>
      </c>
      <c r="I722" s="249">
        <v>0</v>
      </c>
      <c r="J722" s="260">
        <f>SUM(G722:I722)</f>
        <v>3856.7594432999999</v>
      </c>
      <c r="K722" s="265">
        <f>C722+G722</f>
        <v>8479.9627882999994</v>
      </c>
      <c r="L722" s="250">
        <f>D722+H722</f>
        <v>0</v>
      </c>
      <c r="M722" s="250">
        <f>E722+I722</f>
        <v>0</v>
      </c>
      <c r="N722" s="269">
        <f>F722+J722</f>
        <v>8479.9627882999994</v>
      </c>
      <c r="W722" s="176"/>
    </row>
    <row r="723" spans="2:42" x14ac:dyDescent="0.3">
      <c r="B723" s="257" t="s">
        <v>724</v>
      </c>
      <c r="C723" s="261">
        <f>SUM(C719:C722)</f>
        <v>822650.87234500004</v>
      </c>
      <c r="D723" s="253">
        <f>D719+D721</f>
        <v>109227.51999999999</v>
      </c>
      <c r="E723" s="252">
        <f>E719+E721</f>
        <v>52579.464999999997</v>
      </c>
      <c r="F723" s="262">
        <f t="shared" si="1154"/>
        <v>984457.85734500003</v>
      </c>
      <c r="G723" s="267">
        <f>G719+G720+G721+G722</f>
        <v>775208.6481032999</v>
      </c>
      <c r="H723" s="253">
        <f>H719+H721</f>
        <v>76109.320000000007</v>
      </c>
      <c r="I723" s="254">
        <f>I719+I721</f>
        <v>53879.665000000001</v>
      </c>
      <c r="J723" s="268">
        <f>J719+J721</f>
        <v>804337.45399999991</v>
      </c>
      <c r="K723" s="267">
        <f t="shared" si="1155"/>
        <v>1597859.5204483001</v>
      </c>
      <c r="L723" s="253">
        <f t="shared" si="1156"/>
        <v>185336.84</v>
      </c>
      <c r="M723" s="253">
        <f t="shared" si="1157"/>
        <v>106459.13</v>
      </c>
      <c r="N723" s="270">
        <f t="shared" si="1158"/>
        <v>1788795.3113449998</v>
      </c>
      <c r="W723" s="176"/>
    </row>
    <row r="724" spans="2:42" x14ac:dyDescent="0.3">
      <c r="B724" s="256" t="s">
        <v>1828</v>
      </c>
      <c r="C724" s="259">
        <f>C702</f>
        <v>1700601.5299999998</v>
      </c>
      <c r="D724" s="250">
        <f>D702</f>
        <v>0</v>
      </c>
      <c r="E724" s="249">
        <f>E702</f>
        <v>78913.5</v>
      </c>
      <c r="F724" s="260">
        <f t="shared" si="1154"/>
        <v>1779515.0299999998</v>
      </c>
      <c r="G724" s="265">
        <f>G702</f>
        <v>1278058.8799999999</v>
      </c>
      <c r="H724" s="250">
        <f>H702</f>
        <v>0</v>
      </c>
      <c r="I724" s="255">
        <f>I702</f>
        <v>72913.5</v>
      </c>
      <c r="J724" s="266">
        <f>J702</f>
        <v>1350972.38</v>
      </c>
      <c r="K724" s="265">
        <f t="shared" si="1155"/>
        <v>2978660.4099999997</v>
      </c>
      <c r="L724" s="250">
        <f t="shared" si="1156"/>
        <v>0</v>
      </c>
      <c r="M724" s="250">
        <f t="shared" si="1157"/>
        <v>151827</v>
      </c>
      <c r="N724" s="271">
        <f t="shared" si="1158"/>
        <v>3130487.4099999997</v>
      </c>
      <c r="W724" s="176"/>
    </row>
    <row r="725" spans="2:42" x14ac:dyDescent="0.3">
      <c r="B725" s="256" t="s">
        <v>725</v>
      </c>
      <c r="C725" s="259">
        <f>C706</f>
        <v>53264</v>
      </c>
      <c r="D725" s="250">
        <f>D706</f>
        <v>0</v>
      </c>
      <c r="E725" s="249">
        <f>E706</f>
        <v>0</v>
      </c>
      <c r="F725" s="260">
        <f t="shared" si="1154"/>
        <v>53264</v>
      </c>
      <c r="G725" s="265">
        <f>G706</f>
        <v>53264</v>
      </c>
      <c r="H725" s="250">
        <f>H706</f>
        <v>0</v>
      </c>
      <c r="I725" s="255">
        <f>I706</f>
        <v>0</v>
      </c>
      <c r="J725" s="266">
        <f>J706</f>
        <v>53264</v>
      </c>
      <c r="K725" s="265">
        <f t="shared" si="1155"/>
        <v>106528</v>
      </c>
      <c r="L725" s="250">
        <f t="shared" si="1156"/>
        <v>0</v>
      </c>
      <c r="M725" s="250">
        <f t="shared" si="1157"/>
        <v>0</v>
      </c>
      <c r="N725" s="271">
        <f t="shared" si="1158"/>
        <v>106528</v>
      </c>
      <c r="W725" s="176"/>
    </row>
    <row r="726" spans="2:42" x14ac:dyDescent="0.3">
      <c r="B726" s="256" t="s">
        <v>726</v>
      </c>
      <c r="C726" s="259">
        <f>SUM(C724:C725)*1%</f>
        <v>17538.655299999999</v>
      </c>
      <c r="D726" s="250">
        <v>0</v>
      </c>
      <c r="E726" s="249">
        <v>0</v>
      </c>
      <c r="F726" s="260">
        <f>SUM(C726:E726)</f>
        <v>17538.655299999999</v>
      </c>
      <c r="G726" s="259">
        <f>SUM(G724:G725)*1%</f>
        <v>13313.228799999999</v>
      </c>
      <c r="H726" s="250">
        <v>0</v>
      </c>
      <c r="I726" s="249">
        <v>0</v>
      </c>
      <c r="J726" s="260">
        <f>SUM(G726:I726)</f>
        <v>13313.228799999999</v>
      </c>
      <c r="K726" s="265">
        <f>C726+G726</f>
        <v>30851.884099999996</v>
      </c>
      <c r="L726" s="250">
        <f>D726+H726</f>
        <v>0</v>
      </c>
      <c r="M726" s="250">
        <f>E726+I726</f>
        <v>0</v>
      </c>
      <c r="N726" s="269">
        <f>F726+J726</f>
        <v>30851.884099999996</v>
      </c>
      <c r="W726" s="176"/>
    </row>
    <row r="727" spans="2:42" x14ac:dyDescent="0.3">
      <c r="B727" s="257" t="s">
        <v>727</v>
      </c>
      <c r="C727" s="261">
        <f>C724+C725+C726</f>
        <v>1771404.1852999998</v>
      </c>
      <c r="D727" s="253">
        <f>D724+D725</f>
        <v>0</v>
      </c>
      <c r="E727" s="252">
        <f>E724+E725</f>
        <v>78913.5</v>
      </c>
      <c r="F727" s="262">
        <f t="shared" si="1154"/>
        <v>1850317.6852999998</v>
      </c>
      <c r="G727" s="267">
        <f>G724+G725+G726</f>
        <v>1344636.1087999998</v>
      </c>
      <c r="H727" s="253">
        <f>H724+H725</f>
        <v>0</v>
      </c>
      <c r="I727" s="254">
        <f>I724+I725</f>
        <v>72913.5</v>
      </c>
      <c r="J727" s="268">
        <f>J724+J725</f>
        <v>1404236.38</v>
      </c>
      <c r="K727" s="267">
        <f t="shared" si="1155"/>
        <v>3116040.2940999996</v>
      </c>
      <c r="L727" s="253">
        <f t="shared" si="1156"/>
        <v>0</v>
      </c>
      <c r="M727" s="253">
        <f t="shared" si="1157"/>
        <v>151827</v>
      </c>
      <c r="N727" s="270">
        <f t="shared" si="1158"/>
        <v>3254554.0652999999</v>
      </c>
      <c r="W727" s="176"/>
    </row>
    <row r="728" spans="2:42" x14ac:dyDescent="0.3">
      <c r="B728" s="256" t="s">
        <v>728</v>
      </c>
      <c r="C728" s="259">
        <f>C707</f>
        <v>1021995.1</v>
      </c>
      <c r="D728" s="249">
        <f>D707</f>
        <v>0</v>
      </c>
      <c r="E728" s="249">
        <f>E707</f>
        <v>99440.1</v>
      </c>
      <c r="F728" s="263">
        <f t="shared" si="1154"/>
        <v>1121435.2</v>
      </c>
      <c r="G728" s="259">
        <f>G707</f>
        <v>1577114.5177156175</v>
      </c>
      <c r="H728" s="249">
        <f>H707</f>
        <v>0</v>
      </c>
      <c r="I728" s="249">
        <f>I707</f>
        <v>94004.1</v>
      </c>
      <c r="J728" s="263">
        <f>J707</f>
        <v>1671118.6177156176</v>
      </c>
      <c r="K728" s="259">
        <f t="shared" si="1155"/>
        <v>2599109.6177156176</v>
      </c>
      <c r="L728" s="249">
        <f t="shared" si="1156"/>
        <v>0</v>
      </c>
      <c r="M728" s="249">
        <f t="shared" si="1157"/>
        <v>193444.2</v>
      </c>
      <c r="N728" s="263">
        <f t="shared" si="1158"/>
        <v>2792553.8177156178</v>
      </c>
      <c r="W728" s="176"/>
      <c r="AB728" s="275"/>
    </row>
    <row r="729" spans="2:42" x14ac:dyDescent="0.3">
      <c r="B729" s="256" t="s">
        <v>730</v>
      </c>
      <c r="C729" s="259">
        <f>SUM(C728)*1%</f>
        <v>10219.950999999999</v>
      </c>
      <c r="D729" s="250">
        <v>0</v>
      </c>
      <c r="E729" s="249">
        <v>0</v>
      </c>
      <c r="F729" s="260">
        <f>SUM(C729:E729)</f>
        <v>10219.950999999999</v>
      </c>
      <c r="G729" s="259">
        <f>SUM(G728)*1%</f>
        <v>15771.145177156175</v>
      </c>
      <c r="H729" s="250">
        <v>0</v>
      </c>
      <c r="I729" s="249">
        <v>0</v>
      </c>
      <c r="J729" s="260">
        <f>SUM(G729:I729)</f>
        <v>15771.145177156175</v>
      </c>
      <c r="K729" s="265">
        <f>C729+G729</f>
        <v>25991.096177156174</v>
      </c>
      <c r="L729" s="250">
        <f>D729+H729</f>
        <v>0</v>
      </c>
      <c r="M729" s="250">
        <f>E729+I729</f>
        <v>0</v>
      </c>
      <c r="N729" s="269">
        <f>F729+J729</f>
        <v>25991.096177156174</v>
      </c>
      <c r="W729" s="176"/>
    </row>
    <row r="730" spans="2:42" x14ac:dyDescent="0.3">
      <c r="B730" s="257" t="s">
        <v>731</v>
      </c>
      <c r="C730" s="261">
        <f>SUM(C728:C729)</f>
        <v>1032215.051</v>
      </c>
      <c r="D730" s="252">
        <f t="shared" ref="D730:E730" si="1168">SUM(D728:D729)</f>
        <v>0</v>
      </c>
      <c r="E730" s="252">
        <f t="shared" si="1168"/>
        <v>99440.1</v>
      </c>
      <c r="F730" s="264">
        <f t="shared" si="1154"/>
        <v>1131655.1510000001</v>
      </c>
      <c r="G730" s="261">
        <f>SUM(G728:G729)</f>
        <v>1592885.6628927737</v>
      </c>
      <c r="H730" s="252">
        <f t="shared" ref="H730:I730" si="1169">SUM(H728:H729)</f>
        <v>0</v>
      </c>
      <c r="I730" s="252">
        <f t="shared" si="1169"/>
        <v>94004.1</v>
      </c>
      <c r="J730" s="264">
        <f>SUM(G730:I730)</f>
        <v>1686889.7628927738</v>
      </c>
      <c r="K730" s="261">
        <f t="shared" si="1155"/>
        <v>2625100.7138927737</v>
      </c>
      <c r="L730" s="252">
        <f t="shared" si="1156"/>
        <v>0</v>
      </c>
      <c r="M730" s="252">
        <f t="shared" si="1157"/>
        <v>193444.2</v>
      </c>
      <c r="N730" s="264">
        <f t="shared" si="1158"/>
        <v>2818544.9138927739</v>
      </c>
      <c r="W730" s="176"/>
    </row>
    <row r="731" spans="2:42" x14ac:dyDescent="0.3">
      <c r="B731" s="256" t="s">
        <v>732</v>
      </c>
      <c r="C731" s="259">
        <f>C698</f>
        <v>113887.25</v>
      </c>
      <c r="D731" s="250">
        <f>D698</f>
        <v>0</v>
      </c>
      <c r="E731" s="249">
        <f>E698</f>
        <v>2386.25</v>
      </c>
      <c r="F731" s="260">
        <f t="shared" si="1154"/>
        <v>116273.5</v>
      </c>
      <c r="G731" s="265">
        <f>G698</f>
        <v>108425.7</v>
      </c>
      <c r="H731" s="250">
        <f>H698</f>
        <v>0</v>
      </c>
      <c r="I731" s="251">
        <f>I698</f>
        <v>2228.3000000000002</v>
      </c>
      <c r="J731" s="266">
        <f>J698</f>
        <v>110654</v>
      </c>
      <c r="K731" s="265">
        <f t="shared" si="1155"/>
        <v>222312.95</v>
      </c>
      <c r="L731" s="250">
        <f t="shared" si="1156"/>
        <v>0</v>
      </c>
      <c r="M731" s="250">
        <f t="shared" si="1157"/>
        <v>4614.55</v>
      </c>
      <c r="N731" s="269">
        <f t="shared" si="1158"/>
        <v>226927.5</v>
      </c>
      <c r="W731" s="176"/>
      <c r="AB731" s="275"/>
    </row>
    <row r="732" spans="2:42" x14ac:dyDescent="0.3">
      <c r="B732" s="256" t="s">
        <v>1829</v>
      </c>
      <c r="C732" s="259">
        <v>0</v>
      </c>
      <c r="D732" s="250">
        <v>0</v>
      </c>
      <c r="E732" s="249">
        <v>0</v>
      </c>
      <c r="F732" s="260">
        <f t="shared" ref="F732" si="1170">SUM(C732:E732)</f>
        <v>0</v>
      </c>
      <c r="G732" s="259">
        <f>(C731+G731)*7%</f>
        <v>15561.906500000003</v>
      </c>
      <c r="H732" s="250">
        <v>0</v>
      </c>
      <c r="I732" s="249">
        <v>0</v>
      </c>
      <c r="J732" s="260">
        <f t="shared" ref="J732" si="1171">SUM(G732:I732)</f>
        <v>15561.906500000003</v>
      </c>
      <c r="K732" s="265">
        <f t="shared" ref="K732" si="1172">C732+G732</f>
        <v>15561.906500000003</v>
      </c>
      <c r="L732" s="250">
        <f t="shared" ref="L732" si="1173">D732+H732</f>
        <v>0</v>
      </c>
      <c r="M732" s="250">
        <f t="shared" ref="M732" si="1174">E732+I732</f>
        <v>0</v>
      </c>
      <c r="N732" s="269">
        <f t="shared" ref="N732" si="1175">F732+J732</f>
        <v>15561.906500000003</v>
      </c>
      <c r="W732" s="176"/>
    </row>
    <row r="733" spans="2:42" x14ac:dyDescent="0.3">
      <c r="B733" s="256" t="s">
        <v>730</v>
      </c>
      <c r="C733" s="259">
        <f>SUM(C731:C732)*0.5%</f>
        <v>569.43624999999997</v>
      </c>
      <c r="D733" s="250">
        <f t="shared" ref="D733:E733" si="1176">SUM(D731:D732)*0.5%</f>
        <v>0</v>
      </c>
      <c r="E733" s="249">
        <f t="shared" si="1176"/>
        <v>11.93125</v>
      </c>
      <c r="F733" s="260">
        <f>SUM(C733:E733)</f>
        <v>581.36749999999995</v>
      </c>
      <c r="G733" s="259">
        <f>SUM(G731:G732)*0.5%</f>
        <v>619.93803249999996</v>
      </c>
      <c r="H733" s="250">
        <f t="shared" ref="H733:I733" si="1177">SUM(H731:H732)*0.5%</f>
        <v>0</v>
      </c>
      <c r="I733" s="249">
        <f t="shared" si="1177"/>
        <v>11.141500000000001</v>
      </c>
      <c r="J733" s="260">
        <f>SUM(G733:I733)</f>
        <v>631.07953249999991</v>
      </c>
      <c r="K733" s="265">
        <f t="shared" ref="K733:N734" si="1178">C733+G733</f>
        <v>1189.3742824999999</v>
      </c>
      <c r="L733" s="250">
        <f t="shared" si="1178"/>
        <v>0</v>
      </c>
      <c r="M733" s="250">
        <f t="shared" si="1178"/>
        <v>23.072749999999999</v>
      </c>
      <c r="N733" s="269">
        <f t="shared" si="1178"/>
        <v>1212.4470324999998</v>
      </c>
      <c r="W733" s="176"/>
    </row>
    <row r="734" spans="2:42" x14ac:dyDescent="0.3">
      <c r="B734" s="257" t="s">
        <v>733</v>
      </c>
      <c r="C734" s="261">
        <f>SUM(C731:C733)</f>
        <v>114456.68625</v>
      </c>
      <c r="D734" s="252">
        <f>SUM(D731:D733)</f>
        <v>0</v>
      </c>
      <c r="E734" s="252">
        <f>SUM(E731:E733)</f>
        <v>2398.1812500000001</v>
      </c>
      <c r="F734" s="264">
        <f>SUM(C734:E734)</f>
        <v>116854.86749999999</v>
      </c>
      <c r="G734" s="261">
        <f>SUM(G731:G733)</f>
        <v>124607.54453249999</v>
      </c>
      <c r="H734" s="252">
        <f>SUM(H731:H733)</f>
        <v>0</v>
      </c>
      <c r="I734" s="252">
        <f>SUM(I731:I733)</f>
        <v>2239.4415000000004</v>
      </c>
      <c r="J734" s="264">
        <f>SUM(G734:I734)</f>
        <v>126846.98603249999</v>
      </c>
      <c r="K734" s="261">
        <f t="shared" si="1178"/>
        <v>239064.2307825</v>
      </c>
      <c r="L734" s="252">
        <f t="shared" si="1178"/>
        <v>0</v>
      </c>
      <c r="M734" s="252">
        <f t="shared" si="1178"/>
        <v>4637.6227500000005</v>
      </c>
      <c r="N734" s="264">
        <f t="shared" si="1178"/>
        <v>243701.85353249998</v>
      </c>
      <c r="W734" s="176"/>
    </row>
    <row r="735" spans="2:42" ht="13.5" thickBot="1" x14ac:dyDescent="0.35">
      <c r="B735" s="258" t="s">
        <v>717</v>
      </c>
      <c r="C735" s="354">
        <f>C718+C723+C727+C730+C734</f>
        <v>4203042.9693649998</v>
      </c>
      <c r="D735" s="355">
        <f>D715+D723+D727+D728+D731</f>
        <v>109227.51999999999</v>
      </c>
      <c r="E735" s="355">
        <f>E715+E723+E727+E728+E731</f>
        <v>444652.85499999998</v>
      </c>
      <c r="F735" s="356">
        <f>SUM(C735:E735)</f>
        <v>4756923.3443649989</v>
      </c>
      <c r="G735" s="354">
        <f>G718+G723+G727+G730+G734</f>
        <v>4369347.5955743734</v>
      </c>
      <c r="H735" s="355">
        <f>H715+H723+H727+H728+H731</f>
        <v>76109.320000000007</v>
      </c>
      <c r="I735" s="355">
        <f>I715+I723+I727+I728+I731</f>
        <v>361048.10500000004</v>
      </c>
      <c r="J735" s="356">
        <f>SUM(G735:I735)</f>
        <v>4806505.0205743741</v>
      </c>
      <c r="K735" s="357">
        <f t="shared" si="1155"/>
        <v>8572390.5649393722</v>
      </c>
      <c r="L735" s="358">
        <f t="shared" si="1156"/>
        <v>185336.84</v>
      </c>
      <c r="M735" s="358">
        <f t="shared" si="1157"/>
        <v>805700.96</v>
      </c>
      <c r="N735" s="359">
        <f t="shared" si="1158"/>
        <v>9563428.364939373</v>
      </c>
      <c r="W735" s="176"/>
    </row>
    <row r="736" spans="2:42" x14ac:dyDescent="0.3">
      <c r="B736" s="178"/>
      <c r="AI736" s="177"/>
      <c r="AJ736" s="177"/>
      <c r="AK736" s="179"/>
      <c r="AL736" s="179"/>
      <c r="AM736" s="179"/>
      <c r="AN736" s="179"/>
      <c r="AO736" s="179"/>
      <c r="AP736" s="179"/>
    </row>
    <row r="737" spans="1:34" s="165" customFormat="1" ht="15.5" x14ac:dyDescent="0.35">
      <c r="A737" s="164"/>
      <c r="C737" s="183"/>
      <c r="D737" s="189"/>
      <c r="E737" s="184"/>
      <c r="F737" s="164"/>
      <c r="I737" s="191"/>
      <c r="N737" s="191"/>
      <c r="P737" s="162"/>
      <c r="Q737" s="159"/>
      <c r="R737" s="160"/>
      <c r="S737" s="161"/>
      <c r="AB737" s="191"/>
      <c r="AC737" s="183"/>
      <c r="AD737" s="183"/>
      <c r="AE737" s="248"/>
      <c r="AF737" s="248"/>
      <c r="AG737" s="164"/>
      <c r="AH737" s="164"/>
    </row>
    <row r="738" spans="1:34" s="165" customFormat="1" ht="15.5" x14ac:dyDescent="0.35">
      <c r="A738" s="164"/>
      <c r="C738" s="183"/>
      <c r="D738" s="189"/>
      <c r="E738" s="183"/>
      <c r="F738" s="164"/>
      <c r="I738" s="191"/>
      <c r="N738" s="191"/>
      <c r="P738" s="162"/>
      <c r="Q738" s="159"/>
      <c r="R738" s="160"/>
      <c r="S738" s="161"/>
      <c r="AB738" s="191"/>
      <c r="AC738" s="183"/>
      <c r="AD738" s="183"/>
      <c r="AE738" s="248"/>
      <c r="AF738" s="248"/>
      <c r="AG738" s="164"/>
      <c r="AH738" s="164"/>
    </row>
    <row r="739" spans="1:34" s="165" customFormat="1" ht="15.5" x14ac:dyDescent="0.35">
      <c r="A739" s="164"/>
      <c r="C739" s="183"/>
      <c r="D739" s="189"/>
      <c r="E739" s="183"/>
      <c r="F739" s="164"/>
      <c r="I739" s="191"/>
      <c r="N739" s="191"/>
      <c r="P739" s="162"/>
      <c r="Q739" s="159"/>
      <c r="R739" s="160"/>
      <c r="S739" s="161"/>
      <c r="AB739" s="191"/>
      <c r="AC739" s="183"/>
      <c r="AD739" s="183"/>
      <c r="AE739" s="248"/>
      <c r="AF739" s="248"/>
      <c r="AG739" s="164"/>
      <c r="AH739" s="164"/>
    </row>
    <row r="740" spans="1:34" s="165" customFormat="1" ht="15.5" x14ac:dyDescent="0.35">
      <c r="A740" s="164"/>
      <c r="C740" s="183"/>
      <c r="D740" s="189"/>
      <c r="E740" s="183"/>
      <c r="F740" s="164"/>
      <c r="I740" s="191"/>
      <c r="N740" s="191"/>
      <c r="P740" s="162"/>
      <c r="Q740" s="159"/>
      <c r="R740" s="160"/>
      <c r="S740" s="161"/>
      <c r="AB740" s="191"/>
      <c r="AC740" s="183"/>
      <c r="AD740" s="183"/>
      <c r="AE740" s="248"/>
      <c r="AF740" s="248"/>
      <c r="AG740" s="164"/>
      <c r="AH740" s="164"/>
    </row>
    <row r="741" spans="1:34" s="165" customFormat="1" ht="15.5" x14ac:dyDescent="0.35">
      <c r="A741" s="164"/>
      <c r="C741" s="183"/>
      <c r="D741" s="189"/>
      <c r="E741" s="183"/>
      <c r="F741" s="164"/>
      <c r="I741" s="191"/>
      <c r="N741" s="191"/>
      <c r="P741" s="162"/>
      <c r="Q741" s="159"/>
      <c r="R741" s="160"/>
      <c r="S741" s="161"/>
      <c r="AB741" s="191"/>
      <c r="AC741" s="183"/>
      <c r="AD741" s="183"/>
      <c r="AE741" s="248"/>
      <c r="AF741" s="248"/>
      <c r="AG741" s="164"/>
      <c r="AH741" s="164"/>
    </row>
    <row r="742" spans="1:34" s="165" customFormat="1" ht="15.5" x14ac:dyDescent="0.35">
      <c r="A742" s="164"/>
      <c r="B742" s="372" t="s">
        <v>734</v>
      </c>
      <c r="C742" s="373">
        <f>K710</f>
        <v>8572390.5649393741</v>
      </c>
      <c r="D742" s="374">
        <f>C742/$C$745</f>
        <v>0.89637212073096539</v>
      </c>
      <c r="E742" s="183"/>
      <c r="F742" s="164"/>
      <c r="I742" s="191"/>
      <c r="N742" s="191"/>
      <c r="P742" s="162"/>
      <c r="Q742" s="159"/>
      <c r="R742" s="160"/>
      <c r="S742" s="161"/>
      <c r="AB742" s="191"/>
      <c r="AC742" s="183"/>
      <c r="AD742" s="183"/>
      <c r="AE742" s="248"/>
      <c r="AF742" s="248"/>
      <c r="AG742" s="164"/>
      <c r="AH742" s="164"/>
    </row>
    <row r="743" spans="1:34" ht="15.5" x14ac:dyDescent="0.35">
      <c r="A743" s="198"/>
      <c r="B743" s="372" t="s">
        <v>735</v>
      </c>
      <c r="C743" s="375">
        <f>L710</f>
        <v>185336.84</v>
      </c>
      <c r="D743" s="374">
        <f t="shared" ref="D743:D745" si="1179">C743/$C$745</f>
        <v>1.9379748864901434E-2</v>
      </c>
    </row>
    <row r="744" spans="1:34" ht="15.5" x14ac:dyDescent="0.35">
      <c r="A744" s="198"/>
      <c r="B744" s="372" t="s">
        <v>704</v>
      </c>
      <c r="C744" s="375">
        <f>M710</f>
        <v>805700.96</v>
      </c>
      <c r="D744" s="374">
        <f t="shared" si="1179"/>
        <v>8.4248130404133342E-2</v>
      </c>
    </row>
    <row r="745" spans="1:34" ht="15.5" x14ac:dyDescent="0.35">
      <c r="A745" s="198"/>
      <c r="B745" s="372" t="s">
        <v>705</v>
      </c>
      <c r="C745" s="375">
        <f>SUM(C742:C744)</f>
        <v>9563428.364939373</v>
      </c>
      <c r="D745" s="374">
        <f t="shared" si="1179"/>
        <v>1</v>
      </c>
    </row>
    <row r="746" spans="1:34" x14ac:dyDescent="0.3">
      <c r="A746" s="198"/>
      <c r="B746" s="178"/>
    </row>
    <row r="747" spans="1:34" x14ac:dyDescent="0.3">
      <c r="A747" s="198"/>
      <c r="B747" s="178"/>
    </row>
    <row r="748" spans="1:34" x14ac:dyDescent="0.3">
      <c r="A748" s="198"/>
      <c r="B748" s="178"/>
    </row>
    <row r="749" spans="1:34" x14ac:dyDescent="0.3">
      <c r="A749" s="198"/>
      <c r="B749" s="178"/>
    </row>
    <row r="750" spans="1:34" x14ac:dyDescent="0.3">
      <c r="A750" s="198"/>
      <c r="B750" s="178"/>
    </row>
    <row r="751" spans="1:34" x14ac:dyDescent="0.3">
      <c r="A751" s="198"/>
      <c r="B751" s="178"/>
    </row>
    <row r="752" spans="1:34" x14ac:dyDescent="0.3">
      <c r="A752" s="198"/>
      <c r="B752" s="178"/>
    </row>
    <row r="753" spans="1:34" x14ac:dyDescent="0.3">
      <c r="A753" s="198"/>
      <c r="B753" s="178"/>
    </row>
    <row r="754" spans="1:34" x14ac:dyDescent="0.3">
      <c r="A754" s="198"/>
      <c r="B754" s="178"/>
    </row>
    <row r="755" spans="1:34" x14ac:dyDescent="0.3">
      <c r="A755" s="198"/>
      <c r="B755" s="178"/>
      <c r="C755" s="168"/>
      <c r="D755" s="168"/>
      <c r="E755" s="168"/>
      <c r="F755" s="168"/>
      <c r="I755" s="168"/>
      <c r="N755" s="168"/>
      <c r="Q755" s="168"/>
      <c r="S755" s="168"/>
      <c r="AB755" s="168"/>
      <c r="AC755" s="168"/>
      <c r="AD755" s="168"/>
      <c r="AE755" s="168"/>
      <c r="AF755" s="168"/>
      <c r="AG755" s="168"/>
      <c r="AH755" s="168"/>
    </row>
    <row r="756" spans="1:34" x14ac:dyDescent="0.3">
      <c r="A756" s="198"/>
      <c r="B756" s="178"/>
      <c r="C756" s="168"/>
      <c r="D756" s="168"/>
      <c r="E756" s="168"/>
      <c r="F756" s="168"/>
      <c r="I756" s="168"/>
      <c r="N756" s="168"/>
      <c r="Q756" s="168"/>
      <c r="S756" s="168"/>
      <c r="AB756" s="168"/>
      <c r="AC756" s="168"/>
      <c r="AD756" s="168"/>
      <c r="AE756" s="168"/>
      <c r="AF756" s="168"/>
      <c r="AG756" s="168"/>
      <c r="AH756" s="168"/>
    </row>
    <row r="757" spans="1:34" x14ac:dyDescent="0.3">
      <c r="A757" s="198"/>
      <c r="B757" s="178"/>
      <c r="C757" s="168"/>
      <c r="D757" s="168"/>
      <c r="E757" s="168"/>
      <c r="F757" s="168"/>
      <c r="I757" s="168"/>
      <c r="N757" s="168"/>
      <c r="Q757" s="168"/>
      <c r="S757" s="168"/>
      <c r="AB757" s="168"/>
      <c r="AC757" s="168"/>
      <c r="AD757" s="168"/>
      <c r="AE757" s="168"/>
      <c r="AF757" s="168"/>
      <c r="AG757" s="168"/>
      <c r="AH757" s="168"/>
    </row>
    <row r="758" spans="1:34" x14ac:dyDescent="0.3">
      <c r="A758" s="198"/>
      <c r="B758" s="178"/>
      <c r="C758" s="168"/>
      <c r="D758" s="168"/>
      <c r="E758" s="168"/>
      <c r="F758" s="168"/>
      <c r="I758" s="168"/>
      <c r="N758" s="168"/>
      <c r="Q758" s="168"/>
      <c r="S758" s="168"/>
      <c r="AB758" s="168"/>
      <c r="AC758" s="168"/>
      <c r="AD758" s="168"/>
      <c r="AE758" s="168"/>
      <c r="AF758" s="168"/>
      <c r="AG758" s="168"/>
      <c r="AH758" s="168"/>
    </row>
    <row r="759" spans="1:34" x14ac:dyDescent="0.3">
      <c r="A759" s="198"/>
      <c r="B759" s="178"/>
      <c r="C759" s="168"/>
      <c r="D759" s="168"/>
      <c r="E759" s="168"/>
      <c r="F759" s="168"/>
      <c r="I759" s="168"/>
      <c r="N759" s="168"/>
      <c r="Q759" s="168"/>
      <c r="S759" s="168"/>
      <c r="AB759" s="168"/>
      <c r="AC759" s="168"/>
      <c r="AD759" s="168"/>
      <c r="AE759" s="168"/>
      <c r="AF759" s="168"/>
      <c r="AG759" s="168"/>
      <c r="AH759" s="168"/>
    </row>
    <row r="760" spans="1:34" x14ac:dyDescent="0.3">
      <c r="A760" s="198"/>
      <c r="B760" s="178"/>
      <c r="C760" s="168"/>
      <c r="D760" s="168"/>
      <c r="E760" s="168"/>
      <c r="F760" s="168"/>
      <c r="I760" s="168"/>
      <c r="N760" s="168"/>
      <c r="Q760" s="168"/>
      <c r="S760" s="168"/>
      <c r="AB760" s="168"/>
      <c r="AC760" s="168"/>
      <c r="AD760" s="168"/>
      <c r="AE760" s="168"/>
      <c r="AF760" s="168"/>
      <c r="AG760" s="168"/>
      <c r="AH760" s="168"/>
    </row>
    <row r="761" spans="1:34" x14ac:dyDescent="0.3">
      <c r="A761" s="198"/>
      <c r="B761" s="178"/>
      <c r="C761" s="168"/>
      <c r="D761" s="168"/>
      <c r="E761" s="168"/>
      <c r="F761" s="168"/>
      <c r="I761" s="168"/>
      <c r="N761" s="168"/>
      <c r="Q761" s="168"/>
      <c r="S761" s="168"/>
      <c r="AB761" s="168"/>
      <c r="AC761" s="168"/>
      <c r="AD761" s="168"/>
      <c r="AE761" s="168"/>
      <c r="AF761" s="168"/>
      <c r="AG761" s="168"/>
      <c r="AH761" s="168"/>
    </row>
    <row r="762" spans="1:34" x14ac:dyDescent="0.3">
      <c r="A762" s="198"/>
      <c r="B762" s="178"/>
      <c r="C762" s="168"/>
      <c r="D762" s="168"/>
      <c r="E762" s="168"/>
      <c r="F762" s="168"/>
      <c r="I762" s="168"/>
      <c r="N762" s="168"/>
      <c r="Q762" s="168"/>
      <c r="S762" s="168"/>
      <c r="AB762" s="168"/>
      <c r="AC762" s="168"/>
      <c r="AD762" s="168"/>
      <c r="AE762" s="168"/>
      <c r="AF762" s="168"/>
      <c r="AG762" s="168"/>
      <c r="AH762" s="168"/>
    </row>
    <row r="763" spans="1:34" x14ac:dyDescent="0.3">
      <c r="A763" s="198"/>
      <c r="B763" s="178"/>
      <c r="C763" s="168"/>
      <c r="D763" s="168"/>
      <c r="E763" s="168"/>
      <c r="F763" s="168"/>
      <c r="I763" s="168"/>
      <c r="N763" s="168"/>
      <c r="Q763" s="168"/>
      <c r="S763" s="168"/>
      <c r="AB763" s="168"/>
      <c r="AC763" s="168"/>
      <c r="AD763" s="168"/>
      <c r="AE763" s="168"/>
      <c r="AF763" s="168"/>
      <c r="AG763" s="168"/>
      <c r="AH763" s="168"/>
    </row>
    <row r="764" spans="1:34" x14ac:dyDescent="0.3">
      <c r="A764" s="198"/>
      <c r="B764" s="178"/>
      <c r="C764" s="168"/>
      <c r="D764" s="168"/>
      <c r="E764" s="168"/>
      <c r="F764" s="168"/>
      <c r="I764" s="168"/>
      <c r="N764" s="168"/>
      <c r="Q764" s="168"/>
      <c r="S764" s="168"/>
      <c r="AB764" s="168"/>
      <c r="AC764" s="168"/>
      <c r="AD764" s="168"/>
      <c r="AE764" s="168"/>
      <c r="AF764" s="168"/>
      <c r="AG764" s="168"/>
      <c r="AH764" s="168"/>
    </row>
    <row r="765" spans="1:34" x14ac:dyDescent="0.3">
      <c r="A765" s="198"/>
      <c r="B765" s="178"/>
      <c r="C765" s="168"/>
      <c r="D765" s="168"/>
      <c r="E765" s="168"/>
      <c r="F765" s="168"/>
      <c r="I765" s="168"/>
      <c r="N765" s="168"/>
      <c r="Q765" s="168"/>
      <c r="S765" s="168"/>
      <c r="AB765" s="168"/>
      <c r="AC765" s="168"/>
      <c r="AD765" s="168"/>
      <c r="AE765" s="168"/>
      <c r="AF765" s="168"/>
      <c r="AG765" s="168"/>
      <c r="AH765" s="168"/>
    </row>
    <row r="766" spans="1:34" x14ac:dyDescent="0.3">
      <c r="A766" s="198"/>
      <c r="B766" s="178"/>
      <c r="C766" s="168"/>
      <c r="D766" s="168"/>
      <c r="E766" s="168"/>
      <c r="F766" s="168"/>
      <c r="I766" s="168"/>
      <c r="N766" s="168"/>
      <c r="Q766" s="168"/>
      <c r="S766" s="168"/>
      <c r="AB766" s="168"/>
      <c r="AC766" s="168"/>
      <c r="AD766" s="168"/>
      <c r="AE766" s="168"/>
      <c r="AF766" s="168"/>
      <c r="AG766" s="168"/>
      <c r="AH766" s="168"/>
    </row>
    <row r="767" spans="1:34" x14ac:dyDescent="0.3">
      <c r="A767" s="198"/>
      <c r="B767" s="178"/>
      <c r="C767" s="168"/>
      <c r="D767" s="168"/>
      <c r="E767" s="168"/>
      <c r="F767" s="168"/>
      <c r="I767" s="168"/>
      <c r="N767" s="168"/>
      <c r="Q767" s="168"/>
      <c r="S767" s="168"/>
      <c r="AB767" s="168"/>
      <c r="AC767" s="168"/>
      <c r="AD767" s="168"/>
      <c r="AE767" s="168"/>
      <c r="AF767" s="168"/>
      <c r="AG767" s="168"/>
      <c r="AH767" s="168"/>
    </row>
    <row r="768" spans="1:34" x14ac:dyDescent="0.3">
      <c r="A768" s="198"/>
      <c r="B768" s="178"/>
      <c r="C768" s="168"/>
      <c r="D768" s="168"/>
      <c r="E768" s="168"/>
      <c r="F768" s="168"/>
      <c r="I768" s="168"/>
      <c r="N768" s="168"/>
      <c r="Q768" s="168"/>
      <c r="S768" s="168"/>
      <c r="AB768" s="168"/>
      <c r="AC768" s="168"/>
      <c r="AD768" s="168"/>
      <c r="AE768" s="168"/>
      <c r="AF768" s="168"/>
      <c r="AG768" s="168"/>
      <c r="AH768" s="168"/>
    </row>
    <row r="769" spans="1:34" x14ac:dyDescent="0.3">
      <c r="A769" s="198"/>
      <c r="B769" s="178"/>
      <c r="C769" s="168"/>
      <c r="D769" s="168"/>
      <c r="E769" s="168"/>
      <c r="F769" s="168"/>
      <c r="I769" s="168"/>
      <c r="N769" s="168"/>
      <c r="Q769" s="168"/>
      <c r="S769" s="168"/>
      <c r="AB769" s="168"/>
      <c r="AC769" s="168"/>
      <c r="AD769" s="168"/>
      <c r="AE769" s="168"/>
      <c r="AF769" s="168"/>
      <c r="AG769" s="168"/>
      <c r="AH769" s="168"/>
    </row>
    <row r="770" spans="1:34" x14ac:dyDescent="0.3">
      <c r="A770" s="198"/>
      <c r="B770" s="178"/>
      <c r="C770" s="168"/>
      <c r="D770" s="168"/>
      <c r="E770" s="168"/>
      <c r="F770" s="168"/>
      <c r="I770" s="168"/>
      <c r="N770" s="168"/>
      <c r="Q770" s="168"/>
      <c r="S770" s="168"/>
      <c r="AB770" s="168"/>
      <c r="AC770" s="168"/>
      <c r="AD770" s="168"/>
      <c r="AE770" s="168"/>
      <c r="AF770" s="168"/>
      <c r="AG770" s="168"/>
      <c r="AH770" s="168"/>
    </row>
    <row r="771" spans="1:34" x14ac:dyDescent="0.3">
      <c r="A771" s="198"/>
      <c r="B771" s="178"/>
      <c r="C771" s="168"/>
      <c r="D771" s="168"/>
      <c r="E771" s="168"/>
      <c r="F771" s="168"/>
      <c r="I771" s="168"/>
      <c r="N771" s="168"/>
      <c r="Q771" s="168"/>
      <c r="S771" s="168"/>
      <c r="AB771" s="168"/>
      <c r="AC771" s="168"/>
      <c r="AD771" s="168"/>
      <c r="AE771" s="168"/>
      <c r="AF771" s="168"/>
      <c r="AG771" s="168"/>
      <c r="AH771" s="168"/>
    </row>
    <row r="772" spans="1:34" x14ac:dyDescent="0.3">
      <c r="A772" s="198"/>
      <c r="B772" s="178"/>
      <c r="C772" s="168"/>
      <c r="D772" s="168"/>
      <c r="E772" s="168"/>
      <c r="F772" s="168"/>
      <c r="I772" s="168"/>
      <c r="N772" s="168"/>
      <c r="Q772" s="168"/>
      <c r="S772" s="168"/>
      <c r="AB772" s="168"/>
      <c r="AC772" s="168"/>
      <c r="AD772" s="168"/>
      <c r="AE772" s="168"/>
      <c r="AF772" s="168"/>
      <c r="AG772" s="168"/>
      <c r="AH772" s="168"/>
    </row>
    <row r="773" spans="1:34" x14ac:dyDescent="0.3">
      <c r="A773" s="198"/>
      <c r="B773" s="178"/>
      <c r="C773" s="168"/>
      <c r="D773" s="168"/>
      <c r="E773" s="168"/>
      <c r="F773" s="168"/>
      <c r="I773" s="168"/>
      <c r="N773" s="168"/>
      <c r="Q773" s="168"/>
      <c r="S773" s="168"/>
      <c r="AB773" s="168"/>
      <c r="AC773" s="168"/>
      <c r="AD773" s="168"/>
      <c r="AE773" s="168"/>
      <c r="AF773" s="168"/>
      <c r="AG773" s="168"/>
      <c r="AH773" s="168"/>
    </row>
    <row r="774" spans="1:34" x14ac:dyDescent="0.3">
      <c r="A774" s="198"/>
      <c r="B774" s="178"/>
      <c r="C774" s="168"/>
      <c r="D774" s="168"/>
      <c r="E774" s="168"/>
      <c r="F774" s="168"/>
      <c r="I774" s="168"/>
      <c r="N774" s="168"/>
      <c r="Q774" s="168"/>
      <c r="S774" s="168"/>
      <c r="AB774" s="168"/>
      <c r="AC774" s="168"/>
      <c r="AD774" s="168"/>
      <c r="AE774" s="168"/>
      <c r="AF774" s="168"/>
      <c r="AG774" s="168"/>
      <c r="AH774" s="168"/>
    </row>
    <row r="775" spans="1:34" x14ac:dyDescent="0.3">
      <c r="A775" s="198"/>
      <c r="B775" s="178"/>
      <c r="C775" s="168"/>
      <c r="D775" s="168"/>
      <c r="E775" s="168"/>
      <c r="F775" s="168"/>
      <c r="I775" s="168"/>
      <c r="N775" s="168"/>
      <c r="Q775" s="168"/>
      <c r="S775" s="168"/>
      <c r="AB775" s="168"/>
      <c r="AC775" s="168"/>
      <c r="AD775" s="168"/>
      <c r="AE775" s="168"/>
      <c r="AF775" s="168"/>
      <c r="AG775" s="168"/>
      <c r="AH775" s="168"/>
    </row>
    <row r="776" spans="1:34" x14ac:dyDescent="0.3">
      <c r="A776" s="198"/>
      <c r="B776" s="178"/>
      <c r="C776" s="168"/>
      <c r="D776" s="168"/>
      <c r="E776" s="168"/>
      <c r="F776" s="168"/>
      <c r="I776" s="168"/>
      <c r="N776" s="168"/>
      <c r="Q776" s="168"/>
      <c r="S776" s="168"/>
      <c r="AB776" s="168"/>
      <c r="AC776" s="168"/>
      <c r="AD776" s="168"/>
      <c r="AE776" s="168"/>
      <c r="AF776" s="168"/>
      <c r="AG776" s="168"/>
      <c r="AH776" s="168"/>
    </row>
    <row r="777" spans="1:34" x14ac:dyDescent="0.3">
      <c r="A777" s="198"/>
      <c r="B777" s="178"/>
      <c r="C777" s="168"/>
      <c r="D777" s="168"/>
      <c r="E777" s="168"/>
      <c r="F777" s="168"/>
      <c r="I777" s="168"/>
      <c r="N777" s="168"/>
      <c r="Q777" s="168"/>
      <c r="S777" s="168"/>
      <c r="AB777" s="168"/>
      <c r="AC777" s="168"/>
      <c r="AD777" s="168"/>
      <c r="AE777" s="168"/>
      <c r="AF777" s="168"/>
      <c r="AG777" s="168"/>
      <c r="AH777" s="168"/>
    </row>
    <row r="778" spans="1:34" x14ac:dyDescent="0.3">
      <c r="A778" s="198"/>
      <c r="B778" s="178"/>
      <c r="C778" s="168"/>
      <c r="D778" s="168"/>
      <c r="E778" s="168"/>
      <c r="F778" s="168"/>
      <c r="I778" s="168"/>
      <c r="N778" s="168"/>
      <c r="Q778" s="168"/>
      <c r="S778" s="168"/>
      <c r="AB778" s="168"/>
      <c r="AC778" s="168"/>
      <c r="AD778" s="168"/>
      <c r="AE778" s="168"/>
      <c r="AF778" s="168"/>
      <c r="AG778" s="168"/>
      <c r="AH778" s="168"/>
    </row>
    <row r="779" spans="1:34" x14ac:dyDescent="0.3">
      <c r="A779" s="198"/>
      <c r="B779" s="178"/>
      <c r="C779" s="168"/>
      <c r="D779" s="168"/>
      <c r="E779" s="168"/>
      <c r="F779" s="168"/>
      <c r="I779" s="168"/>
      <c r="N779" s="168"/>
      <c r="Q779" s="168"/>
      <c r="S779" s="168"/>
      <c r="AB779" s="168"/>
      <c r="AC779" s="168"/>
      <c r="AD779" s="168"/>
      <c r="AE779" s="168"/>
      <c r="AF779" s="168"/>
      <c r="AG779" s="168"/>
      <c r="AH779" s="168"/>
    </row>
    <row r="780" spans="1:34" x14ac:dyDescent="0.3">
      <c r="A780" s="198"/>
      <c r="B780" s="178"/>
      <c r="C780" s="168"/>
      <c r="D780" s="168"/>
      <c r="E780" s="168"/>
      <c r="F780" s="168"/>
      <c r="I780" s="168"/>
      <c r="N780" s="168"/>
      <c r="Q780" s="168"/>
      <c r="S780" s="168"/>
      <c r="AB780" s="168"/>
      <c r="AC780" s="168"/>
      <c r="AD780" s="168"/>
      <c r="AE780" s="168"/>
      <c r="AF780" s="168"/>
      <c r="AG780" s="168"/>
      <c r="AH780" s="168"/>
    </row>
    <row r="781" spans="1:34" x14ac:dyDescent="0.3">
      <c r="A781" s="198"/>
      <c r="B781" s="178"/>
      <c r="C781" s="168"/>
      <c r="D781" s="168"/>
      <c r="E781" s="168"/>
      <c r="F781" s="168"/>
      <c r="I781" s="168"/>
      <c r="N781" s="168"/>
      <c r="Q781" s="168"/>
      <c r="S781" s="168"/>
      <c r="AB781" s="168"/>
      <c r="AC781" s="168"/>
      <c r="AD781" s="168"/>
      <c r="AE781" s="168"/>
      <c r="AF781" s="168"/>
      <c r="AG781" s="168"/>
      <c r="AH781" s="168"/>
    </row>
    <row r="782" spans="1:34" x14ac:dyDescent="0.3">
      <c r="A782" s="198"/>
      <c r="B782" s="178"/>
      <c r="C782" s="168"/>
      <c r="D782" s="168"/>
      <c r="E782" s="168"/>
      <c r="F782" s="168"/>
      <c r="I782" s="168"/>
      <c r="N782" s="168"/>
      <c r="Q782" s="168"/>
      <c r="S782" s="168"/>
      <c r="AB782" s="168"/>
      <c r="AC782" s="168"/>
      <c r="AD782" s="168"/>
      <c r="AE782" s="168"/>
      <c r="AF782" s="168"/>
      <c r="AG782" s="168"/>
      <c r="AH782" s="168"/>
    </row>
    <row r="783" spans="1:34" x14ac:dyDescent="0.3">
      <c r="A783" s="198"/>
      <c r="B783" s="178"/>
      <c r="C783" s="168"/>
      <c r="D783" s="168"/>
      <c r="E783" s="168"/>
      <c r="F783" s="168"/>
      <c r="I783" s="168"/>
      <c r="N783" s="168"/>
      <c r="Q783" s="168"/>
      <c r="S783" s="168"/>
      <c r="AB783" s="168"/>
      <c r="AC783" s="168"/>
      <c r="AD783" s="168"/>
      <c r="AE783" s="168"/>
      <c r="AF783" s="168"/>
      <c r="AG783" s="168"/>
      <c r="AH783" s="168"/>
    </row>
    <row r="784" spans="1:34" x14ac:dyDescent="0.3">
      <c r="A784" s="198"/>
      <c r="B784" s="178"/>
      <c r="C784" s="168"/>
      <c r="D784" s="168"/>
      <c r="E784" s="168"/>
      <c r="F784" s="168"/>
      <c r="I784" s="168"/>
      <c r="N784" s="168"/>
      <c r="Q784" s="168"/>
      <c r="S784" s="168"/>
      <c r="AB784" s="168"/>
      <c r="AC784" s="168"/>
      <c r="AD784" s="168"/>
      <c r="AE784" s="168"/>
      <c r="AF784" s="168"/>
      <c r="AG784" s="168"/>
      <c r="AH784" s="168"/>
    </row>
    <row r="785" spans="1:34" x14ac:dyDescent="0.3">
      <c r="A785" s="198"/>
      <c r="B785" s="178"/>
      <c r="C785" s="168"/>
      <c r="D785" s="168"/>
      <c r="E785" s="168"/>
      <c r="F785" s="168"/>
      <c r="I785" s="168"/>
      <c r="N785" s="168"/>
      <c r="Q785" s="168"/>
      <c r="S785" s="168"/>
      <c r="AB785" s="168"/>
      <c r="AC785" s="168"/>
      <c r="AD785" s="168"/>
      <c r="AE785" s="168"/>
      <c r="AF785" s="168"/>
      <c r="AG785" s="168"/>
      <c r="AH785" s="168"/>
    </row>
    <row r="786" spans="1:34" x14ac:dyDescent="0.3">
      <c r="A786" s="198"/>
      <c r="B786" s="178"/>
      <c r="C786" s="168"/>
      <c r="D786" s="168"/>
      <c r="E786" s="168"/>
      <c r="F786" s="168"/>
      <c r="I786" s="168"/>
      <c r="N786" s="168"/>
      <c r="Q786" s="168"/>
      <c r="S786" s="168"/>
      <c r="AB786" s="168"/>
      <c r="AC786" s="168"/>
      <c r="AD786" s="168"/>
      <c r="AE786" s="168"/>
      <c r="AF786" s="168"/>
      <c r="AG786" s="168"/>
      <c r="AH786" s="168"/>
    </row>
    <row r="787" spans="1:34" x14ac:dyDescent="0.3">
      <c r="A787" s="198"/>
      <c r="B787" s="178"/>
      <c r="C787" s="168"/>
      <c r="D787" s="168"/>
      <c r="E787" s="168"/>
      <c r="F787" s="168"/>
      <c r="I787" s="168"/>
      <c r="N787" s="168"/>
      <c r="Q787" s="168"/>
      <c r="S787" s="168"/>
      <c r="AB787" s="168"/>
      <c r="AC787" s="168"/>
      <c r="AD787" s="168"/>
      <c r="AE787" s="168"/>
      <c r="AF787" s="168"/>
      <c r="AG787" s="168"/>
      <c r="AH787" s="168"/>
    </row>
    <row r="788" spans="1:34" x14ac:dyDescent="0.3">
      <c r="A788" s="198"/>
      <c r="B788" s="178"/>
      <c r="C788" s="168"/>
      <c r="D788" s="168"/>
      <c r="E788" s="168"/>
      <c r="F788" s="168"/>
      <c r="I788" s="168"/>
      <c r="N788" s="168"/>
      <c r="Q788" s="168"/>
      <c r="S788" s="168"/>
      <c r="AB788" s="168"/>
      <c r="AC788" s="168"/>
      <c r="AD788" s="168"/>
      <c r="AE788" s="168"/>
      <c r="AF788" s="168"/>
      <c r="AG788" s="168"/>
      <c r="AH788" s="168"/>
    </row>
    <row r="789" spans="1:34" x14ac:dyDescent="0.3">
      <c r="A789" s="198"/>
      <c r="B789" s="178"/>
      <c r="C789" s="168"/>
      <c r="D789" s="168"/>
      <c r="E789" s="168"/>
      <c r="F789" s="168"/>
      <c r="I789" s="168"/>
      <c r="N789" s="168"/>
      <c r="Q789" s="168"/>
      <c r="S789" s="168"/>
      <c r="AB789" s="168"/>
      <c r="AC789" s="168"/>
      <c r="AD789" s="168"/>
      <c r="AE789" s="168"/>
      <c r="AF789" s="168"/>
      <c r="AG789" s="168"/>
      <c r="AH789" s="168"/>
    </row>
    <row r="790" spans="1:34" x14ac:dyDescent="0.3">
      <c r="A790" s="198"/>
      <c r="B790" s="178"/>
      <c r="C790" s="168"/>
      <c r="D790" s="168"/>
      <c r="E790" s="168"/>
      <c r="F790" s="168"/>
      <c r="I790" s="168"/>
      <c r="N790" s="168"/>
      <c r="Q790" s="168"/>
      <c r="S790" s="168"/>
      <c r="AB790" s="168"/>
      <c r="AC790" s="168"/>
      <c r="AD790" s="168"/>
      <c r="AE790" s="168"/>
      <c r="AF790" s="168"/>
      <c r="AG790" s="168"/>
      <c r="AH790" s="168"/>
    </row>
    <row r="791" spans="1:34" x14ac:dyDescent="0.3">
      <c r="A791" s="198"/>
      <c r="B791" s="178"/>
      <c r="C791" s="168"/>
      <c r="D791" s="168"/>
      <c r="E791" s="168"/>
      <c r="F791" s="168"/>
      <c r="I791" s="168"/>
      <c r="N791" s="168"/>
      <c r="Q791" s="168"/>
      <c r="S791" s="168"/>
      <c r="AB791" s="168"/>
      <c r="AC791" s="168"/>
      <c r="AD791" s="168"/>
      <c r="AE791" s="168"/>
      <c r="AF791" s="168"/>
      <c r="AG791" s="168"/>
      <c r="AH791" s="168"/>
    </row>
    <row r="792" spans="1:34" x14ac:dyDescent="0.3">
      <c r="A792" s="198"/>
      <c r="B792" s="178"/>
      <c r="C792" s="168"/>
      <c r="D792" s="168"/>
      <c r="E792" s="168"/>
      <c r="F792" s="168"/>
      <c r="I792" s="168"/>
      <c r="N792" s="168"/>
      <c r="Q792" s="168"/>
      <c r="S792" s="168"/>
      <c r="AB792" s="168"/>
      <c r="AC792" s="168"/>
      <c r="AD792" s="168"/>
      <c r="AE792" s="168"/>
      <c r="AF792" s="168"/>
      <c r="AG792" s="168"/>
      <c r="AH792" s="168"/>
    </row>
    <row r="793" spans="1:34" x14ac:dyDescent="0.3">
      <c r="A793" s="198"/>
      <c r="B793" s="178"/>
      <c r="C793" s="168"/>
      <c r="D793" s="168"/>
      <c r="E793" s="168"/>
      <c r="F793" s="168"/>
      <c r="I793" s="168"/>
      <c r="N793" s="168"/>
      <c r="Q793" s="168"/>
      <c r="S793" s="168"/>
      <c r="AB793" s="168"/>
      <c r="AC793" s="168"/>
      <c r="AD793" s="168"/>
      <c r="AE793" s="168"/>
      <c r="AF793" s="168"/>
      <c r="AG793" s="168"/>
      <c r="AH793" s="168"/>
    </row>
    <row r="794" spans="1:34" x14ac:dyDescent="0.3">
      <c r="A794" s="198"/>
      <c r="B794" s="178"/>
      <c r="C794" s="168"/>
      <c r="D794" s="168"/>
      <c r="E794" s="168"/>
      <c r="F794" s="168"/>
      <c r="I794" s="168"/>
      <c r="N794" s="168"/>
      <c r="Q794" s="168"/>
      <c r="S794" s="168"/>
      <c r="AB794" s="168"/>
      <c r="AC794" s="168"/>
      <c r="AD794" s="168"/>
      <c r="AE794" s="168"/>
      <c r="AF794" s="168"/>
      <c r="AG794" s="168"/>
      <c r="AH794" s="168"/>
    </row>
    <row r="795" spans="1:34" x14ac:dyDescent="0.3">
      <c r="A795" s="198"/>
      <c r="B795" s="178"/>
      <c r="C795" s="168"/>
      <c r="D795" s="168"/>
      <c r="E795" s="168"/>
      <c r="F795" s="168"/>
      <c r="I795" s="168"/>
      <c r="N795" s="168"/>
      <c r="Q795" s="168"/>
      <c r="S795" s="168"/>
      <c r="AB795" s="168"/>
      <c r="AC795" s="168"/>
      <c r="AD795" s="168"/>
      <c r="AE795" s="168"/>
      <c r="AF795" s="168"/>
      <c r="AG795" s="168"/>
      <c r="AH795" s="168"/>
    </row>
    <row r="796" spans="1:34" x14ac:dyDescent="0.3">
      <c r="A796" s="198"/>
      <c r="B796" s="178"/>
      <c r="C796" s="168"/>
      <c r="D796" s="168"/>
      <c r="E796" s="168"/>
      <c r="F796" s="168"/>
      <c r="I796" s="168"/>
      <c r="N796" s="168"/>
      <c r="Q796" s="168"/>
      <c r="S796" s="168"/>
      <c r="AB796" s="168"/>
      <c r="AC796" s="168"/>
      <c r="AD796" s="168"/>
      <c r="AE796" s="168"/>
      <c r="AF796" s="168"/>
      <c r="AG796" s="168"/>
      <c r="AH796" s="168"/>
    </row>
    <row r="797" spans="1:34" x14ac:dyDescent="0.3">
      <c r="A797" s="198"/>
      <c r="B797" s="178"/>
      <c r="C797" s="168"/>
      <c r="D797" s="168"/>
      <c r="E797" s="168"/>
      <c r="F797" s="168"/>
      <c r="I797" s="168"/>
      <c r="N797" s="168"/>
      <c r="Q797" s="168"/>
      <c r="S797" s="168"/>
      <c r="AB797" s="168"/>
      <c r="AC797" s="168"/>
      <c r="AD797" s="168"/>
      <c r="AE797" s="168"/>
      <c r="AF797" s="168"/>
      <c r="AG797" s="168"/>
      <c r="AH797" s="168"/>
    </row>
    <row r="798" spans="1:34" x14ac:dyDescent="0.3">
      <c r="A798" s="198"/>
      <c r="B798" s="178"/>
      <c r="C798" s="168"/>
      <c r="D798" s="168"/>
      <c r="E798" s="168"/>
      <c r="F798" s="168"/>
      <c r="I798" s="168"/>
      <c r="N798" s="168"/>
      <c r="Q798" s="168"/>
      <c r="S798" s="168"/>
      <c r="AB798" s="168"/>
      <c r="AC798" s="168"/>
      <c r="AD798" s="168"/>
      <c r="AE798" s="168"/>
      <c r="AF798" s="168"/>
      <c r="AG798" s="168"/>
      <c r="AH798" s="168"/>
    </row>
    <row r="799" spans="1:34" x14ac:dyDescent="0.3">
      <c r="A799" s="198"/>
      <c r="B799" s="178"/>
      <c r="C799" s="168"/>
      <c r="D799" s="168"/>
      <c r="E799" s="168"/>
      <c r="F799" s="168"/>
      <c r="I799" s="168"/>
      <c r="N799" s="168"/>
      <c r="Q799" s="168"/>
      <c r="S799" s="168"/>
      <c r="AB799" s="168"/>
      <c r="AC799" s="168"/>
      <c r="AD799" s="168"/>
      <c r="AE799" s="168"/>
      <c r="AF799" s="168"/>
      <c r="AG799" s="168"/>
      <c r="AH799" s="168"/>
    </row>
    <row r="800" spans="1:34" x14ac:dyDescent="0.3">
      <c r="A800" s="198"/>
      <c r="B800" s="178"/>
      <c r="C800" s="168"/>
      <c r="D800" s="168"/>
      <c r="E800" s="168"/>
      <c r="F800" s="168"/>
      <c r="I800" s="168"/>
      <c r="N800" s="168"/>
      <c r="Q800" s="168"/>
      <c r="S800" s="168"/>
      <c r="AB800" s="168"/>
      <c r="AC800" s="168"/>
      <c r="AD800" s="168"/>
      <c r="AE800" s="168"/>
      <c r="AF800" s="168"/>
      <c r="AG800" s="168"/>
      <c r="AH800" s="168"/>
    </row>
    <row r="801" spans="1:34" x14ac:dyDescent="0.3">
      <c r="A801" s="198"/>
      <c r="B801" s="178"/>
      <c r="C801" s="168"/>
      <c r="D801" s="168"/>
      <c r="E801" s="168"/>
      <c r="F801" s="168"/>
      <c r="I801" s="168"/>
      <c r="N801" s="168"/>
      <c r="Q801" s="168"/>
      <c r="S801" s="168"/>
      <c r="AB801" s="168"/>
      <c r="AC801" s="168"/>
      <c r="AD801" s="168"/>
      <c r="AE801" s="168"/>
      <c r="AF801" s="168"/>
      <c r="AG801" s="168"/>
      <c r="AH801" s="168"/>
    </row>
    <row r="802" spans="1:34" x14ac:dyDescent="0.3">
      <c r="A802" s="198"/>
      <c r="B802" s="178"/>
      <c r="C802" s="168"/>
      <c r="D802" s="168"/>
      <c r="E802" s="168"/>
      <c r="F802" s="168"/>
      <c r="I802" s="168"/>
      <c r="N802" s="168"/>
      <c r="Q802" s="168"/>
      <c r="S802" s="168"/>
      <c r="AB802" s="168"/>
      <c r="AC802" s="168"/>
      <c r="AD802" s="168"/>
      <c r="AE802" s="168"/>
      <c r="AF802" s="168"/>
      <c r="AG802" s="168"/>
      <c r="AH802" s="168"/>
    </row>
    <row r="803" spans="1:34" x14ac:dyDescent="0.3">
      <c r="A803" s="198"/>
      <c r="B803" s="178"/>
      <c r="C803" s="168"/>
      <c r="D803" s="168"/>
      <c r="E803" s="168"/>
      <c r="F803" s="168"/>
      <c r="I803" s="168"/>
      <c r="N803" s="168"/>
      <c r="Q803" s="168"/>
      <c r="S803" s="168"/>
      <c r="AB803" s="168"/>
      <c r="AC803" s="168"/>
      <c r="AD803" s="168"/>
      <c r="AE803" s="168"/>
      <c r="AF803" s="168"/>
      <c r="AG803" s="168"/>
      <c r="AH803" s="168"/>
    </row>
    <row r="804" spans="1:34" x14ac:dyDescent="0.3">
      <c r="A804" s="198"/>
      <c r="B804" s="178"/>
      <c r="C804" s="168"/>
      <c r="D804" s="168"/>
      <c r="E804" s="168"/>
      <c r="F804" s="168"/>
      <c r="I804" s="168"/>
      <c r="N804" s="168"/>
      <c r="Q804" s="168"/>
      <c r="S804" s="168"/>
      <c r="AB804" s="168"/>
      <c r="AC804" s="168"/>
      <c r="AD804" s="168"/>
      <c r="AE804" s="168"/>
      <c r="AF804" s="168"/>
      <c r="AG804" s="168"/>
      <c r="AH804" s="168"/>
    </row>
    <row r="805" spans="1:34" x14ac:dyDescent="0.3">
      <c r="A805" s="198"/>
      <c r="B805" s="178"/>
      <c r="C805" s="168"/>
      <c r="D805" s="168"/>
      <c r="E805" s="168"/>
      <c r="F805" s="168"/>
      <c r="I805" s="168"/>
      <c r="N805" s="168"/>
      <c r="Q805" s="168"/>
      <c r="S805" s="168"/>
      <c r="AB805" s="168"/>
      <c r="AC805" s="168"/>
      <c r="AD805" s="168"/>
      <c r="AE805" s="168"/>
      <c r="AF805" s="168"/>
      <c r="AG805" s="168"/>
      <c r="AH805" s="168"/>
    </row>
    <row r="806" spans="1:34" x14ac:dyDescent="0.3">
      <c r="A806" s="198"/>
      <c r="B806" s="178"/>
      <c r="C806" s="168"/>
      <c r="D806" s="168"/>
      <c r="E806" s="168"/>
      <c r="F806" s="168"/>
      <c r="I806" s="168"/>
      <c r="N806" s="168"/>
      <c r="Q806" s="168"/>
      <c r="S806" s="168"/>
      <c r="AB806" s="168"/>
      <c r="AC806" s="168"/>
      <c r="AD806" s="168"/>
      <c r="AE806" s="168"/>
      <c r="AF806" s="168"/>
      <c r="AG806" s="168"/>
      <c r="AH806" s="168"/>
    </row>
    <row r="807" spans="1:34" x14ac:dyDescent="0.3">
      <c r="A807" s="198"/>
      <c r="B807" s="178"/>
      <c r="C807" s="168"/>
      <c r="D807" s="168"/>
      <c r="E807" s="168"/>
      <c r="F807" s="168"/>
      <c r="I807" s="168"/>
      <c r="N807" s="168"/>
      <c r="Q807" s="168"/>
      <c r="S807" s="168"/>
      <c r="AB807" s="168"/>
      <c r="AC807" s="168"/>
      <c r="AD807" s="168"/>
      <c r="AE807" s="168"/>
      <c r="AF807" s="168"/>
      <c r="AG807" s="168"/>
      <c r="AH807" s="168"/>
    </row>
    <row r="808" spans="1:34" x14ac:dyDescent="0.3">
      <c r="A808" s="198"/>
      <c r="B808" s="178"/>
      <c r="C808" s="168"/>
      <c r="D808" s="168"/>
      <c r="E808" s="168"/>
      <c r="F808" s="168"/>
      <c r="I808" s="168"/>
      <c r="N808" s="168"/>
      <c r="Q808" s="168"/>
      <c r="S808" s="168"/>
      <c r="AB808" s="168"/>
      <c r="AC808" s="168"/>
      <c r="AD808" s="168"/>
      <c r="AE808" s="168"/>
      <c r="AF808" s="168"/>
      <c r="AG808" s="168"/>
      <c r="AH808" s="168"/>
    </row>
    <row r="809" spans="1:34" x14ac:dyDescent="0.3">
      <c r="A809" s="198"/>
      <c r="B809" s="178"/>
      <c r="C809" s="168"/>
      <c r="D809" s="168"/>
      <c r="E809" s="168"/>
      <c r="F809" s="168"/>
      <c r="I809" s="168"/>
      <c r="N809" s="168"/>
      <c r="Q809" s="168"/>
      <c r="S809" s="168"/>
      <c r="AB809" s="168"/>
      <c r="AC809" s="168"/>
      <c r="AD809" s="168"/>
      <c r="AE809" s="168"/>
      <c r="AF809" s="168"/>
      <c r="AG809" s="168"/>
      <c r="AH809" s="168"/>
    </row>
    <row r="810" spans="1:34" x14ac:dyDescent="0.3">
      <c r="A810" s="198"/>
      <c r="B810" s="178"/>
      <c r="C810" s="168"/>
      <c r="D810" s="168"/>
      <c r="E810" s="168"/>
      <c r="F810" s="168"/>
      <c r="I810" s="168"/>
      <c r="N810" s="168"/>
      <c r="Q810" s="168"/>
      <c r="S810" s="168"/>
      <c r="AB810" s="168"/>
      <c r="AC810" s="168"/>
      <c r="AD810" s="168"/>
      <c r="AE810" s="168"/>
      <c r="AF810" s="168"/>
      <c r="AG810" s="168"/>
      <c r="AH810" s="168"/>
    </row>
    <row r="811" spans="1:34" x14ac:dyDescent="0.3">
      <c r="A811" s="198"/>
      <c r="B811" s="178"/>
      <c r="C811" s="168"/>
      <c r="D811" s="168"/>
      <c r="E811" s="168"/>
      <c r="F811" s="168"/>
      <c r="I811" s="168"/>
      <c r="N811" s="168"/>
      <c r="Q811" s="168"/>
      <c r="S811" s="168"/>
      <c r="AB811" s="168"/>
      <c r="AC811" s="168"/>
      <c r="AD811" s="168"/>
      <c r="AE811" s="168"/>
      <c r="AF811" s="168"/>
      <c r="AG811" s="168"/>
      <c r="AH811" s="168"/>
    </row>
    <row r="812" spans="1:34" x14ac:dyDescent="0.3">
      <c r="A812" s="198"/>
      <c r="B812" s="178"/>
      <c r="C812" s="168"/>
      <c r="D812" s="168"/>
      <c r="E812" s="168"/>
      <c r="F812" s="168"/>
      <c r="I812" s="168"/>
      <c r="N812" s="168"/>
      <c r="Q812" s="168"/>
      <c r="S812" s="168"/>
      <c r="AB812" s="168"/>
      <c r="AC812" s="168"/>
      <c r="AD812" s="168"/>
      <c r="AE812" s="168"/>
      <c r="AF812" s="168"/>
      <c r="AG812" s="168"/>
      <c r="AH812" s="168"/>
    </row>
    <row r="813" spans="1:34" x14ac:dyDescent="0.3">
      <c r="A813" s="198"/>
      <c r="B813" s="178"/>
      <c r="C813" s="168"/>
      <c r="D813" s="168"/>
      <c r="E813" s="168"/>
      <c r="F813" s="168"/>
      <c r="I813" s="168"/>
      <c r="N813" s="168"/>
      <c r="Q813" s="168"/>
      <c r="S813" s="168"/>
      <c r="AB813" s="168"/>
      <c r="AC813" s="168"/>
      <c r="AD813" s="168"/>
      <c r="AE813" s="168"/>
      <c r="AF813" s="168"/>
      <c r="AG813" s="168"/>
      <c r="AH813" s="168"/>
    </row>
    <row r="814" spans="1:34" x14ac:dyDescent="0.3">
      <c r="A814" s="198"/>
      <c r="B814" s="178"/>
      <c r="C814" s="168"/>
      <c r="D814" s="168"/>
      <c r="E814" s="168"/>
      <c r="F814" s="168"/>
      <c r="I814" s="168"/>
      <c r="N814" s="168"/>
      <c r="Q814" s="168"/>
      <c r="S814" s="168"/>
      <c r="AB814" s="168"/>
      <c r="AC814" s="168"/>
      <c r="AD814" s="168"/>
      <c r="AE814" s="168"/>
      <c r="AF814" s="168"/>
      <c r="AG814" s="168"/>
      <c r="AH814" s="168"/>
    </row>
    <row r="815" spans="1:34" x14ac:dyDescent="0.3">
      <c r="A815" s="198"/>
      <c r="B815" s="178"/>
      <c r="C815" s="168"/>
      <c r="D815" s="168"/>
      <c r="E815" s="168"/>
      <c r="F815" s="168"/>
      <c r="I815" s="168"/>
      <c r="N815" s="168"/>
      <c r="Q815" s="168"/>
      <c r="S815" s="168"/>
      <c r="AB815" s="168"/>
      <c r="AC815" s="168"/>
      <c r="AD815" s="168"/>
      <c r="AE815" s="168"/>
      <c r="AF815" s="168"/>
      <c r="AG815" s="168"/>
      <c r="AH815" s="168"/>
    </row>
  </sheetData>
  <autoFilter ref="B7:B815"/>
  <mergeCells count="128">
    <mergeCell ref="B668:H668"/>
    <mergeCell ref="B674:H674"/>
    <mergeCell ref="B679:H679"/>
    <mergeCell ref="B410:H410"/>
    <mergeCell ref="B412:H412"/>
    <mergeCell ref="B414:H414"/>
    <mergeCell ref="B423:H423"/>
    <mergeCell ref="B492:H492"/>
    <mergeCell ref="B499:H499"/>
    <mergeCell ref="B507:H507"/>
    <mergeCell ref="B515:H515"/>
    <mergeCell ref="B522:H522"/>
    <mergeCell ref="B427:H427"/>
    <mergeCell ref="B434:H434"/>
    <mergeCell ref="B452:H452"/>
    <mergeCell ref="B438:H438"/>
    <mergeCell ref="B445:H445"/>
    <mergeCell ref="B456:H456"/>
    <mergeCell ref="B458:H458"/>
    <mergeCell ref="B462:H462"/>
    <mergeCell ref="B466:H466"/>
    <mergeCell ref="B470:H470"/>
    <mergeCell ref="B472:H472"/>
    <mergeCell ref="B488:H488"/>
    <mergeCell ref="B481:H481"/>
    <mergeCell ref="B638:H638"/>
    <mergeCell ref="B650:H650"/>
    <mergeCell ref="B530:H530"/>
    <mergeCell ref="B539:H539"/>
    <mergeCell ref="B554:H554"/>
    <mergeCell ref="B562:H562"/>
    <mergeCell ref="B568:H568"/>
    <mergeCell ref="B583:H583"/>
    <mergeCell ref="B604:H604"/>
    <mergeCell ref="B612:H612"/>
    <mergeCell ref="B618:H618"/>
    <mergeCell ref="B372:H372"/>
    <mergeCell ref="B384:H384"/>
    <mergeCell ref="B392:H392"/>
    <mergeCell ref="B405:H405"/>
    <mergeCell ref="B290:H290"/>
    <mergeCell ref="B296:H296"/>
    <mergeCell ref="B303:H303"/>
    <mergeCell ref="B309:H309"/>
    <mergeCell ref="B318:H318"/>
    <mergeCell ref="B324:H324"/>
    <mergeCell ref="B327:H327"/>
    <mergeCell ref="B331:H331"/>
    <mergeCell ref="B335:H335"/>
    <mergeCell ref="B348:H348"/>
    <mergeCell ref="B255:H255"/>
    <mergeCell ref="B263:H263"/>
    <mergeCell ref="B269:H269"/>
    <mergeCell ref="B285:H285"/>
    <mergeCell ref="B288:H288"/>
    <mergeCell ref="B358:H358"/>
    <mergeCell ref="B360:H360"/>
    <mergeCell ref="B363:H363"/>
    <mergeCell ref="B366:H366"/>
    <mergeCell ref="B58:H58"/>
    <mergeCell ref="B61:H61"/>
    <mergeCell ref="B68:H68"/>
    <mergeCell ref="B72:H72"/>
    <mergeCell ref="AG8:AG9"/>
    <mergeCell ref="B231:H231"/>
    <mergeCell ref="B236:H236"/>
    <mergeCell ref="B239:H239"/>
    <mergeCell ref="B249:H249"/>
    <mergeCell ref="B80:H80"/>
    <mergeCell ref="B54:H54"/>
    <mergeCell ref="B166:H166"/>
    <mergeCell ref="AG7:AL7"/>
    <mergeCell ref="C7:O7"/>
    <mergeCell ref="Q7:AC7"/>
    <mergeCell ref="K8:K9"/>
    <mergeCell ref="L8:L9"/>
    <mergeCell ref="M8:M9"/>
    <mergeCell ref="N8:N9"/>
    <mergeCell ref="AL8:AL9"/>
    <mergeCell ref="B12:H12"/>
    <mergeCell ref="A8:A9"/>
    <mergeCell ref="B8:B9"/>
    <mergeCell ref="C8:C9"/>
    <mergeCell ref="D8:D9"/>
    <mergeCell ref="E8:E9"/>
    <mergeCell ref="F8:F9"/>
    <mergeCell ref="G8:G9"/>
    <mergeCell ref="AC8:AC9"/>
    <mergeCell ref="V8:V9"/>
    <mergeCell ref="W8:W9"/>
    <mergeCell ref="X8:X9"/>
    <mergeCell ref="Y8:Y9"/>
    <mergeCell ref="Z8:Z9"/>
    <mergeCell ref="AA8:AA9"/>
    <mergeCell ref="O8:O9"/>
    <mergeCell ref="Q8:Q9"/>
    <mergeCell ref="R8:R9"/>
    <mergeCell ref="S8:S9"/>
    <mergeCell ref="T8:T9"/>
    <mergeCell ref="U8:U9"/>
    <mergeCell ref="H8:H9"/>
    <mergeCell ref="I8:I9"/>
    <mergeCell ref="J8:J9"/>
    <mergeCell ref="AB8:AB9"/>
    <mergeCell ref="AM8:AM9"/>
    <mergeCell ref="AN8:AN9"/>
    <mergeCell ref="AO8:AO9"/>
    <mergeCell ref="AP8:AP9"/>
    <mergeCell ref="B205:H205"/>
    <mergeCell ref="B209:H209"/>
    <mergeCell ref="B215:H215"/>
    <mergeCell ref="B229:H229"/>
    <mergeCell ref="B96:H96"/>
    <mergeCell ref="B99:H99"/>
    <mergeCell ref="B129:H129"/>
    <mergeCell ref="B139:H139"/>
    <mergeCell ref="B155:H155"/>
    <mergeCell ref="B171:H171"/>
    <mergeCell ref="B175:H175"/>
    <mergeCell ref="B190:H190"/>
    <mergeCell ref="B198:H198"/>
    <mergeCell ref="AH8:AH9"/>
    <mergeCell ref="AI8:AI9"/>
    <mergeCell ref="AK8:AK9"/>
    <mergeCell ref="AJ8:AJ9"/>
    <mergeCell ref="B26:H26"/>
    <mergeCell ref="B34:H34"/>
    <mergeCell ref="B41:H41"/>
  </mergeCells>
  <phoneticPr fontId="104" type="noConversion"/>
  <hyperlinks>
    <hyperlink ref="B210" location="'Devis Branchement '!A1" tooltip="Cliquer pour voir dévis détaillé" display="Branchement des Centres de Santé aux réseaux d'eau existants"/>
    <hyperlink ref="B212" location="'Kit WATTA mini'!A1" tooltip="Cliquer pour voir Dévis détaillé" display="Doter les Centres de santé de kits WATTA pour la production locale du chlore liquide "/>
    <hyperlink ref="B216" location="'Devis douche-porte au CS'!A1" tooltip="Cliquer pour voir dévis détaillé" display="Construire des portes des douches au sein du centre de sante"/>
    <hyperlink ref="B217" location="'Devis puis perdu '!A1" tooltip="Cliquer pour voir dévis détaillé" display="Amenager des puits perdus au sein du centre de sante"/>
    <hyperlink ref="B218" location="'Devis porte de latrine pour PSH'!A1" tooltip="Cliquer pour voir dévis détaillé" display="Construire des portes des latrines pour les personnes à moblité réduite"/>
    <hyperlink ref="B219" location="'Devis porte de latrine'!A1" tooltip="Cliquer pour voir dévis détaillé" display="Construire des portes des latrines à double fosses et vidangeables "/>
    <hyperlink ref="B220" location="'Devis Fosse à placenta'!A1" tooltip="Cliquer pour voir dévis détaillé" display="Construire fosse à placenta"/>
    <hyperlink ref="B221" location="'Devis incinerateur'!A1" tooltip="Cliquer pour voir dévis détaillé" display="Construire des incinerateurs type Montford"/>
    <hyperlink ref="B222" location="'Devis fosse à ordure'!A1" tooltip="Cliquer pour voir dévis détaillé" display="Construction des trous à ordures"/>
    <hyperlink ref="B211" location="'Devis impluvium'!A1" tooltip="Cliquer pour voir dévis détaillé" display="Construction de systèmes de collecte d'eau de pluie durable (Centres de Santé)"/>
    <hyperlink ref="B224" location="'Devis abris CPS et zone dechet'!A1" tooltip="Cliquer pour voir dévis détaillé" display="Construire des abris pour la zone de dechet"/>
    <hyperlink ref="B225" location="'Devis bac à lessive'!A1" tooltip="Cliquer pour voir dévis détaillé" display="Construire des bacs à lessive"/>
    <hyperlink ref="B241" location="'Kit d''assainissement village'!A1" tooltip="Cliquer pour voir dévis détaillé" display="Doter les comité d'hygiène des kits PCI"/>
    <hyperlink ref="B349" location="'Devis amenagement d''une source'!A1" tooltip="Cliquer pour voir dévis détaillé" display="Aménager les sources simples "/>
    <hyperlink ref="B350" location="'Devis rehabitat° source simple'!A1" tooltip="Cliquer pour voir dévis détailler" display="Réhabiliter les sources simples "/>
    <hyperlink ref="B351" location="'Devis rehabilitation adduction'!A1" tooltip="Cliquer pour voir dévis détaillé" display="Raccordement sur les adductions de MDF et  REGIDESO "/>
    <hyperlink ref="B352" location="'Devis porte de latrine'!A1" tooltip="Cliquer pour voir dévis détaillé" display="Contruire les portes des latrines au niveau des complexes agricoles"/>
    <hyperlink ref="B353" location="'Devis douche-porte au CS'!A1" display="Contruire les portes des douches au niveau des complexes agricoles"/>
    <hyperlink ref="B354" location="'Devis porte de latrine'!A1" tooltip="Cliquer pour voir dévis détaillé" display="Contruire les portes des latrines au niveau des complexes agricoles"/>
    <hyperlink ref="B355" location="'Devis porte de latrine'!A1" tooltip="Cliquer pour voir dévis détaillé" display="Contruire les portes des latrines au niveau des complexes agricoles"/>
    <hyperlink ref="B359" location="'Kit d''assainissement village'!A1" tooltip="Cliquer pour voir dévis détaillé" display="Appui aux communautés pour l'octroi des kits de cresement des latrines familliales"/>
    <hyperlink ref="B59" location="'Devis Branchement '!A1" tooltip="Cliquer pour voir dévis détaillé" display="Assurer le branchement des écoles aux réseaux d'eaux existant "/>
    <hyperlink ref="B60" location="'Devis impluvium'!A1" tooltip="Cliquer pour voir dévis détaillé" display="Construction des système de collecte d'eau de pluie dans les écoles accompagnées par le projet"/>
    <hyperlink ref="B62" location="'Devis porte de latrine'!A1" tooltip="Cliquer pour voir dévis détaillé" display="Construction des portes de latrine double fosses vidangeables avec fosses alternées dans les écoles"/>
    <hyperlink ref="B63" location="'Devis latrine avec GHM à l''ecol'!A1" tooltip="Cliquer pour voir dévis détaillé" display="Construire une porte d'anti chambre  dansd le bloc des latrines filles  pour la gestion de l'Hygiene Menstruelle (GHM) dans les etablissements scolaire"/>
    <hyperlink ref="B64" location="'Devis fosse à ordure'!A1" tooltip="Cliquer pour voir dévis détaillé" display="Construction des trous à ordures au sein des écoles"/>
    <hyperlink ref="B65" location="'Devis lave main'!A1" tooltip="Cliquer pour voir dévis détaillé" display="Installation des dispositifs durables de lavage des mains dans les écoles accompagnées par le projet"/>
    <hyperlink ref="B381" location="'Cado Jrnée evenementielle  '!A1" tooltip="Cliquer pour voir devis Prix" display="Organisation des jeux concours avec remise des prix aux CS sur la connaissance des notions basiques de la PCI par les prestataires des soins."/>
    <hyperlink ref="B223" location="'Devis fosse à aiguille au CS'!A1" tooltip="Cliquer pour voir devis détaillé" display="Amenager des fosses à aiguilles"/>
  </hyperlinks>
  <pageMargins left="0.25" right="0.25" top="0.75" bottom="0.75" header="0.3" footer="0.3"/>
  <pageSetup paperSize="8" scale="59" fitToHeight="24" orientation="landscape" r:id="rId1"/>
  <rowBreaks count="1" manualBreakCount="1">
    <brk id="692" max="42" man="1"/>
  </rowBreaks>
  <colBreaks count="1" manualBreakCount="1">
    <brk id="47" max="1048575" man="1"/>
  </colBreaks>
  <customProperties>
    <customPr name="QAA_DRILLPATH_NODE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92D050"/>
  </sheetPr>
  <dimension ref="A2:G34"/>
  <sheetViews>
    <sheetView tabSelected="1" view="pageBreakPreview" topLeftCell="A13" zoomScale="93" zoomScaleNormal="100" zoomScaleSheetLayoutView="93" workbookViewId="0">
      <selection activeCell="A29" sqref="A29:G34"/>
    </sheetView>
  </sheetViews>
  <sheetFormatPr baseColWidth="10" defaultColWidth="11.08203125" defaultRowHeight="14" x14ac:dyDescent="0.3"/>
  <cols>
    <col min="1" max="1" width="2.9140625" style="625" bestFit="1" customWidth="1"/>
    <col min="2" max="2" width="31.08203125" style="625" customWidth="1"/>
    <col min="3" max="3" width="7.5" style="625" customWidth="1"/>
    <col min="4" max="4" width="8.4140625" style="625" bestFit="1" customWidth="1"/>
    <col min="5" max="5" width="8.9140625" style="625" bestFit="1" customWidth="1"/>
    <col min="6" max="6" width="10.5" style="625" bestFit="1" customWidth="1"/>
    <col min="7" max="7" width="23.6640625" style="625" customWidth="1"/>
    <col min="8" max="16384" width="11.08203125" style="625"/>
  </cols>
  <sheetData>
    <row r="2" spans="1:7" x14ac:dyDescent="0.3">
      <c r="A2" s="621" t="s">
        <v>1830</v>
      </c>
      <c r="B2" s="622"/>
      <c r="C2" s="622"/>
      <c r="D2" s="622"/>
      <c r="E2" s="622"/>
      <c r="F2" s="623"/>
      <c r="G2" s="621"/>
    </row>
    <row r="4" spans="1:7" x14ac:dyDescent="0.3">
      <c r="A4" s="626" t="s">
        <v>738</v>
      </c>
      <c r="B4" s="627" t="s">
        <v>1831</v>
      </c>
      <c r="C4" s="626" t="s">
        <v>75</v>
      </c>
      <c r="D4" s="626" t="s">
        <v>78</v>
      </c>
      <c r="E4" s="626" t="s">
        <v>736</v>
      </c>
      <c r="F4" s="628" t="s">
        <v>737</v>
      </c>
      <c r="G4" s="627" t="s">
        <v>1832</v>
      </c>
    </row>
    <row r="5" spans="1:7" x14ac:dyDescent="0.3">
      <c r="A5" s="629" t="s">
        <v>1833</v>
      </c>
      <c r="B5" s="630"/>
      <c r="C5" s="630"/>
      <c r="D5" s="630"/>
      <c r="E5" s="630"/>
      <c r="F5" s="630"/>
      <c r="G5" s="631"/>
    </row>
    <row r="6" spans="1:7" ht="28" x14ac:dyDescent="0.3">
      <c r="A6" s="632">
        <v>1</v>
      </c>
      <c r="B6" s="633" t="s">
        <v>1834</v>
      </c>
      <c r="C6" s="632" t="s">
        <v>428</v>
      </c>
      <c r="D6" s="632">
        <v>2</v>
      </c>
      <c r="E6" s="634"/>
      <c r="F6" s="634"/>
      <c r="G6" s="635"/>
    </row>
    <row r="7" spans="1:7" x14ac:dyDescent="0.3">
      <c r="A7" s="883" t="s">
        <v>1835</v>
      </c>
      <c r="B7" s="884"/>
      <c r="C7" s="636"/>
      <c r="D7" s="637"/>
      <c r="E7" s="638"/>
      <c r="F7" s="628">
        <f>SUM(F6)</f>
        <v>0</v>
      </c>
      <c r="G7" s="639"/>
    </row>
    <row r="8" spans="1:7" x14ac:dyDescent="0.3">
      <c r="A8" s="629" t="s">
        <v>1836</v>
      </c>
      <c r="B8" s="630"/>
      <c r="C8" s="636"/>
      <c r="D8" s="637"/>
      <c r="E8" s="638"/>
      <c r="F8" s="640"/>
      <c r="G8" s="641"/>
    </row>
    <row r="9" spans="1:7" x14ac:dyDescent="0.3">
      <c r="A9" s="632">
        <v>1</v>
      </c>
      <c r="B9" s="642" t="s">
        <v>1837</v>
      </c>
      <c r="C9" s="632" t="s">
        <v>428</v>
      </c>
      <c r="D9" s="632">
        <v>1</v>
      </c>
      <c r="E9" s="634"/>
      <c r="F9" s="634"/>
      <c r="G9" s="643"/>
    </row>
    <row r="10" spans="1:7" x14ac:dyDescent="0.3">
      <c r="A10" s="632">
        <v>2</v>
      </c>
      <c r="B10" s="644" t="s">
        <v>1838</v>
      </c>
      <c r="C10" s="632" t="s">
        <v>1839</v>
      </c>
      <c r="D10" s="632">
        <v>1</v>
      </c>
      <c r="E10" s="634"/>
      <c r="F10" s="634"/>
      <c r="G10" s="645"/>
    </row>
    <row r="11" spans="1:7" x14ac:dyDescent="0.3">
      <c r="A11" s="883" t="s">
        <v>1835</v>
      </c>
      <c r="B11" s="884"/>
      <c r="C11" s="636"/>
      <c r="D11" s="637"/>
      <c r="E11" s="638"/>
      <c r="F11" s="628">
        <f>SUM(F9:F10)</f>
        <v>0</v>
      </c>
      <c r="G11" s="629"/>
    </row>
    <row r="12" spans="1:7" x14ac:dyDescent="0.3">
      <c r="A12" s="629" t="s">
        <v>1840</v>
      </c>
      <c r="B12" s="630"/>
      <c r="C12" s="630"/>
      <c r="D12" s="630"/>
      <c r="E12" s="630"/>
      <c r="F12" s="630"/>
      <c r="G12" s="631"/>
    </row>
    <row r="13" spans="1:7" ht="16.5" x14ac:dyDescent="0.3">
      <c r="A13" s="632">
        <v>1</v>
      </c>
      <c r="B13" s="644" t="s">
        <v>1841</v>
      </c>
      <c r="C13" s="632" t="s">
        <v>1842</v>
      </c>
      <c r="D13" s="632">
        <v>1</v>
      </c>
      <c r="E13" s="634"/>
      <c r="F13" s="634"/>
      <c r="G13" s="646" t="s">
        <v>1843</v>
      </c>
    </row>
    <row r="14" spans="1:7" x14ac:dyDescent="0.3">
      <c r="A14" s="632">
        <v>2</v>
      </c>
      <c r="B14" s="644" t="s">
        <v>1844</v>
      </c>
      <c r="C14" s="632" t="s">
        <v>1845</v>
      </c>
      <c r="D14" s="632">
        <v>20</v>
      </c>
      <c r="E14" s="634"/>
      <c r="F14" s="634"/>
      <c r="G14" s="645"/>
    </row>
    <row r="15" spans="1:7" x14ac:dyDescent="0.3">
      <c r="A15" s="632">
        <v>3</v>
      </c>
      <c r="B15" s="644" t="s">
        <v>1846</v>
      </c>
      <c r="C15" s="632" t="s">
        <v>1847</v>
      </c>
      <c r="D15" s="632">
        <v>2</v>
      </c>
      <c r="E15" s="634"/>
      <c r="F15" s="634"/>
      <c r="G15" s="645"/>
    </row>
    <row r="16" spans="1:7" x14ac:dyDescent="0.3">
      <c r="A16" s="632">
        <v>4</v>
      </c>
      <c r="B16" s="644" t="s">
        <v>1848</v>
      </c>
      <c r="C16" s="632" t="s">
        <v>480</v>
      </c>
      <c r="D16" s="632">
        <v>5</v>
      </c>
      <c r="E16" s="634"/>
      <c r="F16" s="634"/>
      <c r="G16" s="645"/>
    </row>
    <row r="17" spans="1:7" x14ac:dyDescent="0.3">
      <c r="A17" s="632">
        <v>5</v>
      </c>
      <c r="B17" s="644" t="s">
        <v>1849</v>
      </c>
      <c r="C17" s="632" t="s">
        <v>1847</v>
      </c>
      <c r="D17" s="632">
        <v>1</v>
      </c>
      <c r="E17" s="634"/>
      <c r="F17" s="634"/>
      <c r="G17" s="645"/>
    </row>
    <row r="18" spans="1:7" x14ac:dyDescent="0.3">
      <c r="A18" s="632">
        <v>6</v>
      </c>
      <c r="B18" s="644" t="s">
        <v>1850</v>
      </c>
      <c r="C18" s="632" t="s">
        <v>1851</v>
      </c>
      <c r="D18" s="632">
        <v>6</v>
      </c>
      <c r="E18" s="634"/>
      <c r="F18" s="634"/>
      <c r="G18" s="646"/>
    </row>
    <row r="19" spans="1:7" x14ac:dyDescent="0.3">
      <c r="A19" s="632">
        <v>7</v>
      </c>
      <c r="B19" s="644" t="s">
        <v>1852</v>
      </c>
      <c r="C19" s="632" t="s">
        <v>1847</v>
      </c>
      <c r="D19" s="632">
        <v>10</v>
      </c>
      <c r="E19" s="634"/>
      <c r="F19" s="634"/>
      <c r="G19" s="646"/>
    </row>
    <row r="20" spans="1:7" x14ac:dyDescent="0.3">
      <c r="A20" s="632">
        <v>8</v>
      </c>
      <c r="B20" s="644" t="s">
        <v>1853</v>
      </c>
      <c r="C20" s="632" t="s">
        <v>1851</v>
      </c>
      <c r="D20" s="632">
        <v>4</v>
      </c>
      <c r="E20" s="634"/>
      <c r="F20" s="634"/>
      <c r="G20" s="645"/>
    </row>
    <row r="21" spans="1:7" x14ac:dyDescent="0.3">
      <c r="A21" s="632">
        <v>9</v>
      </c>
      <c r="B21" s="644" t="s">
        <v>1854</v>
      </c>
      <c r="C21" s="632" t="s">
        <v>480</v>
      </c>
      <c r="D21" s="632">
        <v>10</v>
      </c>
      <c r="E21" s="634"/>
      <c r="F21" s="634"/>
      <c r="G21" s="645"/>
    </row>
    <row r="22" spans="1:7" ht="16.5" x14ac:dyDescent="0.3">
      <c r="A22" s="632">
        <v>10</v>
      </c>
      <c r="B22" s="644" t="s">
        <v>1855</v>
      </c>
      <c r="C22" s="632" t="s">
        <v>1842</v>
      </c>
      <c r="D22" s="632">
        <v>3</v>
      </c>
      <c r="E22" s="634"/>
      <c r="F22" s="634"/>
      <c r="G22" s="646"/>
    </row>
    <row r="23" spans="1:7" x14ac:dyDescent="0.3">
      <c r="A23" s="632">
        <v>11</v>
      </c>
      <c r="B23" s="644" t="s">
        <v>1856</v>
      </c>
      <c r="C23" s="632" t="s">
        <v>1851</v>
      </c>
      <c r="D23" s="632">
        <v>5</v>
      </c>
      <c r="E23" s="634"/>
      <c r="F23" s="634"/>
      <c r="G23" s="645"/>
    </row>
    <row r="24" spans="1:7" x14ac:dyDescent="0.3">
      <c r="A24" s="632">
        <v>12</v>
      </c>
      <c r="B24" s="644" t="s">
        <v>1857</v>
      </c>
      <c r="C24" s="632" t="s">
        <v>480</v>
      </c>
      <c r="D24" s="632">
        <v>0.75</v>
      </c>
      <c r="E24" s="634"/>
      <c r="F24" s="634"/>
      <c r="G24" s="645"/>
    </row>
    <row r="25" spans="1:7" x14ac:dyDescent="0.3">
      <c r="A25" s="632">
        <v>13</v>
      </c>
      <c r="B25" s="644" t="s">
        <v>1858</v>
      </c>
      <c r="C25" s="632" t="s">
        <v>480</v>
      </c>
      <c r="D25" s="632">
        <v>3</v>
      </c>
      <c r="E25" s="634"/>
      <c r="F25" s="634"/>
      <c r="G25" s="646"/>
    </row>
    <row r="26" spans="1:7" x14ac:dyDescent="0.3">
      <c r="A26" s="883" t="s">
        <v>1859</v>
      </c>
      <c r="B26" s="884"/>
      <c r="C26" s="636"/>
      <c r="D26" s="637"/>
      <c r="E26" s="638"/>
      <c r="F26" s="628">
        <f>SUM(F13:F25)</f>
        <v>0</v>
      </c>
      <c r="G26" s="639"/>
    </row>
    <row r="27" spans="1:7" x14ac:dyDescent="0.3">
      <c r="A27" s="632">
        <v>14</v>
      </c>
      <c r="B27" s="647" t="s">
        <v>1860</v>
      </c>
      <c r="C27" s="648"/>
      <c r="D27" s="648"/>
      <c r="E27" s="649"/>
      <c r="F27" s="634">
        <f>PRODUCT(F26,0.3)</f>
        <v>0</v>
      </c>
      <c r="G27" s="645"/>
    </row>
    <row r="28" spans="1:7" x14ac:dyDescent="0.3">
      <c r="A28" s="883" t="s">
        <v>705</v>
      </c>
      <c r="B28" s="884"/>
      <c r="C28" s="636"/>
      <c r="D28" s="637"/>
      <c r="E28" s="638"/>
      <c r="F28" s="628">
        <f>SUM(F26:F27,F7,F11)</f>
        <v>0</v>
      </c>
      <c r="G28" s="639"/>
    </row>
    <row r="29" spans="1:7" x14ac:dyDescent="0.3">
      <c r="A29" s="671"/>
      <c r="B29" s="671"/>
      <c r="C29" s="671"/>
      <c r="D29" s="671"/>
      <c r="E29" s="671"/>
      <c r="F29" s="671"/>
      <c r="G29" s="671"/>
    </row>
    <row r="30" spans="1:7" x14ac:dyDescent="0.3">
      <c r="A30" s="671"/>
      <c r="B30" s="671" t="s">
        <v>2112</v>
      </c>
      <c r="C30" s="671"/>
      <c r="D30" s="671"/>
      <c r="E30" s="671"/>
      <c r="F30" s="671"/>
      <c r="G30" s="671"/>
    </row>
    <row r="31" spans="1:7" x14ac:dyDescent="0.3">
      <c r="A31" s="671"/>
      <c r="B31" s="671"/>
      <c r="C31" s="671"/>
      <c r="D31" s="671"/>
      <c r="E31" s="671"/>
      <c r="F31" s="671"/>
      <c r="G31" s="671"/>
    </row>
    <row r="32" spans="1:7" x14ac:dyDescent="0.3">
      <c r="A32" s="671"/>
      <c r="B32" s="671" t="s">
        <v>2113</v>
      </c>
      <c r="C32" s="671"/>
      <c r="D32" s="671"/>
      <c r="E32" s="671"/>
      <c r="F32" s="671"/>
      <c r="G32" s="671"/>
    </row>
    <row r="33" spans="1:7" x14ac:dyDescent="0.3">
      <c r="A33" s="671"/>
      <c r="B33" s="671"/>
      <c r="C33" s="671"/>
      <c r="D33" s="671"/>
      <c r="E33" s="671"/>
      <c r="F33" s="671"/>
      <c r="G33" s="671"/>
    </row>
    <row r="34" spans="1:7" x14ac:dyDescent="0.3">
      <c r="A34" s="671"/>
      <c r="B34" s="671" t="s">
        <v>2114</v>
      </c>
      <c r="C34" s="671"/>
      <c r="D34" s="671"/>
      <c r="E34" s="671"/>
      <c r="F34" s="671"/>
      <c r="G34" s="671"/>
    </row>
  </sheetData>
  <mergeCells count="4">
    <mergeCell ref="A7:B7"/>
    <mergeCell ref="A11:B11"/>
    <mergeCell ref="A26:B26"/>
    <mergeCell ref="A28:B28"/>
  </mergeCells>
  <printOptions horizontalCentered="1"/>
  <pageMargins left="0.70866141732283472" right="0.70866141732283472" top="0.74803149606299213" bottom="0.74803149606299213" header="0.31496062992125984" footer="0.31496062992125984"/>
  <pageSetup paperSize="9" scale="76" orientation="portrait" r:id="rId1"/>
  <customProperties>
    <customPr name="QAA_DRILLPATH_NODE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5" tint="-0.499984740745262"/>
  </sheetPr>
  <dimension ref="A2:I36"/>
  <sheetViews>
    <sheetView view="pageBreakPreview" topLeftCell="A19" zoomScale="115" zoomScaleNormal="100" zoomScaleSheetLayoutView="115" workbookViewId="0">
      <selection activeCell="A31" sqref="A31:G36"/>
    </sheetView>
  </sheetViews>
  <sheetFormatPr baseColWidth="10" defaultColWidth="9.9140625" defaultRowHeight="14" x14ac:dyDescent="0.35"/>
  <cols>
    <col min="1" max="1" width="3.08203125" style="652" customWidth="1"/>
    <col min="2" max="2" width="52.5" style="652" customWidth="1"/>
    <col min="3" max="3" width="7.08203125" style="653" bestFit="1" customWidth="1"/>
    <col min="4" max="4" width="8.08203125" style="653" bestFit="1" customWidth="1"/>
    <col min="5" max="5" width="9.9140625" style="653" bestFit="1" customWidth="1"/>
    <col min="6" max="6" width="11" style="660" bestFit="1" customWidth="1"/>
    <col min="7" max="7" width="19.08203125" style="652" customWidth="1"/>
    <col min="8" max="8" width="9.9140625" style="652"/>
    <col min="9" max="9" width="9.9140625" style="653"/>
    <col min="10" max="16384" width="9.9140625" style="652"/>
  </cols>
  <sheetData>
    <row r="2" spans="1:7" x14ac:dyDescent="0.35">
      <c r="A2" s="621" t="s">
        <v>1861</v>
      </c>
      <c r="B2" s="622"/>
      <c r="C2" s="622"/>
      <c r="D2" s="622"/>
      <c r="E2" s="622"/>
      <c r="F2" s="650"/>
      <c r="G2" s="651"/>
    </row>
    <row r="4" spans="1:7" x14ac:dyDescent="0.35">
      <c r="A4" s="626" t="s">
        <v>738</v>
      </c>
      <c r="B4" s="627" t="s">
        <v>1831</v>
      </c>
      <c r="C4" s="626" t="s">
        <v>75</v>
      </c>
      <c r="D4" s="626" t="s">
        <v>78</v>
      </c>
      <c r="E4" s="626" t="s">
        <v>736</v>
      </c>
      <c r="F4" s="628" t="s">
        <v>737</v>
      </c>
      <c r="G4" s="627" t="s">
        <v>1832</v>
      </c>
    </row>
    <row r="5" spans="1:7" x14ac:dyDescent="0.35">
      <c r="A5" s="654" t="s">
        <v>1862</v>
      </c>
      <c r="B5" s="655"/>
      <c r="C5" s="655"/>
      <c r="D5" s="655"/>
      <c r="E5" s="655"/>
      <c r="F5" s="656"/>
      <c r="G5" s="657"/>
    </row>
    <row r="6" spans="1:7" x14ac:dyDescent="0.35">
      <c r="A6" s="632">
        <v>1</v>
      </c>
      <c r="B6" s="658" t="s">
        <v>1863</v>
      </c>
      <c r="C6" s="632" t="s">
        <v>428</v>
      </c>
      <c r="D6" s="632">
        <v>1</v>
      </c>
      <c r="E6" s="634"/>
      <c r="F6" s="659"/>
      <c r="G6" s="658"/>
    </row>
    <row r="7" spans="1:7" x14ac:dyDescent="0.35">
      <c r="A7" s="629" t="s">
        <v>1864</v>
      </c>
      <c r="B7" s="630"/>
      <c r="C7" s="636"/>
      <c r="D7" s="637"/>
      <c r="E7" s="638"/>
      <c r="F7" s="628">
        <f>SUM(F6)</f>
        <v>0</v>
      </c>
      <c r="G7" s="639"/>
    </row>
    <row r="8" spans="1:7" x14ac:dyDescent="0.35">
      <c r="A8" s="654" t="s">
        <v>1865</v>
      </c>
      <c r="B8" s="655"/>
      <c r="C8" s="655"/>
      <c r="D8" s="655"/>
      <c r="E8" s="655"/>
      <c r="F8" s="656"/>
      <c r="G8" s="657"/>
    </row>
    <row r="9" spans="1:7" x14ac:dyDescent="0.35">
      <c r="A9" s="632">
        <v>1</v>
      </c>
      <c r="B9" s="658" t="s">
        <v>1866</v>
      </c>
      <c r="C9" s="632" t="s">
        <v>428</v>
      </c>
      <c r="D9" s="632">
        <v>1</v>
      </c>
      <c r="E9" s="634"/>
      <c r="F9" s="659"/>
      <c r="G9" s="658"/>
    </row>
    <row r="10" spans="1:7" ht="16.5" x14ac:dyDescent="0.35">
      <c r="A10" s="632">
        <v>2</v>
      </c>
      <c r="B10" s="658" t="s">
        <v>1867</v>
      </c>
      <c r="C10" s="632" t="s">
        <v>1868</v>
      </c>
      <c r="D10" s="632">
        <v>1</v>
      </c>
      <c r="E10" s="634"/>
      <c r="F10" s="659"/>
      <c r="G10" s="658"/>
    </row>
    <row r="11" spans="1:7" x14ac:dyDescent="0.35">
      <c r="A11" s="632">
        <v>3</v>
      </c>
      <c r="B11" s="658" t="s">
        <v>1869</v>
      </c>
      <c r="C11" s="632" t="s">
        <v>428</v>
      </c>
      <c r="D11" s="632">
        <v>2</v>
      </c>
      <c r="E11" s="634"/>
      <c r="F11" s="659"/>
      <c r="G11" s="658"/>
    </row>
    <row r="12" spans="1:7" ht="16.5" x14ac:dyDescent="0.35">
      <c r="A12" s="632">
        <v>4</v>
      </c>
      <c r="B12" s="658" t="s">
        <v>1870</v>
      </c>
      <c r="C12" s="632" t="s">
        <v>1868</v>
      </c>
      <c r="D12" s="632">
        <v>1</v>
      </c>
      <c r="E12" s="634"/>
      <c r="F12" s="659"/>
      <c r="G12" s="658"/>
    </row>
    <row r="13" spans="1:7" ht="28" x14ac:dyDescent="0.35">
      <c r="A13" s="632">
        <v>5</v>
      </c>
      <c r="B13" s="646" t="s">
        <v>1871</v>
      </c>
      <c r="C13" s="632" t="s">
        <v>428</v>
      </c>
      <c r="D13" s="632">
        <v>1</v>
      </c>
      <c r="E13" s="634"/>
      <c r="F13" s="659"/>
      <c r="G13" s="658"/>
    </row>
    <row r="14" spans="1:7" ht="28" x14ac:dyDescent="0.35">
      <c r="A14" s="632">
        <v>6</v>
      </c>
      <c r="B14" s="646" t="s">
        <v>1872</v>
      </c>
      <c r="C14" s="632" t="s">
        <v>428</v>
      </c>
      <c r="D14" s="632">
        <v>1</v>
      </c>
      <c r="E14" s="634"/>
      <c r="F14" s="659"/>
      <c r="G14" s="658"/>
    </row>
    <row r="15" spans="1:7" ht="16.5" x14ac:dyDescent="0.35">
      <c r="A15" s="632">
        <v>7</v>
      </c>
      <c r="B15" s="658" t="s">
        <v>1873</v>
      </c>
      <c r="C15" s="632" t="s">
        <v>1868</v>
      </c>
      <c r="D15" s="632">
        <v>2</v>
      </c>
      <c r="E15" s="634"/>
      <c r="F15" s="659"/>
      <c r="G15" s="658"/>
    </row>
    <row r="16" spans="1:7" ht="16.5" x14ac:dyDescent="0.35">
      <c r="A16" s="632">
        <v>8</v>
      </c>
      <c r="B16" s="658" t="s">
        <v>1874</v>
      </c>
      <c r="C16" s="632" t="s">
        <v>1868</v>
      </c>
      <c r="D16" s="632">
        <v>3</v>
      </c>
      <c r="E16" s="634"/>
      <c r="F16" s="659"/>
      <c r="G16" s="658"/>
    </row>
    <row r="17" spans="1:7" ht="16.5" x14ac:dyDescent="0.35">
      <c r="A17" s="632">
        <v>9</v>
      </c>
      <c r="B17" s="658" t="s">
        <v>1875</v>
      </c>
      <c r="C17" s="632" t="s">
        <v>1868</v>
      </c>
      <c r="D17" s="632">
        <v>2</v>
      </c>
      <c r="E17" s="634"/>
      <c r="F17" s="659"/>
      <c r="G17" s="658"/>
    </row>
    <row r="18" spans="1:7" x14ac:dyDescent="0.35">
      <c r="A18" s="632">
        <v>10</v>
      </c>
      <c r="B18" s="658" t="s">
        <v>1876</v>
      </c>
      <c r="C18" s="632" t="s">
        <v>1877</v>
      </c>
      <c r="D18" s="632">
        <v>15</v>
      </c>
      <c r="E18" s="634"/>
      <c r="F18" s="659"/>
      <c r="G18" s="658"/>
    </row>
    <row r="19" spans="1:7" x14ac:dyDescent="0.35">
      <c r="A19" s="632">
        <v>11</v>
      </c>
      <c r="B19" s="658" t="s">
        <v>1878</v>
      </c>
      <c r="C19" s="632" t="s">
        <v>1877</v>
      </c>
      <c r="D19" s="632">
        <v>45</v>
      </c>
      <c r="E19" s="634"/>
      <c r="F19" s="659"/>
      <c r="G19" s="658"/>
    </row>
    <row r="20" spans="1:7" x14ac:dyDescent="0.35">
      <c r="A20" s="629" t="s">
        <v>1864</v>
      </c>
      <c r="B20" s="630"/>
      <c r="C20" s="636"/>
      <c r="D20" s="637"/>
      <c r="E20" s="638"/>
      <c r="F20" s="628">
        <f>SUM(F9:F19)</f>
        <v>0</v>
      </c>
      <c r="G20" s="639"/>
    </row>
    <row r="21" spans="1:7" x14ac:dyDescent="0.35">
      <c r="A21" s="654" t="s">
        <v>1879</v>
      </c>
      <c r="B21" s="655"/>
      <c r="C21" s="655"/>
      <c r="D21" s="655"/>
      <c r="E21" s="655"/>
      <c r="F21" s="656"/>
      <c r="G21" s="657"/>
    </row>
    <row r="22" spans="1:7" x14ac:dyDescent="0.35">
      <c r="A22" s="632">
        <v>1</v>
      </c>
      <c r="B22" s="658" t="s">
        <v>1880</v>
      </c>
      <c r="C22" s="632" t="s">
        <v>480</v>
      </c>
      <c r="D22" s="632">
        <v>1</v>
      </c>
      <c r="E22" s="634"/>
      <c r="F22" s="659"/>
      <c r="G22" s="658"/>
    </row>
    <row r="23" spans="1:7" x14ac:dyDescent="0.35">
      <c r="A23" s="632">
        <v>2</v>
      </c>
      <c r="B23" s="658" t="s">
        <v>1881</v>
      </c>
      <c r="C23" s="632" t="s">
        <v>428</v>
      </c>
      <c r="D23" s="632">
        <v>1</v>
      </c>
      <c r="E23" s="634"/>
      <c r="F23" s="659"/>
      <c r="G23" s="658"/>
    </row>
    <row r="24" spans="1:7" x14ac:dyDescent="0.35">
      <c r="A24" s="632">
        <v>3</v>
      </c>
      <c r="B24" s="658" t="s">
        <v>1882</v>
      </c>
      <c r="C24" s="632" t="s">
        <v>428</v>
      </c>
      <c r="D24" s="632">
        <v>1</v>
      </c>
      <c r="E24" s="634"/>
      <c r="F24" s="659"/>
      <c r="G24" s="658"/>
    </row>
    <row r="25" spans="1:7" x14ac:dyDescent="0.35">
      <c r="A25" s="629" t="s">
        <v>1864</v>
      </c>
      <c r="B25" s="630"/>
      <c r="C25" s="636"/>
      <c r="D25" s="637"/>
      <c r="E25" s="638"/>
      <c r="F25" s="628">
        <f>SUM(F22:F24)</f>
        <v>0</v>
      </c>
      <c r="G25" s="639"/>
    </row>
    <row r="26" spans="1:7" x14ac:dyDescent="0.35">
      <c r="A26" s="654" t="s">
        <v>1883</v>
      </c>
      <c r="B26" s="655"/>
      <c r="C26" s="655"/>
      <c r="D26" s="655"/>
      <c r="E26" s="655"/>
      <c r="F26" s="656"/>
      <c r="G26" s="657"/>
    </row>
    <row r="27" spans="1:7" x14ac:dyDescent="0.35">
      <c r="A27" s="632">
        <v>1</v>
      </c>
      <c r="B27" s="658" t="s">
        <v>1884</v>
      </c>
      <c r="C27" s="632" t="s">
        <v>428</v>
      </c>
      <c r="D27" s="632">
        <v>1</v>
      </c>
      <c r="E27" s="634"/>
      <c r="F27" s="659"/>
      <c r="G27" s="658"/>
    </row>
    <row r="28" spans="1:7" x14ac:dyDescent="0.35">
      <c r="A28" s="632">
        <v>2</v>
      </c>
      <c r="B28" s="658" t="s">
        <v>1885</v>
      </c>
      <c r="C28" s="632" t="s">
        <v>428</v>
      </c>
      <c r="D28" s="632">
        <v>1</v>
      </c>
      <c r="E28" s="634"/>
      <c r="F28" s="659"/>
      <c r="G28" s="658"/>
    </row>
    <row r="29" spans="1:7" x14ac:dyDescent="0.35">
      <c r="A29" s="629" t="s">
        <v>1864</v>
      </c>
      <c r="B29" s="630"/>
      <c r="C29" s="636"/>
      <c r="D29" s="637"/>
      <c r="E29" s="638"/>
      <c r="F29" s="628">
        <f>SUM(F27:F28)</f>
        <v>0</v>
      </c>
      <c r="G29" s="639"/>
    </row>
    <row r="30" spans="1:7" x14ac:dyDescent="0.35">
      <c r="A30" s="629" t="s">
        <v>705</v>
      </c>
      <c r="B30" s="630"/>
      <c r="C30" s="636"/>
      <c r="D30" s="637"/>
      <c r="E30" s="638"/>
      <c r="F30" s="628">
        <f>SUM(F7,F20,F25,F29)</f>
        <v>0</v>
      </c>
      <c r="G30" s="639"/>
    </row>
    <row r="31" spans="1:7" x14ac:dyDescent="0.3">
      <c r="A31" s="671"/>
      <c r="B31" s="671"/>
      <c r="C31" s="671"/>
      <c r="D31" s="671"/>
      <c r="E31" s="671"/>
      <c r="F31" s="671"/>
      <c r="G31" s="671"/>
    </row>
    <row r="32" spans="1:7" x14ac:dyDescent="0.3">
      <c r="A32" s="671"/>
      <c r="B32" s="671" t="s">
        <v>2112</v>
      </c>
      <c r="C32" s="671"/>
      <c r="D32" s="671"/>
      <c r="E32" s="671"/>
      <c r="F32" s="671"/>
      <c r="G32" s="671"/>
    </row>
    <row r="33" spans="1:7" x14ac:dyDescent="0.3">
      <c r="A33" s="671"/>
      <c r="B33" s="671"/>
      <c r="C33" s="671"/>
      <c r="D33" s="671"/>
      <c r="E33" s="671"/>
      <c r="F33" s="671"/>
      <c r="G33" s="671"/>
    </row>
    <row r="34" spans="1:7" x14ac:dyDescent="0.3">
      <c r="A34" s="671"/>
      <c r="B34" s="671" t="s">
        <v>2113</v>
      </c>
      <c r="C34" s="671"/>
      <c r="D34" s="671"/>
      <c r="E34" s="671"/>
      <c r="F34" s="671"/>
      <c r="G34" s="671"/>
    </row>
    <row r="35" spans="1:7" x14ac:dyDescent="0.3">
      <c r="A35" s="671"/>
      <c r="B35" s="671"/>
      <c r="C35" s="671"/>
      <c r="D35" s="671"/>
      <c r="E35" s="671"/>
      <c r="F35" s="671"/>
      <c r="G35" s="671"/>
    </row>
    <row r="36" spans="1:7" x14ac:dyDescent="0.3">
      <c r="A36" s="671"/>
      <c r="B36" s="671" t="s">
        <v>2114</v>
      </c>
      <c r="C36" s="671"/>
      <c r="D36" s="671"/>
      <c r="E36" s="671"/>
      <c r="F36" s="671"/>
      <c r="G36" s="671"/>
    </row>
  </sheetData>
  <printOptions horizontalCentered="1"/>
  <pageMargins left="0.70866141732283472" right="0.70866141732283472" top="0.74803149606299213" bottom="0.74803149606299213" header="0.31496062992125984" footer="0.31496062992125984"/>
  <pageSetup paperSize="9" scale="70" orientation="portrait" r:id="rId1"/>
  <customProperties>
    <customPr name="QAA_DRILLPATH_NODE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tint="-0.249977111117893"/>
  </sheetPr>
  <dimension ref="A2:I59"/>
  <sheetViews>
    <sheetView view="pageBreakPreview" topLeftCell="A39" zoomScale="85" zoomScaleNormal="100" zoomScaleSheetLayoutView="85" workbookViewId="0">
      <selection activeCell="A54" sqref="A54:G59"/>
    </sheetView>
  </sheetViews>
  <sheetFormatPr baseColWidth="10" defaultColWidth="9.9140625" defaultRowHeight="14" x14ac:dyDescent="0.3"/>
  <cols>
    <col min="1" max="1" width="4.58203125" style="625" customWidth="1"/>
    <col min="2" max="2" width="37.4140625" style="625" bestFit="1" customWidth="1"/>
    <col min="3" max="3" width="6.1640625" style="625" customWidth="1"/>
    <col min="4" max="5" width="7.9140625" style="625" bestFit="1" customWidth="1"/>
    <col min="6" max="6" width="10.5" style="625" bestFit="1" customWidth="1"/>
    <col min="7" max="7" width="27.4140625" style="625" customWidth="1"/>
    <col min="8" max="8" width="9.9140625" style="625"/>
    <col min="9" max="9" width="9.9140625" style="624"/>
    <col min="10" max="16384" width="9.9140625" style="625"/>
  </cols>
  <sheetData>
    <row r="2" spans="1:7" x14ac:dyDescent="0.3">
      <c r="A2" s="661" t="s">
        <v>1886</v>
      </c>
      <c r="B2" s="622"/>
      <c r="C2" s="622"/>
      <c r="D2" s="622"/>
      <c r="E2" s="622"/>
      <c r="F2" s="661"/>
      <c r="G2" s="623"/>
    </row>
    <row r="4" spans="1:7" x14ac:dyDescent="0.3">
      <c r="A4" s="626" t="s">
        <v>738</v>
      </c>
      <c r="B4" s="627" t="s">
        <v>1831</v>
      </c>
      <c r="C4" s="626" t="s">
        <v>75</v>
      </c>
      <c r="D4" s="626" t="s">
        <v>78</v>
      </c>
      <c r="E4" s="626" t="s">
        <v>736</v>
      </c>
      <c r="F4" s="628" t="s">
        <v>737</v>
      </c>
      <c r="G4" s="627" t="s">
        <v>1832</v>
      </c>
    </row>
    <row r="5" spans="1:7" x14ac:dyDescent="0.3">
      <c r="A5" s="629" t="s">
        <v>1887</v>
      </c>
      <c r="B5" s="630"/>
      <c r="C5" s="630"/>
      <c r="D5" s="630"/>
      <c r="E5" s="630"/>
      <c r="F5" s="630"/>
      <c r="G5" s="631"/>
    </row>
    <row r="6" spans="1:7" ht="16.5" x14ac:dyDescent="0.3">
      <c r="A6" s="632">
        <v>1</v>
      </c>
      <c r="B6" s="644" t="s">
        <v>1888</v>
      </c>
      <c r="C6" s="632" t="s">
        <v>480</v>
      </c>
      <c r="D6" s="632">
        <v>4</v>
      </c>
      <c r="E6" s="662"/>
      <c r="F6" s="634"/>
      <c r="G6" s="645" t="s">
        <v>1889</v>
      </c>
    </row>
    <row r="7" spans="1:7" x14ac:dyDescent="0.3">
      <c r="A7" s="632">
        <v>2</v>
      </c>
      <c r="B7" s="644" t="s">
        <v>1844</v>
      </c>
      <c r="C7" s="632" t="s">
        <v>1845</v>
      </c>
      <c r="D7" s="632">
        <v>17</v>
      </c>
      <c r="E7" s="662"/>
      <c r="F7" s="634"/>
      <c r="G7" s="645"/>
    </row>
    <row r="8" spans="1:7" x14ac:dyDescent="0.3">
      <c r="A8" s="632">
        <v>3</v>
      </c>
      <c r="B8" s="644" t="s">
        <v>1846</v>
      </c>
      <c r="C8" s="632" t="s">
        <v>480</v>
      </c>
      <c r="D8" s="632">
        <v>5</v>
      </c>
      <c r="E8" s="662"/>
      <c r="F8" s="634"/>
      <c r="G8" s="645"/>
    </row>
    <row r="9" spans="1:7" x14ac:dyDescent="0.3">
      <c r="A9" s="632">
        <v>4</v>
      </c>
      <c r="B9" s="644" t="s">
        <v>1849</v>
      </c>
      <c r="C9" s="632" t="s">
        <v>739</v>
      </c>
      <c r="D9" s="632">
        <v>1</v>
      </c>
      <c r="E9" s="662"/>
      <c r="F9" s="634"/>
      <c r="G9" s="645"/>
    </row>
    <row r="10" spans="1:7" ht="16.5" x14ac:dyDescent="0.3">
      <c r="A10" s="632">
        <v>5</v>
      </c>
      <c r="B10" s="644" t="s">
        <v>1850</v>
      </c>
      <c r="C10" s="632" t="s">
        <v>1868</v>
      </c>
      <c r="D10" s="632">
        <v>1</v>
      </c>
      <c r="E10" s="662"/>
      <c r="F10" s="634"/>
      <c r="G10" s="645"/>
    </row>
    <row r="11" spans="1:7" ht="16.5" x14ac:dyDescent="0.3">
      <c r="A11" s="632">
        <v>6</v>
      </c>
      <c r="B11" s="644" t="s">
        <v>1853</v>
      </c>
      <c r="C11" s="632" t="s">
        <v>1868</v>
      </c>
      <c r="D11" s="632">
        <v>4</v>
      </c>
      <c r="E11" s="662"/>
      <c r="F11" s="634"/>
      <c r="G11" s="645"/>
    </row>
    <row r="12" spans="1:7" x14ac:dyDescent="0.3">
      <c r="A12" s="632">
        <v>7</v>
      </c>
      <c r="B12" s="644" t="s">
        <v>1890</v>
      </c>
      <c r="C12" s="632" t="s">
        <v>480</v>
      </c>
      <c r="D12" s="632">
        <v>4</v>
      </c>
      <c r="E12" s="662"/>
      <c r="F12" s="634"/>
      <c r="G12" s="645"/>
    </row>
    <row r="13" spans="1:7" ht="16.5" x14ac:dyDescent="0.3">
      <c r="A13" s="632">
        <v>8</v>
      </c>
      <c r="B13" s="644" t="s">
        <v>1856</v>
      </c>
      <c r="C13" s="632" t="s">
        <v>1868</v>
      </c>
      <c r="D13" s="632">
        <v>1</v>
      </c>
      <c r="E13" s="662"/>
      <c r="F13" s="634"/>
      <c r="G13" s="645"/>
    </row>
    <row r="14" spans="1:7" x14ac:dyDescent="0.3">
      <c r="A14" s="663" t="s">
        <v>1864</v>
      </c>
      <c r="B14" s="636"/>
      <c r="C14" s="636"/>
      <c r="D14" s="637"/>
      <c r="E14" s="638"/>
      <c r="F14" s="628">
        <f>SUM(F6:F13)</f>
        <v>0</v>
      </c>
      <c r="G14" s="639"/>
    </row>
    <row r="15" spans="1:7" x14ac:dyDescent="0.3">
      <c r="A15" s="629" t="s">
        <v>1891</v>
      </c>
      <c r="B15" s="630"/>
      <c r="C15" s="630"/>
      <c r="D15" s="630"/>
      <c r="E15" s="630"/>
      <c r="F15" s="630"/>
      <c r="G15" s="631"/>
    </row>
    <row r="16" spans="1:7" x14ac:dyDescent="0.3">
      <c r="A16" s="632">
        <v>1</v>
      </c>
      <c r="B16" s="644" t="s">
        <v>1892</v>
      </c>
      <c r="C16" s="632" t="s">
        <v>480</v>
      </c>
      <c r="D16" s="632">
        <v>2</v>
      </c>
      <c r="E16" s="662"/>
      <c r="F16" s="634"/>
      <c r="G16" s="645"/>
    </row>
    <row r="17" spans="1:7" x14ac:dyDescent="0.3">
      <c r="A17" s="632">
        <v>2</v>
      </c>
      <c r="B17" s="664" t="s">
        <v>1893</v>
      </c>
      <c r="C17" s="665" t="s">
        <v>480</v>
      </c>
      <c r="D17" s="665">
        <v>1</v>
      </c>
      <c r="E17" s="666"/>
      <c r="F17" s="667"/>
      <c r="G17" s="645"/>
    </row>
    <row r="18" spans="1:7" x14ac:dyDescent="0.3">
      <c r="A18" s="632">
        <v>3</v>
      </c>
      <c r="B18" s="644" t="s">
        <v>1894</v>
      </c>
      <c r="C18" s="632" t="s">
        <v>480</v>
      </c>
      <c r="D18" s="632">
        <v>1</v>
      </c>
      <c r="E18" s="662"/>
      <c r="F18" s="634"/>
      <c r="G18" s="645"/>
    </row>
    <row r="19" spans="1:7" x14ac:dyDescent="0.3">
      <c r="A19" s="632">
        <v>4</v>
      </c>
      <c r="B19" s="644" t="s">
        <v>1895</v>
      </c>
      <c r="C19" s="632" t="s">
        <v>480</v>
      </c>
      <c r="D19" s="632">
        <v>1</v>
      </c>
      <c r="E19" s="662"/>
      <c r="F19" s="634"/>
      <c r="G19" s="645"/>
    </row>
    <row r="20" spans="1:7" x14ac:dyDescent="0.3">
      <c r="A20" s="632">
        <v>5</v>
      </c>
      <c r="B20" s="644" t="s">
        <v>1896</v>
      </c>
      <c r="C20" s="632" t="s">
        <v>480</v>
      </c>
      <c r="D20" s="632">
        <v>1</v>
      </c>
      <c r="E20" s="662"/>
      <c r="F20" s="634"/>
      <c r="G20" s="645"/>
    </row>
    <row r="21" spans="1:7" x14ac:dyDescent="0.3">
      <c r="A21" s="632">
        <v>6</v>
      </c>
      <c r="B21" s="644" t="s">
        <v>1897</v>
      </c>
      <c r="C21" s="632" t="s">
        <v>480</v>
      </c>
      <c r="D21" s="632">
        <v>1</v>
      </c>
      <c r="E21" s="662"/>
      <c r="F21" s="634"/>
      <c r="G21" s="645"/>
    </row>
    <row r="22" spans="1:7" x14ac:dyDescent="0.3">
      <c r="A22" s="632">
        <v>7</v>
      </c>
      <c r="B22" s="644" t="s">
        <v>1898</v>
      </c>
      <c r="C22" s="632" t="s">
        <v>480</v>
      </c>
      <c r="D22" s="632">
        <v>2</v>
      </c>
      <c r="E22" s="662"/>
      <c r="F22" s="634"/>
      <c r="G22" s="645"/>
    </row>
    <row r="23" spans="1:7" x14ac:dyDescent="0.3">
      <c r="A23" s="632">
        <v>8</v>
      </c>
      <c r="B23" s="644" t="s">
        <v>1899</v>
      </c>
      <c r="C23" s="632" t="s">
        <v>480</v>
      </c>
      <c r="D23" s="632">
        <v>2</v>
      </c>
      <c r="E23" s="662"/>
      <c r="F23" s="634"/>
      <c r="G23" s="645"/>
    </row>
    <row r="24" spans="1:7" x14ac:dyDescent="0.3">
      <c r="A24" s="663" t="s">
        <v>1864</v>
      </c>
      <c r="B24" s="636"/>
      <c r="C24" s="636"/>
      <c r="D24" s="637"/>
      <c r="E24" s="638"/>
      <c r="F24" s="628">
        <f>SUM(F16:F23)</f>
        <v>0</v>
      </c>
      <c r="G24" s="639"/>
    </row>
    <row r="25" spans="1:7" x14ac:dyDescent="0.3">
      <c r="A25" s="629" t="s">
        <v>1900</v>
      </c>
      <c r="B25" s="630"/>
      <c r="C25" s="630"/>
      <c r="D25" s="630"/>
      <c r="E25" s="630"/>
      <c r="F25" s="630"/>
      <c r="G25" s="631"/>
    </row>
    <row r="26" spans="1:7" x14ac:dyDescent="0.3">
      <c r="A26" s="632">
        <v>1</v>
      </c>
      <c r="B26" s="644" t="s">
        <v>1901</v>
      </c>
      <c r="C26" s="632" t="s">
        <v>480</v>
      </c>
      <c r="D26" s="632">
        <v>2</v>
      </c>
      <c r="E26" s="662"/>
      <c r="F26" s="634"/>
      <c r="G26" s="645"/>
    </row>
    <row r="27" spans="1:7" x14ac:dyDescent="0.3">
      <c r="A27" s="632">
        <v>2</v>
      </c>
      <c r="B27" s="644" t="s">
        <v>1902</v>
      </c>
      <c r="C27" s="632" t="s">
        <v>480</v>
      </c>
      <c r="D27" s="632">
        <v>1</v>
      </c>
      <c r="E27" s="662"/>
      <c r="F27" s="634"/>
      <c r="G27" s="645"/>
    </row>
    <row r="28" spans="1:7" x14ac:dyDescent="0.3">
      <c r="A28" s="632">
        <v>3</v>
      </c>
      <c r="B28" s="644" t="s">
        <v>1903</v>
      </c>
      <c r="C28" s="632" t="s">
        <v>480</v>
      </c>
      <c r="D28" s="632">
        <v>2</v>
      </c>
      <c r="E28" s="662"/>
      <c r="F28" s="634"/>
      <c r="G28" s="645"/>
    </row>
    <row r="29" spans="1:7" x14ac:dyDescent="0.3">
      <c r="A29" s="632">
        <v>4</v>
      </c>
      <c r="B29" s="644" t="s">
        <v>1904</v>
      </c>
      <c r="C29" s="632" t="s">
        <v>480</v>
      </c>
      <c r="D29" s="632">
        <v>8</v>
      </c>
      <c r="E29" s="662"/>
      <c r="F29" s="634"/>
      <c r="G29" s="645"/>
    </row>
    <row r="30" spans="1:7" x14ac:dyDescent="0.3">
      <c r="A30" s="632">
        <v>5</v>
      </c>
      <c r="B30" s="644" t="s">
        <v>1905</v>
      </c>
      <c r="C30" s="632" t="s">
        <v>480</v>
      </c>
      <c r="D30" s="632">
        <v>1</v>
      </c>
      <c r="E30" s="662"/>
      <c r="F30" s="634"/>
      <c r="G30" s="645"/>
    </row>
    <row r="31" spans="1:7" x14ac:dyDescent="0.3">
      <c r="A31" s="632">
        <v>6</v>
      </c>
      <c r="B31" s="644" t="s">
        <v>1906</v>
      </c>
      <c r="C31" s="632" t="s">
        <v>480</v>
      </c>
      <c r="D31" s="632">
        <v>6</v>
      </c>
      <c r="E31" s="662"/>
      <c r="F31" s="634"/>
      <c r="G31" s="645" t="s">
        <v>1907</v>
      </c>
    </row>
    <row r="32" spans="1:7" x14ac:dyDescent="0.3">
      <c r="A32" s="632">
        <v>7</v>
      </c>
      <c r="B32" s="644" t="s">
        <v>1908</v>
      </c>
      <c r="C32" s="632" t="s">
        <v>480</v>
      </c>
      <c r="D32" s="632">
        <v>1</v>
      </c>
      <c r="E32" s="662"/>
      <c r="F32" s="634"/>
      <c r="G32" s="645"/>
    </row>
    <row r="33" spans="1:9" x14ac:dyDescent="0.3">
      <c r="A33" s="632">
        <v>8</v>
      </c>
      <c r="B33" s="644" t="s">
        <v>1909</v>
      </c>
      <c r="C33" s="668" t="s">
        <v>480</v>
      </c>
      <c r="D33" s="632">
        <v>1</v>
      </c>
      <c r="E33" s="662"/>
      <c r="F33" s="634"/>
      <c r="G33" s="645"/>
    </row>
    <row r="34" spans="1:9" x14ac:dyDescent="0.3">
      <c r="A34" s="663" t="s">
        <v>1864</v>
      </c>
      <c r="B34" s="636"/>
      <c r="C34" s="636"/>
      <c r="D34" s="637"/>
      <c r="E34" s="638"/>
      <c r="F34" s="628">
        <f>SUM(F26:F33)</f>
        <v>0</v>
      </c>
      <c r="G34" s="639"/>
    </row>
    <row r="35" spans="1:9" s="669" customFormat="1" x14ac:dyDescent="0.3">
      <c r="A35" s="629" t="s">
        <v>1910</v>
      </c>
      <c r="B35" s="630"/>
      <c r="C35" s="630"/>
      <c r="D35" s="630"/>
      <c r="E35" s="630"/>
      <c r="F35" s="630"/>
      <c r="G35" s="631"/>
      <c r="I35" s="624"/>
    </row>
    <row r="36" spans="1:9" s="669" customFormat="1" x14ac:dyDescent="0.3">
      <c r="A36" s="670">
        <v>1</v>
      </c>
      <c r="B36" s="671" t="s">
        <v>1911</v>
      </c>
      <c r="C36" s="632" t="s">
        <v>480</v>
      </c>
      <c r="D36" s="632">
        <v>500</v>
      </c>
      <c r="E36" s="662"/>
      <c r="F36" s="634"/>
      <c r="G36" s="672"/>
      <c r="I36" s="624"/>
    </row>
    <row r="37" spans="1:9" s="669" customFormat="1" x14ac:dyDescent="0.3">
      <c r="A37" s="670">
        <v>2</v>
      </c>
      <c r="B37" s="644" t="s">
        <v>1844</v>
      </c>
      <c r="C37" s="673" t="s">
        <v>1845</v>
      </c>
      <c r="D37" s="632">
        <v>3</v>
      </c>
      <c r="E37" s="662"/>
      <c r="F37" s="634"/>
      <c r="G37" s="672"/>
      <c r="I37" s="624"/>
    </row>
    <row r="38" spans="1:9" s="669" customFormat="1" x14ac:dyDescent="0.3">
      <c r="A38" s="670">
        <v>3</v>
      </c>
      <c r="B38" s="671" t="s">
        <v>1912</v>
      </c>
      <c r="C38" s="632" t="s">
        <v>480</v>
      </c>
      <c r="D38" s="632">
        <v>5</v>
      </c>
      <c r="E38" s="662"/>
      <c r="F38" s="634"/>
      <c r="G38" s="672"/>
      <c r="I38" s="624"/>
    </row>
    <row r="39" spans="1:9" s="669" customFormat="1" x14ac:dyDescent="0.3">
      <c r="A39" s="670">
        <v>4</v>
      </c>
      <c r="B39" s="671" t="s">
        <v>1913</v>
      </c>
      <c r="C39" s="632" t="s">
        <v>480</v>
      </c>
      <c r="D39" s="632">
        <v>3</v>
      </c>
      <c r="E39" s="662"/>
      <c r="F39" s="634"/>
      <c r="G39" s="672"/>
      <c r="I39" s="624"/>
    </row>
    <row r="40" spans="1:9" s="669" customFormat="1" ht="16.5" x14ac:dyDescent="0.3">
      <c r="A40" s="670">
        <v>5</v>
      </c>
      <c r="B40" s="671" t="s">
        <v>1853</v>
      </c>
      <c r="C40" s="673" t="s">
        <v>1914</v>
      </c>
      <c r="D40" s="632">
        <v>0.5</v>
      </c>
      <c r="E40" s="662"/>
      <c r="F40" s="634"/>
      <c r="G40" s="672"/>
      <c r="I40" s="624"/>
    </row>
    <row r="41" spans="1:9" s="669" customFormat="1" x14ac:dyDescent="0.3">
      <c r="A41" s="670">
        <v>6</v>
      </c>
      <c r="B41" s="671" t="s">
        <v>1915</v>
      </c>
      <c r="C41" s="632" t="s">
        <v>480</v>
      </c>
      <c r="D41" s="632">
        <v>3</v>
      </c>
      <c r="E41" s="662"/>
      <c r="F41" s="634"/>
      <c r="G41" s="672"/>
      <c r="I41" s="624"/>
    </row>
    <row r="42" spans="1:9" s="669" customFormat="1" x14ac:dyDescent="0.3">
      <c r="A42" s="670">
        <v>7</v>
      </c>
      <c r="B42" s="671" t="s">
        <v>1916</v>
      </c>
      <c r="C42" s="632" t="s">
        <v>480</v>
      </c>
      <c r="D42" s="632">
        <v>3</v>
      </c>
      <c r="E42" s="662"/>
      <c r="F42" s="634"/>
      <c r="G42" s="672"/>
      <c r="I42" s="624"/>
    </row>
    <row r="43" spans="1:9" s="669" customFormat="1" x14ac:dyDescent="0.3">
      <c r="A43" s="670">
        <v>8</v>
      </c>
      <c r="B43" s="671" t="s">
        <v>1917</v>
      </c>
      <c r="C43" s="632" t="s">
        <v>480</v>
      </c>
      <c r="D43" s="632">
        <v>1</v>
      </c>
      <c r="E43" s="662"/>
      <c r="F43" s="634"/>
      <c r="G43" s="672"/>
      <c r="I43" s="624"/>
    </row>
    <row r="44" spans="1:9" s="669" customFormat="1" ht="16.5" x14ac:dyDescent="0.3">
      <c r="A44" s="670">
        <v>9</v>
      </c>
      <c r="B44" s="671" t="s">
        <v>1856</v>
      </c>
      <c r="C44" s="673" t="s">
        <v>1914</v>
      </c>
      <c r="D44" s="632">
        <v>2</v>
      </c>
      <c r="E44" s="662"/>
      <c r="F44" s="634"/>
      <c r="G44" s="672"/>
      <c r="I44" s="624"/>
    </row>
    <row r="45" spans="1:9" s="669" customFormat="1" x14ac:dyDescent="0.3">
      <c r="A45" s="670">
        <v>10</v>
      </c>
      <c r="B45" s="671" t="s">
        <v>1918</v>
      </c>
      <c r="C45" s="632" t="s">
        <v>480</v>
      </c>
      <c r="D45" s="632">
        <v>1</v>
      </c>
      <c r="E45" s="662"/>
      <c r="F45" s="634"/>
      <c r="G45" s="672"/>
      <c r="I45" s="624"/>
    </row>
    <row r="46" spans="1:9" s="669" customFormat="1" x14ac:dyDescent="0.3">
      <c r="A46" s="670">
        <v>11</v>
      </c>
      <c r="B46" s="671" t="s">
        <v>1919</v>
      </c>
      <c r="C46" s="632" t="s">
        <v>480</v>
      </c>
      <c r="D46" s="632">
        <v>4</v>
      </c>
      <c r="E46" s="662"/>
      <c r="F46" s="634"/>
      <c r="G46" s="672"/>
      <c r="I46" s="624"/>
    </row>
    <row r="47" spans="1:9" s="669" customFormat="1" x14ac:dyDescent="0.3">
      <c r="A47" s="670">
        <v>12</v>
      </c>
      <c r="B47" s="671" t="s">
        <v>1920</v>
      </c>
      <c r="C47" s="632" t="s">
        <v>480</v>
      </c>
      <c r="D47" s="632">
        <v>2</v>
      </c>
      <c r="E47" s="662"/>
      <c r="F47" s="634"/>
      <c r="G47" s="672"/>
      <c r="I47" s="624"/>
    </row>
    <row r="48" spans="1:9" s="669" customFormat="1" x14ac:dyDescent="0.3">
      <c r="A48" s="670">
        <v>13</v>
      </c>
      <c r="B48" s="671" t="s">
        <v>1921</v>
      </c>
      <c r="C48" s="632" t="s">
        <v>480</v>
      </c>
      <c r="D48" s="632">
        <v>2</v>
      </c>
      <c r="E48" s="662"/>
      <c r="F48" s="634"/>
      <c r="G48" s="672"/>
      <c r="I48" s="624"/>
    </row>
    <row r="49" spans="1:9" s="669" customFormat="1" x14ac:dyDescent="0.3">
      <c r="A49" s="670">
        <v>14</v>
      </c>
      <c r="B49" s="671" t="s">
        <v>1922</v>
      </c>
      <c r="C49" s="632" t="s">
        <v>480</v>
      </c>
      <c r="D49" s="632">
        <v>1</v>
      </c>
      <c r="E49" s="662"/>
      <c r="F49" s="634"/>
      <c r="G49" s="672"/>
      <c r="I49" s="624"/>
    </row>
    <row r="50" spans="1:9" s="669" customFormat="1" x14ac:dyDescent="0.3">
      <c r="A50" s="663" t="s">
        <v>1864</v>
      </c>
      <c r="B50" s="636"/>
      <c r="C50" s="636"/>
      <c r="D50" s="637"/>
      <c r="E50" s="638"/>
      <c r="F50" s="628">
        <f>SUM(F36:F49)</f>
        <v>0</v>
      </c>
      <c r="G50" s="639"/>
      <c r="I50" s="624"/>
    </row>
    <row r="51" spans="1:9" s="669" customFormat="1" x14ac:dyDescent="0.3">
      <c r="A51" s="663" t="s">
        <v>1859</v>
      </c>
      <c r="B51" s="636"/>
      <c r="C51" s="636"/>
      <c r="D51" s="637"/>
      <c r="E51" s="638"/>
      <c r="F51" s="628">
        <f>SUM(F14,F24,F34,F50)</f>
        <v>0</v>
      </c>
      <c r="G51" s="639"/>
      <c r="I51" s="624"/>
    </row>
    <row r="52" spans="1:9" s="669" customFormat="1" x14ac:dyDescent="0.3">
      <c r="A52" s="674" t="s">
        <v>1860</v>
      </c>
      <c r="B52" s="675"/>
      <c r="C52" s="648"/>
      <c r="D52" s="648"/>
      <c r="E52" s="649"/>
      <c r="F52" s="634">
        <f>PRODUCT(F51,0.3)</f>
        <v>0</v>
      </c>
      <c r="G52" s="672"/>
      <c r="I52" s="624"/>
    </row>
    <row r="53" spans="1:9" x14ac:dyDescent="0.3">
      <c r="A53" s="663" t="s">
        <v>1923</v>
      </c>
      <c r="B53" s="636"/>
      <c r="C53" s="636"/>
      <c r="D53" s="637"/>
      <c r="E53" s="638"/>
      <c r="F53" s="628">
        <f>SUM(F51:F52)</f>
        <v>0</v>
      </c>
      <c r="G53" s="639"/>
    </row>
    <row r="54" spans="1:9" x14ac:dyDescent="0.3">
      <c r="A54" s="671"/>
      <c r="B54" s="671"/>
      <c r="C54" s="671"/>
      <c r="D54" s="671"/>
      <c r="E54" s="671"/>
      <c r="F54" s="671"/>
      <c r="G54" s="671"/>
    </row>
    <row r="55" spans="1:9" x14ac:dyDescent="0.3">
      <c r="A55" s="671"/>
      <c r="B55" s="671" t="s">
        <v>2112</v>
      </c>
      <c r="C55" s="671"/>
      <c r="D55" s="671"/>
      <c r="E55" s="671"/>
      <c r="F55" s="671"/>
      <c r="G55" s="671"/>
    </row>
    <row r="56" spans="1:9" x14ac:dyDescent="0.3">
      <c r="A56" s="671"/>
      <c r="B56" s="671"/>
      <c r="C56" s="671"/>
      <c r="D56" s="671"/>
      <c r="E56" s="671"/>
      <c r="F56" s="671"/>
      <c r="G56" s="671"/>
    </row>
    <row r="57" spans="1:9" x14ac:dyDescent="0.3">
      <c r="A57" s="671"/>
      <c r="B57" s="671" t="s">
        <v>2113</v>
      </c>
      <c r="C57" s="671"/>
      <c r="D57" s="671"/>
      <c r="E57" s="671"/>
      <c r="F57" s="671"/>
      <c r="G57" s="671"/>
    </row>
    <row r="58" spans="1:9" x14ac:dyDescent="0.3">
      <c r="A58" s="671"/>
      <c r="B58" s="671"/>
      <c r="C58" s="671"/>
      <c r="D58" s="671"/>
      <c r="E58" s="671"/>
      <c r="F58" s="671"/>
      <c r="G58" s="671"/>
    </row>
    <row r="59" spans="1:9" x14ac:dyDescent="0.3">
      <c r="A59" s="671"/>
      <c r="B59" s="671" t="s">
        <v>2114</v>
      </c>
      <c r="C59" s="671"/>
      <c r="D59" s="671"/>
      <c r="E59" s="671"/>
      <c r="F59" s="671"/>
      <c r="G59" s="671"/>
    </row>
  </sheetData>
  <printOptions horizontalCentered="1"/>
  <pageMargins left="0.70866141732283472" right="0.70866141732283472" top="0.74803149606299213" bottom="0.74803149606299213" header="0.31496062992125984" footer="0.31496062992125984"/>
  <pageSetup paperSize="9" scale="76" orientation="portrait" r:id="rId1"/>
  <customProperties>
    <customPr name="QAA_DRILLPATH_NODE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1" tint="0.499984740745262"/>
  </sheetPr>
  <dimension ref="A2:I38"/>
  <sheetViews>
    <sheetView view="pageBreakPreview" topLeftCell="A17" zoomScale="85" zoomScaleNormal="100" zoomScaleSheetLayoutView="85" workbookViewId="0">
      <selection activeCell="A33" sqref="A33:G38"/>
    </sheetView>
  </sheetViews>
  <sheetFormatPr baseColWidth="10" defaultColWidth="8" defaultRowHeight="14" x14ac:dyDescent="0.3"/>
  <cols>
    <col min="1" max="1" width="3.08203125" style="625" customWidth="1"/>
    <col min="2" max="2" width="42.58203125" style="625" bestFit="1" customWidth="1"/>
    <col min="3" max="3" width="9.08203125" style="625" customWidth="1"/>
    <col min="4" max="4" width="8" style="625"/>
    <col min="5" max="5" width="9.4140625" style="625" customWidth="1"/>
    <col min="6" max="6" width="10.1640625" style="625" customWidth="1"/>
    <col min="7" max="7" width="48.9140625" style="625" customWidth="1"/>
    <col min="8" max="8" width="8" style="625"/>
    <col min="9" max="9" width="8" style="624"/>
    <col min="10" max="16384" width="8" style="625"/>
  </cols>
  <sheetData>
    <row r="2" spans="1:7" x14ac:dyDescent="0.3">
      <c r="A2" s="676" t="s">
        <v>1924</v>
      </c>
      <c r="B2" s="677"/>
      <c r="C2" s="677"/>
      <c r="D2" s="677"/>
      <c r="E2" s="677"/>
      <c r="F2" s="678"/>
      <c r="G2" s="679"/>
    </row>
    <row r="3" spans="1:7" x14ac:dyDescent="0.3">
      <c r="A3" s="680"/>
      <c r="B3" s="681"/>
      <c r="C3" s="681"/>
      <c r="D3" s="681"/>
      <c r="E3" s="681"/>
      <c r="F3" s="682"/>
      <c r="G3" s="683"/>
    </row>
    <row r="4" spans="1:7" x14ac:dyDescent="0.3">
      <c r="A4" s="626" t="s">
        <v>738</v>
      </c>
      <c r="B4" s="627" t="s">
        <v>1831</v>
      </c>
      <c r="C4" s="626" t="s">
        <v>75</v>
      </c>
      <c r="D4" s="626" t="s">
        <v>78</v>
      </c>
      <c r="E4" s="628" t="s">
        <v>736</v>
      </c>
      <c r="F4" s="684" t="s">
        <v>737</v>
      </c>
      <c r="G4" s="627" t="s">
        <v>1832</v>
      </c>
    </row>
    <row r="5" spans="1:7" x14ac:dyDescent="0.3">
      <c r="A5" s="685">
        <v>1</v>
      </c>
      <c r="B5" s="642" t="s">
        <v>1925</v>
      </c>
      <c r="C5" s="673" t="s">
        <v>480</v>
      </c>
      <c r="D5" s="673">
        <v>1</v>
      </c>
      <c r="E5" s="686"/>
      <c r="F5" s="686"/>
      <c r="G5" s="687"/>
    </row>
    <row r="6" spans="1:7" x14ac:dyDescent="0.3">
      <c r="A6" s="685">
        <v>2</v>
      </c>
      <c r="B6" s="642" t="s">
        <v>1911</v>
      </c>
      <c r="C6" s="673" t="s">
        <v>480</v>
      </c>
      <c r="D6" s="673">
        <v>50</v>
      </c>
      <c r="E6" s="686"/>
      <c r="F6" s="686"/>
      <c r="G6" s="687"/>
    </row>
    <row r="7" spans="1:7" ht="14.5" x14ac:dyDescent="0.3">
      <c r="A7" s="685">
        <v>3</v>
      </c>
      <c r="B7" s="642" t="s">
        <v>1841</v>
      </c>
      <c r="C7" s="688" t="s">
        <v>1926</v>
      </c>
      <c r="D7" s="673">
        <v>1</v>
      </c>
      <c r="E7" s="686"/>
      <c r="F7" s="686"/>
      <c r="G7" s="687" t="s">
        <v>1927</v>
      </c>
    </row>
    <row r="8" spans="1:7" x14ac:dyDescent="0.3">
      <c r="A8" s="685">
        <v>4</v>
      </c>
      <c r="B8" s="642" t="s">
        <v>1844</v>
      </c>
      <c r="C8" s="673" t="s">
        <v>1845</v>
      </c>
      <c r="D8" s="673">
        <v>4</v>
      </c>
      <c r="E8" s="686"/>
      <c r="F8" s="686"/>
      <c r="G8" s="687"/>
    </row>
    <row r="9" spans="1:7" x14ac:dyDescent="0.3">
      <c r="A9" s="685">
        <v>5</v>
      </c>
      <c r="B9" s="642" t="s">
        <v>1912</v>
      </c>
      <c r="C9" s="673" t="s">
        <v>480</v>
      </c>
      <c r="D9" s="673">
        <v>2</v>
      </c>
      <c r="E9" s="686"/>
      <c r="F9" s="686"/>
      <c r="G9" s="687"/>
    </row>
    <row r="10" spans="1:7" x14ac:dyDescent="0.3">
      <c r="A10" s="685">
        <v>6</v>
      </c>
      <c r="B10" s="642" t="s">
        <v>1928</v>
      </c>
      <c r="C10" s="673" t="s">
        <v>480</v>
      </c>
      <c r="D10" s="673">
        <v>2</v>
      </c>
      <c r="E10" s="686"/>
      <c r="F10" s="686"/>
      <c r="G10" s="687"/>
    </row>
    <row r="11" spans="1:7" x14ac:dyDescent="0.3">
      <c r="A11" s="685">
        <v>7</v>
      </c>
      <c r="B11" s="644" t="s">
        <v>1848</v>
      </c>
      <c r="C11" s="632" t="s">
        <v>480</v>
      </c>
      <c r="D11" s="632">
        <v>1</v>
      </c>
      <c r="E11" s="634"/>
      <c r="F11" s="634"/>
      <c r="G11" s="687"/>
    </row>
    <row r="12" spans="1:7" x14ac:dyDescent="0.3">
      <c r="A12" s="685">
        <v>8</v>
      </c>
      <c r="B12" s="644" t="s">
        <v>1849</v>
      </c>
      <c r="C12" s="632" t="s">
        <v>739</v>
      </c>
      <c r="D12" s="632">
        <v>0.5</v>
      </c>
      <c r="E12" s="634"/>
      <c r="F12" s="634"/>
      <c r="G12" s="687"/>
    </row>
    <row r="13" spans="1:7" ht="14.5" x14ac:dyDescent="0.3">
      <c r="A13" s="685">
        <v>9</v>
      </c>
      <c r="B13" s="642" t="s">
        <v>1850</v>
      </c>
      <c r="C13" s="688" t="s">
        <v>1929</v>
      </c>
      <c r="D13" s="673">
        <v>0.5</v>
      </c>
      <c r="E13" s="686"/>
      <c r="F13" s="686"/>
      <c r="G13" s="687"/>
    </row>
    <row r="14" spans="1:7" x14ac:dyDescent="0.3">
      <c r="A14" s="685">
        <v>10</v>
      </c>
      <c r="B14" s="642" t="s">
        <v>1913</v>
      </c>
      <c r="C14" s="673" t="s">
        <v>480</v>
      </c>
      <c r="D14" s="673">
        <v>1</v>
      </c>
      <c r="E14" s="686"/>
      <c r="F14" s="686"/>
      <c r="G14" s="687"/>
    </row>
    <row r="15" spans="1:7" ht="14.5" x14ac:dyDescent="0.3">
      <c r="A15" s="685">
        <v>11</v>
      </c>
      <c r="B15" s="642" t="s">
        <v>1853</v>
      </c>
      <c r="C15" s="688" t="s">
        <v>1929</v>
      </c>
      <c r="D15" s="673">
        <v>0.5</v>
      </c>
      <c r="E15" s="686"/>
      <c r="F15" s="686"/>
      <c r="G15" s="687"/>
    </row>
    <row r="16" spans="1:7" x14ac:dyDescent="0.3">
      <c r="A16" s="685">
        <v>12</v>
      </c>
      <c r="B16" s="642" t="s">
        <v>1915</v>
      </c>
      <c r="C16" s="673" t="s">
        <v>480</v>
      </c>
      <c r="D16" s="673">
        <v>2</v>
      </c>
      <c r="E16" s="686"/>
      <c r="F16" s="686"/>
      <c r="G16" s="687"/>
    </row>
    <row r="17" spans="1:9" s="689" customFormat="1" x14ac:dyDescent="0.3">
      <c r="A17" s="685">
        <v>13</v>
      </c>
      <c r="B17" s="642" t="s">
        <v>1930</v>
      </c>
      <c r="C17" s="673" t="s">
        <v>480</v>
      </c>
      <c r="D17" s="673">
        <v>0.5</v>
      </c>
      <c r="E17" s="686"/>
      <c r="F17" s="686"/>
      <c r="G17" s="644" t="s">
        <v>1931</v>
      </c>
      <c r="I17" s="624"/>
    </row>
    <row r="18" spans="1:9" s="689" customFormat="1" x14ac:dyDescent="0.3">
      <c r="A18" s="685">
        <v>14</v>
      </c>
      <c r="B18" s="642" t="s">
        <v>1932</v>
      </c>
      <c r="C18" s="673" t="s">
        <v>480</v>
      </c>
      <c r="D18" s="673">
        <v>0.5</v>
      </c>
      <c r="E18" s="686"/>
      <c r="F18" s="686"/>
      <c r="G18" s="644" t="s">
        <v>1933</v>
      </c>
      <c r="I18" s="624"/>
    </row>
    <row r="19" spans="1:9" s="689" customFormat="1" x14ac:dyDescent="0.3">
      <c r="A19" s="685">
        <v>15</v>
      </c>
      <c r="B19" s="642" t="s">
        <v>1934</v>
      </c>
      <c r="C19" s="673" t="s">
        <v>428</v>
      </c>
      <c r="D19" s="673">
        <v>1</v>
      </c>
      <c r="E19" s="686"/>
      <c r="F19" s="686"/>
      <c r="G19" s="687" t="s">
        <v>2101</v>
      </c>
      <c r="I19" s="624"/>
    </row>
    <row r="20" spans="1:9" s="689" customFormat="1" x14ac:dyDescent="0.3">
      <c r="A20" s="685">
        <v>16</v>
      </c>
      <c r="B20" s="642" t="s">
        <v>1916</v>
      </c>
      <c r="C20" s="673" t="s">
        <v>480</v>
      </c>
      <c r="D20" s="673">
        <v>1</v>
      </c>
      <c r="E20" s="686"/>
      <c r="F20" s="686"/>
      <c r="G20" s="687"/>
      <c r="I20" s="624"/>
    </row>
    <row r="21" spans="1:9" s="689" customFormat="1" x14ac:dyDescent="0.3">
      <c r="A21" s="685">
        <v>17</v>
      </c>
      <c r="B21" s="642" t="s">
        <v>1935</v>
      </c>
      <c r="C21" s="673" t="s">
        <v>480</v>
      </c>
      <c r="D21" s="673">
        <v>1</v>
      </c>
      <c r="E21" s="686"/>
      <c r="F21" s="686"/>
      <c r="G21" s="687"/>
      <c r="I21" s="624"/>
    </row>
    <row r="22" spans="1:9" s="689" customFormat="1" x14ac:dyDescent="0.3">
      <c r="A22" s="685">
        <v>18</v>
      </c>
      <c r="B22" s="642" t="s">
        <v>1917</v>
      </c>
      <c r="C22" s="673" t="s">
        <v>480</v>
      </c>
      <c r="D22" s="673">
        <v>1</v>
      </c>
      <c r="E22" s="686"/>
      <c r="F22" s="686"/>
      <c r="G22" s="687"/>
      <c r="I22" s="624"/>
    </row>
    <row r="23" spans="1:9" s="689" customFormat="1" ht="14.5" x14ac:dyDescent="0.3">
      <c r="A23" s="685">
        <v>19</v>
      </c>
      <c r="B23" s="642" t="s">
        <v>1856</v>
      </c>
      <c r="C23" s="688" t="s">
        <v>1929</v>
      </c>
      <c r="D23" s="673">
        <v>1</v>
      </c>
      <c r="E23" s="686"/>
      <c r="F23" s="686"/>
      <c r="G23" s="687"/>
      <c r="I23" s="624"/>
    </row>
    <row r="24" spans="1:9" s="689" customFormat="1" x14ac:dyDescent="0.3">
      <c r="A24" s="685">
        <v>20</v>
      </c>
      <c r="B24" s="642" t="s">
        <v>1936</v>
      </c>
      <c r="C24" s="673" t="s">
        <v>480</v>
      </c>
      <c r="D24" s="673">
        <v>1</v>
      </c>
      <c r="E24" s="686"/>
      <c r="F24" s="686"/>
      <c r="G24" s="687"/>
      <c r="I24" s="624"/>
    </row>
    <row r="25" spans="1:9" s="689" customFormat="1" x14ac:dyDescent="0.3">
      <c r="A25" s="685">
        <v>21</v>
      </c>
      <c r="B25" s="642" t="s">
        <v>1919</v>
      </c>
      <c r="C25" s="673" t="s">
        <v>480</v>
      </c>
      <c r="D25" s="673">
        <v>1</v>
      </c>
      <c r="E25" s="686"/>
      <c r="F25" s="686"/>
      <c r="G25" s="687"/>
      <c r="I25" s="624"/>
    </row>
    <row r="26" spans="1:9" s="689" customFormat="1" x14ac:dyDescent="0.3">
      <c r="A26" s="685">
        <v>22</v>
      </c>
      <c r="B26" s="642" t="s">
        <v>1920</v>
      </c>
      <c r="C26" s="673" t="s">
        <v>480</v>
      </c>
      <c r="D26" s="673">
        <v>0.5</v>
      </c>
      <c r="E26" s="686"/>
      <c r="F26" s="686"/>
      <c r="G26" s="687"/>
      <c r="I26" s="624"/>
    </row>
    <row r="27" spans="1:9" s="689" customFormat="1" x14ac:dyDescent="0.3">
      <c r="A27" s="685">
        <v>23</v>
      </c>
      <c r="B27" s="642" t="s">
        <v>1897</v>
      </c>
      <c r="C27" s="673" t="s">
        <v>480</v>
      </c>
      <c r="D27" s="673">
        <v>10</v>
      </c>
      <c r="E27" s="686"/>
      <c r="F27" s="686"/>
      <c r="G27" s="690" t="s">
        <v>1937</v>
      </c>
      <c r="I27" s="624"/>
    </row>
    <row r="28" spans="1:9" s="689" customFormat="1" x14ac:dyDescent="0.3">
      <c r="A28" s="685">
        <v>25</v>
      </c>
      <c r="B28" s="642" t="s">
        <v>1938</v>
      </c>
      <c r="C28" s="673" t="s">
        <v>480</v>
      </c>
      <c r="D28" s="673">
        <v>1</v>
      </c>
      <c r="E28" s="686"/>
      <c r="F28" s="686"/>
      <c r="G28" s="687"/>
      <c r="I28" s="624"/>
    </row>
    <row r="29" spans="1:9" x14ac:dyDescent="0.3">
      <c r="A29" s="685">
        <v>26</v>
      </c>
      <c r="B29" s="642" t="s">
        <v>1922</v>
      </c>
      <c r="C29" s="673" t="s">
        <v>480</v>
      </c>
      <c r="D29" s="673">
        <v>1</v>
      </c>
      <c r="E29" s="686"/>
      <c r="F29" s="686"/>
      <c r="G29" s="687"/>
    </row>
    <row r="30" spans="1:9" x14ac:dyDescent="0.3">
      <c r="A30" s="629" t="s">
        <v>1939</v>
      </c>
      <c r="B30" s="630"/>
      <c r="C30" s="636"/>
      <c r="D30" s="691"/>
      <c r="E30" s="638"/>
      <c r="F30" s="628">
        <f>SUM(F5:F29)</f>
        <v>0</v>
      </c>
      <c r="G30" s="627"/>
    </row>
    <row r="31" spans="1:9" x14ac:dyDescent="0.3">
      <c r="A31" s="625">
        <v>27</v>
      </c>
      <c r="B31" s="647" t="s">
        <v>1940</v>
      </c>
      <c r="C31" s="692"/>
      <c r="D31" s="692"/>
      <c r="E31" s="693"/>
      <c r="F31" s="634">
        <f>PRODUCT(F30,0.3)</f>
        <v>0</v>
      </c>
      <c r="G31" s="694"/>
    </row>
    <row r="32" spans="1:9" x14ac:dyDescent="0.3">
      <c r="A32" s="629" t="s">
        <v>1923</v>
      </c>
      <c r="B32" s="630"/>
      <c r="C32" s="636"/>
      <c r="D32" s="691"/>
      <c r="E32" s="638"/>
      <c r="F32" s="628">
        <f>SUM(F30:F31)</f>
        <v>0</v>
      </c>
      <c r="G32" s="627"/>
    </row>
    <row r="33" spans="1:7" x14ac:dyDescent="0.3">
      <c r="A33" s="671"/>
      <c r="B33" s="671"/>
      <c r="C33" s="671"/>
      <c r="D33" s="671"/>
      <c r="E33" s="671"/>
      <c r="F33" s="671"/>
      <c r="G33" s="671"/>
    </row>
    <row r="34" spans="1:7" x14ac:dyDescent="0.3">
      <c r="A34" s="671"/>
      <c r="B34" s="671" t="s">
        <v>2112</v>
      </c>
      <c r="C34" s="671"/>
      <c r="D34" s="671"/>
      <c r="E34" s="671"/>
      <c r="F34" s="671"/>
      <c r="G34" s="671"/>
    </row>
    <row r="35" spans="1:7" x14ac:dyDescent="0.3">
      <c r="A35" s="671"/>
      <c r="B35" s="671"/>
      <c r="C35" s="671"/>
      <c r="D35" s="671"/>
      <c r="E35" s="671"/>
      <c r="F35" s="671"/>
      <c r="G35" s="671"/>
    </row>
    <row r="36" spans="1:7" x14ac:dyDescent="0.3">
      <c r="A36" s="671"/>
      <c r="B36" s="671" t="s">
        <v>2113</v>
      </c>
      <c r="C36" s="671"/>
      <c r="D36" s="671"/>
      <c r="E36" s="671"/>
      <c r="F36" s="671"/>
      <c r="G36" s="671"/>
    </row>
    <row r="37" spans="1:7" x14ac:dyDescent="0.3">
      <c r="A37" s="671"/>
      <c r="B37" s="671"/>
      <c r="C37" s="671"/>
      <c r="D37" s="671"/>
      <c r="E37" s="671"/>
      <c r="F37" s="671"/>
      <c r="G37" s="671"/>
    </row>
    <row r="38" spans="1:7" x14ac:dyDescent="0.3">
      <c r="A38" s="671"/>
      <c r="B38" s="671" t="s">
        <v>2114</v>
      </c>
      <c r="C38" s="671"/>
      <c r="D38" s="671"/>
      <c r="E38" s="671"/>
      <c r="F38" s="671"/>
      <c r="G38" s="671"/>
    </row>
  </sheetData>
  <printOptions horizontalCentered="1"/>
  <pageMargins left="0.70866141732283472" right="0.70866141732283472" top="0.74803149606299213" bottom="0.74803149606299213" header="0.31496062992125984" footer="0.31496062992125984"/>
  <pageSetup paperSize="9" scale="59" orientation="portrait" r:id="rId1"/>
  <customProperties>
    <customPr name="QAA_DRILLPATH_NODE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1" tint="0.499984740745262"/>
  </sheetPr>
  <dimension ref="A2:G39"/>
  <sheetViews>
    <sheetView view="pageBreakPreview" topLeftCell="A26" zoomScale="115" zoomScaleNormal="100" zoomScaleSheetLayoutView="115" workbookViewId="0">
      <selection activeCell="D37" sqref="D37"/>
    </sheetView>
  </sheetViews>
  <sheetFormatPr baseColWidth="10" defaultColWidth="8" defaultRowHeight="14" x14ac:dyDescent="0.3"/>
  <cols>
    <col min="1" max="1" width="3.08203125" style="625" customWidth="1"/>
    <col min="2" max="2" width="31" style="625" bestFit="1" customWidth="1"/>
    <col min="3" max="3" width="7.08203125" style="625" bestFit="1" customWidth="1"/>
    <col min="4" max="4" width="8.08203125" style="625" bestFit="1" customWidth="1"/>
    <col min="5" max="5" width="9" style="625" bestFit="1" customWidth="1"/>
    <col min="6" max="6" width="11" style="625" bestFit="1" customWidth="1"/>
    <col min="7" max="7" width="44.5" style="625" bestFit="1" customWidth="1"/>
    <col min="8" max="16384" width="8" style="625"/>
  </cols>
  <sheetData>
    <row r="2" spans="1:7" x14ac:dyDescent="0.3">
      <c r="A2" s="661" t="s">
        <v>479</v>
      </c>
      <c r="B2" s="622"/>
      <c r="C2" s="622"/>
      <c r="D2" s="622"/>
      <c r="E2" s="622"/>
      <c r="F2" s="661"/>
      <c r="G2" s="623"/>
    </row>
    <row r="3" spans="1:7" x14ac:dyDescent="0.3">
      <c r="A3" s="680"/>
      <c r="B3" s="681"/>
      <c r="C3" s="681"/>
      <c r="D3" s="681"/>
      <c r="E3" s="681"/>
      <c r="F3" s="682"/>
      <c r="G3" s="683"/>
    </row>
    <row r="4" spans="1:7" x14ac:dyDescent="0.3">
      <c r="A4" s="626" t="s">
        <v>738</v>
      </c>
      <c r="B4" s="627" t="s">
        <v>1831</v>
      </c>
      <c r="C4" s="626" t="s">
        <v>75</v>
      </c>
      <c r="D4" s="626" t="s">
        <v>78</v>
      </c>
      <c r="E4" s="626" t="s">
        <v>736</v>
      </c>
      <c r="F4" s="628" t="s">
        <v>737</v>
      </c>
      <c r="G4" s="627" t="s">
        <v>1832</v>
      </c>
    </row>
    <row r="5" spans="1:7" x14ac:dyDescent="0.3">
      <c r="A5" s="629" t="s">
        <v>1954</v>
      </c>
      <c r="B5" s="630"/>
      <c r="C5" s="637"/>
      <c r="D5" s="637"/>
      <c r="E5" s="640"/>
      <c r="F5" s="640"/>
      <c r="G5" s="631"/>
    </row>
    <row r="6" spans="1:7" x14ac:dyDescent="0.3">
      <c r="A6" s="632">
        <v>1</v>
      </c>
      <c r="B6" s="644" t="s">
        <v>1955</v>
      </c>
      <c r="C6" s="632" t="s">
        <v>428</v>
      </c>
      <c r="D6" s="697">
        <v>2</v>
      </c>
      <c r="E6" s="662"/>
      <c r="F6" s="634"/>
      <c r="G6" s="687"/>
    </row>
    <row r="7" spans="1:7" x14ac:dyDescent="0.3">
      <c r="A7" s="632">
        <v>2</v>
      </c>
      <c r="B7" s="644" t="s">
        <v>1913</v>
      </c>
      <c r="C7" s="632" t="s">
        <v>480</v>
      </c>
      <c r="D7" s="697">
        <v>6</v>
      </c>
      <c r="E7" s="662"/>
      <c r="F7" s="634"/>
      <c r="G7" s="687"/>
    </row>
    <row r="8" spans="1:7" x14ac:dyDescent="0.3">
      <c r="A8" s="632">
        <v>3</v>
      </c>
      <c r="B8" s="644" t="s">
        <v>1956</v>
      </c>
      <c r="C8" s="632" t="s">
        <v>480</v>
      </c>
      <c r="D8" s="697">
        <v>7</v>
      </c>
      <c r="E8" s="662"/>
      <c r="F8" s="634"/>
      <c r="G8" s="687"/>
    </row>
    <row r="9" spans="1:7" x14ac:dyDescent="0.3">
      <c r="A9" s="632">
        <v>4</v>
      </c>
      <c r="B9" s="644" t="s">
        <v>1957</v>
      </c>
      <c r="C9" s="632" t="s">
        <v>480</v>
      </c>
      <c r="D9" s="697">
        <v>1</v>
      </c>
      <c r="E9" s="662"/>
      <c r="F9" s="634"/>
      <c r="G9" s="687"/>
    </row>
    <row r="10" spans="1:7" x14ac:dyDescent="0.3">
      <c r="A10" s="632">
        <v>5</v>
      </c>
      <c r="B10" s="644" t="s">
        <v>1958</v>
      </c>
      <c r="C10" s="632" t="s">
        <v>480</v>
      </c>
      <c r="D10" s="697">
        <v>3</v>
      </c>
      <c r="E10" s="662"/>
      <c r="F10" s="634"/>
      <c r="G10" s="687"/>
    </row>
    <row r="11" spans="1:7" x14ac:dyDescent="0.3">
      <c r="A11" s="632">
        <v>6</v>
      </c>
      <c r="B11" s="644" t="s">
        <v>1959</v>
      </c>
      <c r="C11" s="632" t="s">
        <v>480</v>
      </c>
      <c r="D11" s="697">
        <v>2</v>
      </c>
      <c r="E11" s="662"/>
      <c r="F11" s="634"/>
      <c r="G11" s="687"/>
    </row>
    <row r="12" spans="1:7" x14ac:dyDescent="0.3">
      <c r="A12" s="632">
        <v>7</v>
      </c>
      <c r="B12" s="644" t="s">
        <v>1918</v>
      </c>
      <c r="C12" s="632" t="s">
        <v>480</v>
      </c>
      <c r="D12" s="697">
        <v>2</v>
      </c>
      <c r="E12" s="662"/>
      <c r="F12" s="634"/>
      <c r="G12" s="687"/>
    </row>
    <row r="13" spans="1:7" x14ac:dyDescent="0.3">
      <c r="A13" s="632">
        <v>8</v>
      </c>
      <c r="B13" s="644" t="s">
        <v>1960</v>
      </c>
      <c r="C13" s="632" t="s">
        <v>428</v>
      </c>
      <c r="D13" s="697">
        <v>1</v>
      </c>
      <c r="E13" s="662"/>
      <c r="F13" s="634"/>
      <c r="G13" s="687" t="s">
        <v>1961</v>
      </c>
    </row>
    <row r="14" spans="1:7" x14ac:dyDescent="0.3">
      <c r="A14" s="632">
        <v>9</v>
      </c>
      <c r="B14" s="644" t="s">
        <v>1962</v>
      </c>
      <c r="C14" s="632" t="s">
        <v>480</v>
      </c>
      <c r="D14" s="697">
        <v>1</v>
      </c>
      <c r="E14" s="662"/>
      <c r="F14" s="634"/>
      <c r="G14" s="687"/>
    </row>
    <row r="15" spans="1:7" x14ac:dyDescent="0.3">
      <c r="A15" s="632">
        <v>10</v>
      </c>
      <c r="B15" s="644" t="s">
        <v>1919</v>
      </c>
      <c r="C15" s="632" t="s">
        <v>480</v>
      </c>
      <c r="D15" s="697">
        <v>10</v>
      </c>
      <c r="E15" s="662"/>
      <c r="F15" s="634"/>
      <c r="G15" s="687"/>
    </row>
    <row r="16" spans="1:7" x14ac:dyDescent="0.3">
      <c r="A16" s="632">
        <v>11</v>
      </c>
      <c r="B16" s="644" t="s">
        <v>1950</v>
      </c>
      <c r="C16" s="632" t="s">
        <v>480</v>
      </c>
      <c r="D16" s="697">
        <v>6</v>
      </c>
      <c r="E16" s="662"/>
      <c r="F16" s="634"/>
      <c r="G16" s="687" t="s">
        <v>1949</v>
      </c>
    </row>
    <row r="17" spans="1:7" s="689" customFormat="1" x14ac:dyDescent="0.3">
      <c r="A17" s="632">
        <v>12</v>
      </c>
      <c r="B17" s="644" t="s">
        <v>1922</v>
      </c>
      <c r="C17" s="632" t="s">
        <v>480</v>
      </c>
      <c r="D17" s="697">
        <v>1</v>
      </c>
      <c r="E17" s="662"/>
      <c r="F17" s="634"/>
      <c r="G17" s="687"/>
    </row>
    <row r="18" spans="1:7" s="689" customFormat="1" x14ac:dyDescent="0.3">
      <c r="A18" s="632">
        <v>13</v>
      </c>
      <c r="B18" s="644" t="s">
        <v>1963</v>
      </c>
      <c r="C18" s="632" t="s">
        <v>480</v>
      </c>
      <c r="D18" s="697">
        <v>2</v>
      </c>
      <c r="E18" s="662"/>
      <c r="F18" s="634"/>
      <c r="G18" s="687"/>
    </row>
    <row r="19" spans="1:7" x14ac:dyDescent="0.3">
      <c r="A19" s="663" t="s">
        <v>1864</v>
      </c>
      <c r="B19" s="637"/>
      <c r="C19" s="636"/>
      <c r="D19" s="638"/>
      <c r="E19" s="698"/>
      <c r="F19" s="628">
        <f>SUM(F6:F18)</f>
        <v>0</v>
      </c>
      <c r="G19" s="636"/>
    </row>
    <row r="20" spans="1:7" x14ac:dyDescent="0.3">
      <c r="A20" s="630" t="s">
        <v>1964</v>
      </c>
      <c r="B20" s="637"/>
      <c r="C20" s="637"/>
      <c r="D20" s="640"/>
      <c r="E20" s="640"/>
      <c r="F20" s="631"/>
      <c r="G20" s="630"/>
    </row>
    <row r="21" spans="1:7" x14ac:dyDescent="0.3">
      <c r="A21" s="699">
        <v>1</v>
      </c>
      <c r="B21" s="700" t="s">
        <v>1948</v>
      </c>
      <c r="C21" s="701" t="s">
        <v>106</v>
      </c>
      <c r="D21" s="702">
        <v>3</v>
      </c>
      <c r="E21" s="703"/>
      <c r="F21" s="704"/>
      <c r="G21" s="705"/>
    </row>
    <row r="22" spans="1:7" x14ac:dyDescent="0.3">
      <c r="A22" s="699">
        <v>2</v>
      </c>
      <c r="B22" s="706" t="s">
        <v>1965</v>
      </c>
      <c r="C22" s="701" t="s">
        <v>480</v>
      </c>
      <c r="D22" s="702">
        <v>3</v>
      </c>
      <c r="E22" s="703"/>
      <c r="F22" s="704"/>
      <c r="G22" s="707"/>
    </row>
    <row r="23" spans="1:7" x14ac:dyDescent="0.3">
      <c r="A23" s="699">
        <v>3</v>
      </c>
      <c r="B23" s="708" t="s">
        <v>1966</v>
      </c>
      <c r="C23" s="709" t="s">
        <v>428</v>
      </c>
      <c r="D23" s="709">
        <v>3</v>
      </c>
      <c r="E23" s="703"/>
      <c r="F23" s="704"/>
      <c r="G23" s="710" t="s">
        <v>1967</v>
      </c>
    </row>
    <row r="24" spans="1:7" x14ac:dyDescent="0.3">
      <c r="A24" s="699">
        <v>4</v>
      </c>
      <c r="B24" s="700" t="s">
        <v>1916</v>
      </c>
      <c r="C24" s="701" t="s">
        <v>480</v>
      </c>
      <c r="D24" s="702">
        <v>3</v>
      </c>
      <c r="E24" s="703"/>
      <c r="F24" s="704"/>
      <c r="G24" s="705"/>
    </row>
    <row r="25" spans="1:7" x14ac:dyDescent="0.3">
      <c r="A25" s="699">
        <v>5</v>
      </c>
      <c r="B25" s="711" t="s">
        <v>1968</v>
      </c>
      <c r="C25" s="701" t="s">
        <v>480</v>
      </c>
      <c r="D25" s="712">
        <v>3</v>
      </c>
      <c r="E25" s="713"/>
      <c r="F25" s="704"/>
      <c r="G25" s="705"/>
    </row>
    <row r="26" spans="1:7" x14ac:dyDescent="0.3">
      <c r="A26" s="699">
        <v>6</v>
      </c>
      <c r="B26" s="700" t="s">
        <v>1919</v>
      </c>
      <c r="C26" s="709" t="s">
        <v>480</v>
      </c>
      <c r="D26" s="709">
        <v>3</v>
      </c>
      <c r="E26" s="714"/>
      <c r="F26" s="704"/>
      <c r="G26" s="707"/>
    </row>
    <row r="27" spans="1:7" x14ac:dyDescent="0.3">
      <c r="A27" s="699">
        <v>7</v>
      </c>
      <c r="B27" s="700" t="s">
        <v>1920</v>
      </c>
      <c r="C27" s="701" t="s">
        <v>480</v>
      </c>
      <c r="D27" s="702">
        <v>6</v>
      </c>
      <c r="E27" s="703"/>
      <c r="F27" s="704"/>
      <c r="G27" s="705"/>
    </row>
    <row r="28" spans="1:7" x14ac:dyDescent="0.3">
      <c r="A28" s="699">
        <v>8</v>
      </c>
      <c r="B28" s="700" t="s">
        <v>1938</v>
      </c>
      <c r="C28" s="709" t="s">
        <v>480</v>
      </c>
      <c r="D28" s="709">
        <v>6</v>
      </c>
      <c r="E28" s="714"/>
      <c r="F28" s="714"/>
      <c r="G28" s="715"/>
    </row>
    <row r="29" spans="1:7" x14ac:dyDescent="0.3">
      <c r="A29" s="699">
        <v>9</v>
      </c>
      <c r="B29" s="711" t="s">
        <v>1922</v>
      </c>
      <c r="C29" s="701" t="s">
        <v>480</v>
      </c>
      <c r="D29" s="712">
        <v>3</v>
      </c>
      <c r="E29" s="713"/>
      <c r="F29" s="704"/>
      <c r="G29" s="716"/>
    </row>
    <row r="30" spans="1:7" x14ac:dyDescent="0.3">
      <c r="A30" s="663" t="s">
        <v>1864</v>
      </c>
      <c r="B30" s="637"/>
      <c r="C30" s="636"/>
      <c r="D30" s="638"/>
      <c r="E30" s="698"/>
      <c r="F30" s="628">
        <f>SUM(F21:F29)</f>
        <v>0</v>
      </c>
      <c r="G30" s="636"/>
    </row>
    <row r="31" spans="1:7" x14ac:dyDescent="0.3">
      <c r="A31" s="663" t="s">
        <v>1859</v>
      </c>
      <c r="B31" s="637"/>
      <c r="C31" s="636"/>
      <c r="D31" s="638"/>
      <c r="E31" s="698"/>
      <c r="F31" s="628">
        <f>SUM(F19,F30)</f>
        <v>0</v>
      </c>
      <c r="G31" s="636"/>
    </row>
    <row r="32" spans="1:7" x14ac:dyDescent="0.3">
      <c r="A32" s="670">
        <v>1</v>
      </c>
      <c r="B32" s="696" t="s">
        <v>1860</v>
      </c>
      <c r="C32" s="675"/>
      <c r="D32" s="675"/>
      <c r="E32" s="717"/>
      <c r="F32" s="714">
        <f>PRODUCT(F31,0.3)</f>
        <v>0</v>
      </c>
      <c r="G32" s="671"/>
    </row>
    <row r="33" spans="1:7" x14ac:dyDescent="0.3">
      <c r="A33" s="663" t="s">
        <v>1923</v>
      </c>
      <c r="B33" s="637"/>
      <c r="C33" s="636"/>
      <c r="D33" s="638"/>
      <c r="E33" s="698"/>
      <c r="F33" s="628">
        <f>SUM(F31:F32)</f>
        <v>0</v>
      </c>
      <c r="G33" s="636"/>
    </row>
    <row r="34" spans="1:7" x14ac:dyDescent="0.3">
      <c r="A34" s="671"/>
      <c r="B34" s="671"/>
      <c r="C34" s="671"/>
      <c r="D34" s="671"/>
      <c r="E34" s="671"/>
      <c r="F34" s="671"/>
      <c r="G34" s="671"/>
    </row>
    <row r="35" spans="1:7" x14ac:dyDescent="0.3">
      <c r="A35" s="671"/>
      <c r="B35" s="671" t="s">
        <v>2112</v>
      </c>
      <c r="C35" s="671"/>
      <c r="D35" s="671"/>
      <c r="E35" s="671"/>
      <c r="F35" s="671"/>
      <c r="G35" s="671"/>
    </row>
    <row r="36" spans="1:7" x14ac:dyDescent="0.3">
      <c r="A36" s="671"/>
      <c r="B36" s="671"/>
      <c r="C36" s="671"/>
      <c r="D36" s="671"/>
      <c r="E36" s="671"/>
      <c r="F36" s="671"/>
      <c r="G36" s="671"/>
    </row>
    <row r="37" spans="1:7" x14ac:dyDescent="0.3">
      <c r="A37" s="671"/>
      <c r="B37" s="671" t="s">
        <v>2113</v>
      </c>
      <c r="C37" s="671"/>
      <c r="D37" s="671"/>
      <c r="E37" s="671"/>
      <c r="F37" s="671"/>
      <c r="G37" s="671"/>
    </row>
    <row r="38" spans="1:7" x14ac:dyDescent="0.3">
      <c r="A38" s="671"/>
      <c r="B38" s="671"/>
      <c r="C38" s="671"/>
      <c r="D38" s="671"/>
      <c r="E38" s="671"/>
      <c r="F38" s="671"/>
      <c r="G38" s="671"/>
    </row>
    <row r="39" spans="1:7" x14ac:dyDescent="0.3">
      <c r="A39" s="671"/>
      <c r="B39" s="671" t="s">
        <v>2114</v>
      </c>
      <c r="C39" s="671"/>
      <c r="D39" s="671"/>
      <c r="E39" s="671"/>
      <c r="F39" s="671"/>
      <c r="G39" s="671"/>
    </row>
  </sheetData>
  <printOptions horizontalCentered="1"/>
  <pageMargins left="0.70866141732283472" right="0.70866141732283472" top="0.74803149606299213" bottom="0.74803149606299213" header="0.31496062992125984" footer="0.31496062992125984"/>
  <pageSetup paperSize="9" scale="70" orientation="portrait" r:id="rId1"/>
  <customProperties>
    <customPr name="QAA_DRILLPATH_NODE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WorkbookDrillPathInfo xmlns:xsd="http://www.w3.org/2001/XMLSchema" xmlns:xsi="http://www.w3.org/2001/XMLSchema-instance" xmlns="http://www.infor.com/qaa/DrillPath">
  <CurrentDrillPath>
    <DrillPathNode AnalysisType="NONE" Id="c8d3244b-8dbb-49f5-8114-5f21b7343648" Name="WorkPlan&amp;Budget" HandleSummaryReportOnly="false" Source="">
      <SuppressZero>false</SuppressZero>
      <Children/>
    </DrillPathNode>
    <DrillPathNode AnalysisType="NONE" Id="e2fb4b9c-1cee-4897-b2ae-6fb674a52292" Name="ResultsFramework WALIKALE JL" HandleSummaryReportOnly="false" Source="">
      <SuppressZero>false</SuppressZero>
      <Children/>
    </DrillPathNode>
    <DrillPathNode AnalysisType="NONE" Id="03e844aa-d0f2-486a-b4ec-8ffedf051abf" Name="ICE Budget detaillé Impression" HandleSummaryReportOnly="false">
      <SuppressZero>false</SuppressZero>
      <Children/>
    </DrillPathNode>
    <DrillPathNode AnalysisType="NONE" Id="09dc72f4-3fa2-4192-9c82-1ef630306d03" Name="Kit SDE" HandleSummaryReportOnly="false">
      <SuppressZero>false</SuppressZero>
      <Children/>
    </DrillPathNode>
    <DrillPathNode AnalysisType="NONE" Id="1aa4180a-7eef-43df-b154-bd49e054d8e6" Name="intrants Kit PCIME" HandleSummaryReportOnly="false">
      <SuppressZero>false</SuppressZero>
      <Children/>
    </DrillPathNode>
    <DrillPathNode AnalysisType="NONE" Id="f8a0d6c1-4195-4c48-9fcb-42667197a53e" Name="Cible Nutrition" HandleSummaryReportOnly="false">
      <SuppressZero>false</SuppressZero>
      <Children/>
    </DrillPathNode>
    <DrillPathNode AnalysisType="NONE" Id="fc21df19-c523-40c9-9ec9-7c4e2ceb831b" Name="Outils PCIMA" HandleSummaryReportOnly="false">
      <SuppressZero>false</SuppressZero>
      <Children/>
    </DrillPathNode>
    <DrillPathNode AnalysisType="NONE" Id="bfef0c6f-1442-4aa8-9f7f-ba99cf725d1b" Name="Materiel demonstration culinaie" HandleSummaryReportOnly="false">
      <SuppressZero>false</SuppressZero>
      <Children/>
    </DrillPathNode>
    <DrillPathNode AnalysisType="NONE" Id="cf02a2a6-6f2e-4b58-be0b-fdb95489228a" Name="ingredient demon culinaire" HandleSummaryReportOnly="false">
      <SuppressZero>false</SuppressZero>
      <Children/>
    </DrillPathNode>
    <DrillPathNode AnalysisType="NONE" Id="1aa73b83-cd7a-48fd-9558-b20071572c2f" Name="Medicament UNTI WKL" HandleSummaryReportOnly="false">
      <SuppressZero>false</SuppressZero>
      <Children/>
    </DrillPathNode>
    <DrillPathNode AnalysisType="NONE" Id="e75a10ff-ef66-4fac-964f-622e4f3f02f9" Name="Aliment therapeutique" HandleSummaryReportOnly="false">
      <SuppressZero>false</SuppressZero>
      <Children/>
    </DrillPathNode>
    <DrillPathNode AnalysisType="NONE" Id="64847f7c-c8d7-4602-9bdc-7762f44bd0a7" Name="Materiel anthropometrique" HandleSummaryReportOnly="false">
      <SuppressZero>false</SuppressZero>
      <Children/>
    </DrillPathNode>
    <DrillPathNode AnalysisType="NONE" Id="b23d6075-69be-41ff-a6a1-7119ff8e9efe" Name="A1_Aménagement d'une source sim" HandleSummaryReportOnly="false" Source="">
      <SuppressZero>false</SuppressZero>
      <Children/>
    </DrillPathNode>
    <DrillPathNode AnalysisType="NONE" Id="64750423-0ffa-462d-9221-37cc6d70d642" Name="A2_Forage mécanique équipé de p" HandleSummaryReportOnly="false" Source="">
      <SuppressZero>false</SuppressZero>
      <Children/>
    </DrillPathNode>
    <DrillPathNode AnalysisType="NONE" Id="f8f06856-6d0b-45d7-bf64-e9d6da4bb201" Name="A3_Captage d'eau de pluie" HandleSummaryReportOnly="false" Source="">
      <SuppressZero>false</SuppressZero>
      <Children/>
    </DrillPathNode>
    <DrillPathNode AnalysisType="NONE" Id="edf55811-efe7-4a3e-8984-b3fc0be76e7a" Name="A4_Point de lavage des mains " HandleSummaryReportOnly="false" Source="">
      <SuppressZero>false</SuppressZero>
      <Children/>
    </DrillPathNode>
    <DrillPathNode AnalysisType="NONE" Id="f94e03a0-5e2e-4a17-b009-ac6dd774c5f1" Name="A5_Adduction de Nyabangi" HandleSummaryReportOnly="false" Source="">
      <SuppressZero>false</SuppressZero>
      <Children/>
    </DrillPathNode>
    <DrillPathNode AnalysisType="NONE" Id="4a4edae8-372a-4405-a2f6-8e107a8a344e" Name="A6_Réhabilitation des adduction" HandleSummaryReportOnly="false" Source="">
      <SuppressZero>false</SuppressZero>
      <Children/>
    </DrillPathNode>
    <DrillPathNode AnalysisType="NONE" Id="70801af5-38c0-462e-a58b-1897a9dbd7ee" Name="A7_Raccordement en eau  établ  " HandleSummaryReportOnly="false" Source="">
      <SuppressZero>false</SuppressZero>
      <Children/>
    </DrillPathNode>
    <DrillPathNode AnalysisType="NONE" Id="beca28f9-e68e-4c55-a303-86d1e0382f8c" Name="A8_Bac à lessive avec deux robi" HandleSummaryReportOnly="false" Source="">
      <SuppressZero>false</SuppressZero>
      <Children/>
    </DrillPathNode>
    <DrillPathNode AnalysisType="NONE" Id="16de9084-cf55-4860-8dcc-83783b4d5ae1" Name="A9_Douche" HandleSummaryReportOnly="false" Source="">
      <SuppressZero>false</SuppressZero>
      <Children/>
    </DrillPathNode>
    <DrillPathNode AnalysisType="NONE" Id="f1ca5cf5-c587-404f-9275-e7233f29745a" Name="A10_Latrine VIP à fosse altern " HandleSummaryReportOnly="false" Source="">
      <SuppressZero>false</SuppressZero>
      <Children/>
    </DrillPathNode>
    <DrillPathNode AnalysisType="NONE" Id="d9dd93d4-0edd-4512-ac6f-3e89282082d0" Name="A11_Latrine VIP à fosse alte F" HandleSummaryReportOnly="false" Source="">
      <SuppressZero>false</SuppressZero>
      <Children/>
    </DrillPathNode>
    <DrillPathNode AnalysisType="NONE" Id="204aeb88-48cd-41db-be03-864692a10cdf" Name="A12_Rehab des infrast" HandleSummaryReportOnly="false" Source="">
      <SuppressZero>false</SuppressZero>
      <Children/>
    </DrillPathNode>
    <DrillPathNode AnalysisType="NONE" Id="c1e2c63f-f338-4ed0-8d84-e4947285cfdb" Name="A13_Incinérateur De Monfort " HandleSummaryReportOnly="false" Source="">
      <SuppressZero>false</SuppressZero>
      <Children/>
    </DrillPathNode>
    <DrillPathNode AnalysisType="NONE" Id="27be16e1-3639-4d0e-b613-3f34e241223a" Name="A14_Fosse à cendre" HandleSummaryReportOnly="false" Source="">
      <SuppressZero>false</SuppressZero>
      <Children/>
    </DrillPathNode>
    <DrillPathNode AnalysisType="NONE" Id="53f8299b-bb90-4523-82f7-a06d14ccfca9" Name="A15_Fosse à placenta" HandleSummaryReportOnly="false" Source="">
      <SuppressZero>false</SuppressZero>
      <Children/>
    </DrillPathNode>
    <DrillPathNode AnalysisType="NONE" Id="b4083b38-60b2-4d80-88a3-654de033b828" Name="A16_Fosse à aiguille" HandleSummaryReportOnly="false" Source="">
      <SuppressZero>false</SuppressZero>
      <Children/>
    </DrillPathNode>
    <DrillPathNode AnalysisType="NONE" Id="41c8d53e-187e-4bb8-8d26-f4a28b079cb8" Name="A17_Grillage de la zone de déch" HandleSummaryReportOnly="false" Source="">
      <SuppressZero>false</SuppressZero>
      <Children/>
    </DrillPathNode>
    <DrillPathNode AnalysisType="NONE" Id="5a4c9b8a-394c-4d4f-82d2-2d5599260f05" Name="A19_Célébration de journée thém" HandleSummaryReportOnly="false" Source="">
      <SuppressZero>false</SuppressZero>
      <Children/>
    </DrillPathNode>
    <DrillPathNode AnalysisType="NONE" Id="7a885e60-f612-4d3d-8c00-f6658eaf4a9b" Name="A20_Kits d'assainissement" HandleSummaryReportOnly="false" Source="">
      <SuppressZero>false</SuppressZero>
      <Children/>
    </DrillPathNode>
    <DrillPathNode AnalysisType="NONE" Id="caa42bcf-f506-4b98-ab83-168ee3e6fe3f" Name="A21_Aménagement _broyeur" HandleSummaryReportOnly="false">
      <SuppressZero>false</SuppressZero>
      <Children/>
    </DrillPathNode>
    <DrillPathNode AnalysisType="NONE" Id="37c382a4-c7a7-4f77-89fc-ec87b99989d8" Name="A22_Villages&amp;ouvrages" HandleSummaryReportOnly="false" Source="">
      <SuppressZero>false</SuppressZero>
      <Children/>
    </DrillPathNode>
    <DrillPathNode AnalysisType="NONE" Id="5d96bc3f-3a5c-404f-b77c-471ffb4981db" Name="A23_Établissements de soins&amp;ouv" HandleSummaryReportOnly="false" Source="">
      <SuppressZero>false</SuppressZero>
      <Children/>
    </DrillPathNode>
    <DrillPathNode AnalysisType="NONE" Id="32be1e27-fddd-410a-8e5d-21d5ac319102" Name="A24_Écoles&amp;ouvrages" HandleSummaryReportOnly="false" Source="">
      <SuppressZero>false</SuppressZero>
      <Children/>
    </DrillPathNode>
    <DrillPathNode AnalysisType="NONE" Id="98ca4e0b-a4fc-4508-b6dc-dd6deb5fd49a" Name="A25_Vérification des PU" HandleSummaryReportOnly="false" Source="">
      <SuppressZero>false</SuppressZero>
      <Children/>
    </DrillPathNode>
    <DrillPathNode AnalysisType="NONE" Id="095fedd3-cf50-48da-99e1-404f30e2e987" Name="Kit hygiene à l'ecole" HandleSummaryReportOnly="false">
      <SuppressZero>false</SuppressZero>
      <Children/>
    </DrillPathNode>
    <DrillPathNode AnalysisType="NONE" Id="a4697d7e-05fe-4f48-91b0-299dab4b3c5c" Name="ECOLE CIBLEE AVEC PORTE A CONST" HandleSummaryReportOnly="false">
      <SuppressZero>false</SuppressZero>
      <Children/>
    </DrillPathNode>
    <DrillPathNode AnalysisType="NONE" Id="a61d4f9f-0de7-4140-9f38-b08dd921f5c2" Name="Calendrier d'entretien wash" HandleSummaryReportOnly="false">
      <SuppressZero>false</SuppressZero>
      <Children/>
    </DrillPathNode>
    <DrillPathNode AnalysisType="NONE" Id="6fe5fef1-1201-43fd-a506-a570eec64513" Name="Plan Implivium" HandleSummaryReportOnly="false">
      <SuppressZero>false</SuppressZero>
      <Children/>
    </DrillPathNode>
    <DrillPathNode AnalysisType="NONE" Id="a2dc28c1-f72d-46eb-8f8e-d2db4e30ac8e" Name="Plan latrine au CS ET EP" HandleSummaryReportOnly="false">
      <SuppressZero>false</SuppressZero>
      <Children/>
    </DrillPathNode>
    <DrillPathNode AnalysisType="NONE" Id="8c433172-edcb-4ed0-a346-34815522f270" Name="Plan latrine avec GHM CS" HandleSummaryReportOnly="false">
      <SuppressZero>false</SuppressZero>
      <Children/>
    </DrillPathNode>
    <DrillPathNode AnalysisType="NONE" Id="92d71236-5e11-4f04-a00f-3cbb895a8c05" Name="Plan de latrine avec GHM A EP" HandleSummaryReportOnly="false">
      <SuppressZero>false</SuppressZero>
      <Children/>
    </DrillPathNode>
    <DrillPathNode AnalysisType="NONE" Id="282eb8c0-bed2-4cda-bdf9-579f2e361561" Name="Plan latrine aux PSH CS et EP" HandleSummaryReportOnly="false">
      <SuppressZero>false</SuppressZero>
      <Children/>
    </DrillPathNode>
    <DrillPathNode AnalysisType="NONE" Id="4af5d5ab-69fa-4950-a93a-b30c8987fb54" Name="Plan bloc douche au CS" HandleSummaryReportOnly="false">
      <SuppressZero>false</SuppressZero>
      <Children/>
    </DrillPathNode>
    <DrillPathNode AnalysisType="NONE" Id="7073185c-19e2-4e62-8551-3914e3393e6a" Name="Plan fosse à placenta" HandleSummaryReportOnly="false">
      <SuppressZero>false</SuppressZero>
      <Children/>
    </DrillPathNode>
    <DrillPathNode AnalysisType="NONE" Id="d668d673-738a-4a70-8ec5-1a04c5f769f4" Name="Plan Incinerateur" HandleSummaryReportOnly="false">
      <SuppressZero>false</SuppressZero>
      <Children/>
    </DrillPathNode>
    <DrillPathNode AnalysisType="NONE" Id="d6636b29-c6bc-48d8-8a91-731e80b95e85" Name="Plan source simple" HandleSummaryReportOnly="false">
      <SuppressZero>false</SuppressZero>
      <Children/>
    </DrillPathNode>
    <DrillPathNode AnalysisType="NONE" Id="e6a36ed4-8cb3-487d-a9dd-14cceda560fc" Name="Plan fosse à aiguille " HandleSummaryReportOnly="false">
      <SuppressZero>false</SuppressZero>
      <Children/>
    </DrillPathNode>
    <DrillPathNode AnalysisType="NONE" Id="523a9378-9b93-4bd4-af05-ca699938428d" Name="Plan source avec resevoir" HandleSummaryReportOnly="false">
      <SuppressZero>false</SuppressZero>
      <Children/>
    </DrillPathNode>
    <DrillPathNode AnalysisType="NONE" Id="0feec4d7-0b59-4f28-8e15-4cf0f6e437ee" Name="Plan tank de 5M3" HandleSummaryReportOnly="false">
      <SuppressZero>false</SuppressZero>
      <Children/>
    </DrillPathNode>
    <DrillPathNode AnalysisType="NONE" Id="483120e1-6540-46e8-adb8-654142237d55" Name="Pan abris CPS et zone de dechet" HandleSummaryReportOnly="false">
      <SuppressZero>false</SuppressZero>
      <Children/>
    </DrillPathNode>
    <DrillPathNode AnalysisType="NONE" Id="29265536-3250-4c9f-9ae7-de812002234a" Name="Outils CPN" HandleSummaryReportOnly="false" Source="">
      <SuppressZero>false</SuppressZero>
      <Children/>
    </DrillPathNode>
    <DrillPathNode AnalysisType="NONE" Id="5bf69370-e819-4382-a78a-c19f87fb6dbd" Name="A18_Plan de travail laboratoire" HandleSummaryReportOnly="false" Source="">
      <SuppressZero>false</SuppressZero>
      <Children/>
    </DrillPathNode>
    <DrillPathNode AnalysisType="NONE" Id="1c0c8b7c-0313-4cc3-9a18-792b9e3d9897" Name="A26_Formation " HandleSummaryReportOnly="false" Source="">
      <SuppressZero>false</SuppressZero>
      <Children/>
    </DrillPathNode>
  </CurrentDrillPath>
  <SavedDrillPath/>
</WorkbookDrillPathInfo>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08D76A0438103A4F8EC55936D63F8A68" ma:contentTypeVersion="14" ma:contentTypeDescription="Create a new document." ma:contentTypeScope="" ma:versionID="f125bd85691473eeeec39dee25dd2b61">
  <xsd:schema xmlns:xsd="http://www.w3.org/2001/XMLSchema" xmlns:xs="http://www.w3.org/2001/XMLSchema" xmlns:p="http://schemas.microsoft.com/office/2006/metadata/properties" xmlns:ns3="a06371d7-06ba-4554-b33b-f4ac6e1105d6" xmlns:ns4="608a0800-5d52-41a0-860e-38584ea6cda1" targetNamespace="http://schemas.microsoft.com/office/2006/metadata/properties" ma:root="true" ma:fieldsID="0b222f9fe83a64cbc34aa3c6b3901b1f" ns3:_="" ns4:_="">
    <xsd:import namespace="a06371d7-06ba-4554-b33b-f4ac6e1105d6"/>
    <xsd:import namespace="608a0800-5d52-41a0-860e-38584ea6cda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GenerationTime" minOccurs="0"/>
                <xsd:element ref="ns4:MediaServiceEventHashCode"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6371d7-06ba-4554-b33b-f4ac6e1105d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8a0800-5d52-41a0-860e-38584ea6cda1"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FFAB26F-B037-45B2-BCF9-660082596AAC}">
  <ds:schemaRefs>
    <ds:schemaRef ds:uri="http://schemas.microsoft.com/sharepoint/v3/contenttype/forms"/>
  </ds:schemaRefs>
</ds:datastoreItem>
</file>

<file path=customXml/itemProps2.xml><?xml version="1.0" encoding="utf-8"?>
<ds:datastoreItem xmlns:ds="http://schemas.openxmlformats.org/officeDocument/2006/customXml" ds:itemID="{F2EE7764-72EC-431C-9855-29E3EAAA5568}">
  <ds:schemaRefs>
    <ds:schemaRef ds:uri="http://www.w3.org/2001/XMLSchema"/>
    <ds:schemaRef ds:uri="http://www.infor.com/qaa/DrillPath"/>
  </ds:schemaRefs>
</ds:datastoreItem>
</file>

<file path=customXml/itemProps3.xml><?xml version="1.0" encoding="utf-8"?>
<ds:datastoreItem xmlns:ds="http://schemas.openxmlformats.org/officeDocument/2006/customXml" ds:itemID="{CC171926-B1EF-4BA3-8DAF-E822A5585A47}">
  <ds:schemaRefs>
    <ds:schemaRef ds:uri="http://schemas.microsoft.com/office/2006/metadata/longProperties"/>
  </ds:schemaRefs>
</ds:datastoreItem>
</file>

<file path=customXml/itemProps4.xml><?xml version="1.0" encoding="utf-8"?>
<ds:datastoreItem xmlns:ds="http://schemas.openxmlformats.org/officeDocument/2006/customXml" ds:itemID="{E925D2A6-4964-4A8B-AF88-19EBEC6E3B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6371d7-06ba-4554-b33b-f4ac6e1105d6"/>
    <ds:schemaRef ds:uri="608a0800-5d52-41a0-860e-38584ea6cd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37704368-E842-43BF-907C-E6614EE4B4EB}">
  <ds:schemaRefs>
    <ds:schemaRef ds:uri="a06371d7-06ba-4554-b33b-f4ac6e1105d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608a0800-5d52-41a0-860e-38584ea6cda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33</vt:i4>
      </vt:variant>
      <vt:variant>
        <vt:lpstr>Plages nommées</vt:lpstr>
      </vt:variant>
      <vt:variant>
        <vt:i4>19</vt:i4>
      </vt:variant>
    </vt:vector>
  </HeadingPairs>
  <TitlesOfParts>
    <vt:vector size="52" baseType="lpstr">
      <vt:lpstr>Plan de travail et budget</vt:lpstr>
      <vt:lpstr>1. Budget</vt:lpstr>
      <vt:lpstr>2.Budget narratif</vt:lpstr>
      <vt:lpstr>ICE Budget detaillé </vt:lpstr>
      <vt:lpstr>A1_Aménagement d'une source sim</vt:lpstr>
      <vt:lpstr>A2_Forage mécanique équipé de p</vt:lpstr>
      <vt:lpstr>A3_Captage d'eau de pluie</vt:lpstr>
      <vt:lpstr>A4_Point de lavage des mains </vt:lpstr>
      <vt:lpstr>A7_Raccordement en eau  établ  </vt:lpstr>
      <vt:lpstr>A8_Bac à lessive avec deux robi</vt:lpstr>
      <vt:lpstr>A9_Douche</vt:lpstr>
      <vt:lpstr>A10_Latrine VIP à fosse altern </vt:lpstr>
      <vt:lpstr>A11_Latrine VIP à fosse alte F</vt:lpstr>
      <vt:lpstr>A13_Incinérateur De Monfort </vt:lpstr>
      <vt:lpstr>A14_Fosse à cendre</vt:lpstr>
      <vt:lpstr>A15_Fosse à placenta</vt:lpstr>
      <vt:lpstr>A16_Fosse à aiguille</vt:lpstr>
      <vt:lpstr>A17_Grillage de la zone de déch</vt:lpstr>
      <vt:lpstr>A18_Plan de travail laboratoire</vt:lpstr>
      <vt:lpstr>A21_Aménagement _broyeur</vt:lpstr>
      <vt:lpstr>Plan Implivium</vt:lpstr>
      <vt:lpstr>Plan latrine au CS ET EP</vt:lpstr>
      <vt:lpstr>Plan latrine avec GHM CS</vt:lpstr>
      <vt:lpstr>Plan de latrine avec GHM A EP</vt:lpstr>
      <vt:lpstr>Plan latrine aux PSH CS et EP</vt:lpstr>
      <vt:lpstr>Plan bloc douche au CS</vt:lpstr>
      <vt:lpstr>Plan fosse à placenta</vt:lpstr>
      <vt:lpstr>Plan Incinerateur</vt:lpstr>
      <vt:lpstr>Plan source simple</vt:lpstr>
      <vt:lpstr>Plan fosse à aiguille </vt:lpstr>
      <vt:lpstr>Plan source avec resevoir</vt:lpstr>
      <vt:lpstr>Plan tank de 5M3</vt:lpstr>
      <vt:lpstr>Pan abris CPS et zone de dechet</vt:lpstr>
      <vt:lpstr>SourceBudget</vt:lpstr>
      <vt:lpstr>SourceBudget2</vt:lpstr>
      <vt:lpstr>'A1_Aménagement d''une source sim'!Zone_d_impression</vt:lpstr>
      <vt:lpstr>'A10_Latrine VIP à fosse altern '!Zone_d_impression</vt:lpstr>
      <vt:lpstr>'A11_Latrine VIP à fosse alte F'!Zone_d_impression</vt:lpstr>
      <vt:lpstr>'A13_Incinérateur De Monfort '!Zone_d_impression</vt:lpstr>
      <vt:lpstr>'A14_Fosse à cendre'!Zone_d_impression</vt:lpstr>
      <vt:lpstr>'A15_Fosse à placenta'!Zone_d_impression</vt:lpstr>
      <vt:lpstr>'A16_Fosse à aiguille'!Zone_d_impression</vt:lpstr>
      <vt:lpstr>'A17_Grillage de la zone de déch'!Zone_d_impression</vt:lpstr>
      <vt:lpstr>'A18_Plan de travail laboratoire'!Zone_d_impression</vt:lpstr>
      <vt:lpstr>'A2_Forage mécanique équipé de p'!Zone_d_impression</vt:lpstr>
      <vt:lpstr>'A21_Aménagement _broyeur'!Zone_d_impression</vt:lpstr>
      <vt:lpstr>'A3_Captage d''eau de pluie'!Zone_d_impression</vt:lpstr>
      <vt:lpstr>'A4_Point de lavage des mains '!Zone_d_impression</vt:lpstr>
      <vt:lpstr>'A7_Raccordement en eau  établ  '!Zone_d_impression</vt:lpstr>
      <vt:lpstr>'A8_Bac à lessive avec deux robi'!Zone_d_impression</vt:lpstr>
      <vt:lpstr>A9_Douche!Zone_d_impression</vt:lpstr>
      <vt:lpstr>'ICE Budget detaillé '!Zone_d_impression</vt:lpstr>
    </vt:vector>
  </TitlesOfParts>
  <Company>UNICEF</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Enfea</dc:creator>
  <cp:lastModifiedBy>LENOVO</cp:lastModifiedBy>
  <cp:revision/>
  <dcterms:created xsi:type="dcterms:W3CDTF">2013-10-31T12:41:33Z</dcterms:created>
  <dcterms:modified xsi:type="dcterms:W3CDTF">2023-07-14T11:28:41Z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PK7RVKNS77SW-1558737608-936</vt:lpwstr>
  </property>
  <property fmtid="{D5CDD505-2E9C-101B-9397-08002B2CF9AE}" pid="3" name="_dlc_DocIdItemGuid">
    <vt:lpwstr>2c9222e7-feff-4b14-a9fc-01d4ee83b61b</vt:lpwstr>
  </property>
  <property fmtid="{D5CDD505-2E9C-101B-9397-08002B2CF9AE}" pid="4" name="_dlc_DocIdUrl">
    <vt:lpwstr>https://unicef.sharepoint.com/teams/COD-Goma/_layouts/15/DocIdRedir.aspx?ID=PK7RVKNS77SW-1558737608-936, PK7RVKNS77SW-1558737608-936</vt:lpwstr>
  </property>
  <property fmtid="{D5CDD505-2E9C-101B-9397-08002B2CF9AE}" pid="5" name="DocumentType">
    <vt:lpwstr/>
  </property>
  <property fmtid="{D5CDD505-2E9C-101B-9397-08002B2CF9AE}" pid="6" name="TaxKeyword">
    <vt:lpwstr/>
  </property>
  <property fmtid="{D5CDD505-2E9C-101B-9397-08002B2CF9AE}" pid="7" name="GeographicScope">
    <vt:lpwstr/>
  </property>
  <property fmtid="{D5CDD505-2E9C-101B-9397-08002B2CF9AE}" pid="8" name="Topic">
    <vt:lpwstr/>
  </property>
  <property fmtid="{D5CDD505-2E9C-101B-9397-08002B2CF9AE}" pid="9" name="OfficeDivision">
    <vt:lpwstr>16;#Democratic Republic of Congo-0990|2ccd4e73-3047-4d75-8280-30e408b390c7</vt:lpwstr>
  </property>
  <property fmtid="{D5CDD505-2E9C-101B-9397-08002B2CF9AE}" pid="10" name="SystemDTAC">
    <vt:lpwstr/>
  </property>
  <property fmtid="{D5CDD505-2E9C-101B-9397-08002B2CF9AE}" pid="11" name="CriticalForLongTermRetention">
    <vt:lpwstr/>
  </property>
  <property fmtid="{D5CDD505-2E9C-101B-9397-08002B2CF9AE}" pid="12" name="ContentTypeId">
    <vt:lpwstr>0x01010008D76A0438103A4F8EC55936D63F8A68</vt:lpwstr>
  </property>
</Properties>
</file>