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Bordereaux approuvés par AGETIP\"/>
    </mc:Choice>
  </mc:AlternateContent>
  <xr:revisionPtr revIDLastSave="0" documentId="13_ncr:1_{8A581877-7480-49BC-8A6E-86AF1B5755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3" i="4"/>
  <c r="F9" i="4" l="1"/>
  <c r="D22" i="7" s="1"/>
  <c r="D205" i="3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80" i="3"/>
  <c r="F179" i="3"/>
  <c r="F176" i="3"/>
  <c r="F175" i="3"/>
  <c r="F174" i="3"/>
  <c r="F173" i="3"/>
  <c r="F172" i="3"/>
  <c r="F171" i="3"/>
  <c r="F170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91" i="3"/>
  <c r="F192" i="3"/>
  <c r="F56" i="2" l="1"/>
  <c r="F181" i="3"/>
  <c r="B23" i="7"/>
  <c r="B20" i="7"/>
  <c r="F88" i="3"/>
  <c r="F96" i="3"/>
  <c r="F83" i="3"/>
  <c r="F112" i="3"/>
  <c r="F128" i="3"/>
  <c r="F177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99" i="2" s="1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D23" i="7" l="1"/>
  <c r="F114" i="2"/>
  <c r="F128" i="2"/>
  <c r="F129" i="2" s="1"/>
  <c r="D16" i="7" s="1"/>
  <c r="F8" i="3"/>
  <c r="D4" i="7" s="1"/>
  <c r="D5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 s="1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F34" i="3"/>
  <c r="F30" i="3"/>
  <c r="F31" i="3"/>
  <c r="D142" i="3" l="1"/>
  <c r="F142" i="3" s="1"/>
  <c r="F145" i="3" s="1"/>
  <c r="D52" i="3"/>
  <c r="F52" i="3" s="1"/>
  <c r="F33" i="3"/>
  <c r="F32" i="3"/>
  <c r="F29" i="3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D102" i="2"/>
  <c r="F102" i="2" s="1"/>
  <c r="D44" i="2"/>
  <c r="F44" i="2" s="1"/>
  <c r="F98" i="3" l="1"/>
  <c r="F99" i="3" s="1"/>
  <c r="D7" i="7" s="1"/>
  <c r="F104" i="2"/>
  <c r="F116" i="2" s="1"/>
  <c r="D8" i="7"/>
  <c r="F47" i="2"/>
  <c r="F58" i="2" s="1"/>
  <c r="D13" i="7" s="1"/>
  <c r="F217" i="3" l="1"/>
  <c r="D11" i="7"/>
  <c r="D14" i="7"/>
  <c r="D17" i="7" s="1"/>
  <c r="F131" i="2"/>
  <c r="D25" i="7" l="1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<sst xmlns="http://schemas.openxmlformats.org/spreadsheetml/2006/main" count="1016" uniqueCount="573">
  <si>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</si>
  <si>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</si>
  <si>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</si>
  <si>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</si>
  <si>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</si>
  <si>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</si>
  <si>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</si>
  <si>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</si>
  <si>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</si>
  <si>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</si>
  <si>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</si>
  <si>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</si>
  <si>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</si>
  <si>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</si>
  <si>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</si>
  <si>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</si>
  <si>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</si>
  <si>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</si>
  <si>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</si>
  <si>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</si>
  <si>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</si>
  <si>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</si>
  <si>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</si>
  <si>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</si>
  <si>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</si>
  <si>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</si>
  <si>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</si>
  <si>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</si>
  <si>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</si>
  <si>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</si>
  <si>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</si>
  <si>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</si>
  <si>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</si>
  <si>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</si>
  <si>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</si>
  <si>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</si>
  <si>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</si>
  <si>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</si>
  <si>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</si>
  <si>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</si>
  <si>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</si>
  <si>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</si>
  <si>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</si>
  <si>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</si>
  <si>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</si>
  <si>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</si>
  <si>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</si>
  <si>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</si>
  <si>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</si>
  <si>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</si>
  <si>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</si>
  <si>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</si>
  <si>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</si>
  <si>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</si>
  <si>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</si>
  <si>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</si>
  <si>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</si>
  <si>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</si>
  <si>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</si>
  <si>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</si>
  <si>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</si>
  <si>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</si>
  <si>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</si>
  <si>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</si>
  <si>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</si>
  <si>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</si>
  <si>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</si>
  <si>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</si>
  <si>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</si>
  <si>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</si>
  <si>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</si>
  <si>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</si>
  <si>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</si>
  <si>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</si>
  <si>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</si>
  <si>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</si>
  <si>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</si>
  <si>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</si>
  <si>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</si>
  <si>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</si>
  <si>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</si>
  <si>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</si>
  <si>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</si>
  <si>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</si>
  <si>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</si>
  <si>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</si>
  <si>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</si>
  <si>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</si>
  <si>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</si>
  <si>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</si>
  <si>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</si>
  <si>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</si>
  <si>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</si>
  <si>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</si>
  <si>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</si>
  <si>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</si>
  <si>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</si>
  <si>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</si>
  <si>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</si>
  <si>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</si>
  <si>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</si>
  <si>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</si>
  <si>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</si>
  <si>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</si>
  <si>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</si>
  <si>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</si>
  <si>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</si>
  <si>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</si>
  <si>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</si>
  <si>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</si>
  <si>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</si>
  <si>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</si>
  <si>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</si>
  <si>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</si>
  <si>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</si>
  <si>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</si>
  <si>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</si>
  <si>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</si>
  <si>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</si>
  <si>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</si>
  <si>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</si>
  <si>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</si>
  <si>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</si>
  <si>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</si>
  <si>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</si>
  <si>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</si>
  <si>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</si>
  <si>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</si>
  <si>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</si>
  <si>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</si>
  <si>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</si>
  <si>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</si>
  <si>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</si>
  <si>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</si>
  <si>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</si>
  <si>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</si>
  <si>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</si>
  <si>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</si>
  <si>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</si>
  <si>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</si>
  <si>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</si>
  <si>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</si>
  <si>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</si>
  <si>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</si>
  <si>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</si>
  <si>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</si>
  <si>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</si>
  <si>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</si>
  <si>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</si>
  <si>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</si>
  <si>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</si>
  <si>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</si>
  <si>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</si>
  <si>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</si>
  <si>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</si>
  <si>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</si>
  <si>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</si>
  <si>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</si>
  <si>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</si>
  <si>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</si>
  <si>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</si>
  <si>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</si>
  <si>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</si>
  <si>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</si>
  <si>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</si>
  <si>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</si>
  <si>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</si>
  <si>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</si>
  <si>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</si>
  <si>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</si>
  <si>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</si>
  <si>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</si>
  <si>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</si>
  <si>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</si>
  <si>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</si>
  <si>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</si>
  <si>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</si>
  <si>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</si>
  <si>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</si>
  <si>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</si>
  <si>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</si>
  <si>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</si>
  <si>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</si>
  <si>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</si>
  <si>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</si>
  <si>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</si>
  <si>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</si>
  <si>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</si>
  <si>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</si>
  <si>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</si>
  <si>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</si>
  <si>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</si>
  <si>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</si>
  <si>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</si>
  <si>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</si>
  <si>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</si>
  <si>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</si>
  <si>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</si>
  <si>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</si>
  <si>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</si>
  <si>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</si>
  <si>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</si>
  <si>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</si>
  <si>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</si>
  <si>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</si>
  <si>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</si>
  <si>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</si>
  <si>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</si>
  <si>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</si>
  <si>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</si>
  <si>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</si>
  <si>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</si>
  <si>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</si>
  <si>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</si>
  <si>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</si>
  <si>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</si>
  <si>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</si>
  <si>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</si>
  <si>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</si>
  <si>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</si>
  <si>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</si>
  <si>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</si>
  <si>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</si>
  <si>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</si>
  <si>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</si>
  <si>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</si>
  <si>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</si>
  <si>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</si>
  <si>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</si>
  <si>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</si>
  <si>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</si>
  <si>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</si>
  <si>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</si>
  <si>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</si>
  <si>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</si>
  <si>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</si>
  <si>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</si>
  <si>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</si>
  <si>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</si>
  <si>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</si>
  <si>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</si>
  <si>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</si>
  <si>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</si>
  <si>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</si>
  <si>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</si>
  <si>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</si>
  <si>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</si>
  <si>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</si>
  <si>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</si>
  <si>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</si>
  <si>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</si>
  <si>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</si>
  <si>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</si>
  <si>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</si>
  <si>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</si>
  <si>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</si>
  <si>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</si>
  <si>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</si>
  <si>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</si>
  <si>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</si>
  <si>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</si>
  <si>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</si>
  <si>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</si>
  <si>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</si>
  <si>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</si>
  <si>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</si>
  <si>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</si>
  <si>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</si>
  <si>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</si>
  <si>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</si>
  <si>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</si>
  <si>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</si>
  <si>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</si>
  <si>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</si>
  <si>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</si>
  <si>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</si>
  <si>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</si>
  <si>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</si>
  <si>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</si>
  <si>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</si>
  <si>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</si>
  <si>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</si>
  <si>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</si>
  <si>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</si>
  <si>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</si>
  <si>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</si>
  <si>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</si>
  <si>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</si>
  <si>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</si>
  <si>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</si>
  <si>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</si>
  <si>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</si>
  <si>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</si>
  <si>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</si>
  <si>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</si>
  <si>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</si>
  <si>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</si>
  <si>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</si>
  <si>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</si>
  <si>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</si>
  <si>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</si>
  <si>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</si>
  <si>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</si>
  <si>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</si>
  <si>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</si>
  <si>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</si>
  <si>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</si>
  <si>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</si>
  <si>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</si>
  <si>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</si>
  <si>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</si>
  <si>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</si>
  <si>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</si>
  <si>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</si>
  <si>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</si>
  <si>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</si>
  <si>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</si>
  <si>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</si>
  <si>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</si>
  <si>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</si>
  <si>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</si>
  <si>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</si>
  <si>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</si>
  <si>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</si>
  <si>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</si>
  <si>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</si>
  <si>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</si>
  <si>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</si>
  <si>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</si>
  <si>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</si>
  <si>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</si>
  <si>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</si>
  <si>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</si>
  <si>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</si>
  <si>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</si>
  <si>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</si>
  <si>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</si>
  <si>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</si>
  <si>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</si>
  <si>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</si>
  <si>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</si>
  <si>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</si>
  <si>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</si>
  <si>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</si>
  <si>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</si>
  <si>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</si>
  <si>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</si>
  <si>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</si>
  <si>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</si>
  <si>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</si>
  <si>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</si>
  <si>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</si>
  <si>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</si>
  <si>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</si>
  <si>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</si>
  <si>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</si>
  <si>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</si>
  <si>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</si>
  <si>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</si>
  <si>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</si>
  <si>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</si>
  <si>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</si>
  <si>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</si>
  <si>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</si>
  <si>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</si>
  <si>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</si>
  <si>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</si>
  <si>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</si>
  <si>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</si>
  <si>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</si>
  <si>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</si>
  <si>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</si>
  <si>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</si>
  <si>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</si>
  <si>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</si>
  <si>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</si>
  <si>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</si>
  <si>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</si>
  <si>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</si>
  <si>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</si>
  <si>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</si>
  <si>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</si>
  <si>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</si>
  <si>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</si>
  <si>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</si>
  <si>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</si>
  <si>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</si>
  <si>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</si>
  <si>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</si>
  <si>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</si>
  <si>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</si>
  <si>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</si>
  <si>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</si>
  <si>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</si>
  <si>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</si>
  <si>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</si>
  <si>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</si>
  <si>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</si>
  <si>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</si>
  <si>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</si>
  <si>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</si>
  <si>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</si>
  <si>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</si>
  <si>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</si>
  <si>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</si>
  <si>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</si>
  <si>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</si>
  <si>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</si>
  <si>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</si>
  <si>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</si>
  <si>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</si>
  <si>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</si>
  <si>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</si>
  <si>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</si>
  <si>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</si>
  <si>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</si>
  <si>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</si>
  <si>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</si>
  <si>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</si>
  <si>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</si>
  <si>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</si>
  <si>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</si>
  <si>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</si>
  <si>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</si>
  <si>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</si>
  <si>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</si>
  <si>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</si>
  <si>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</si>
  <si>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</si>
  <si>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</si>
  <si>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</si>
  <si>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</si>
  <si>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</si>
  <si>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</si>
  <si>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</si>
  <si>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</si>
  <si>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</si>
  <si>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</si>
  <si>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</si>
  <si>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</si>
  <si>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</si>
  <si>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</si>
  <si>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</si>
  <si>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</si>
  <si>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</si>
  <si>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</si>
  <si>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</si>
  <si>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</si>
  <si>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</si>
  <si>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</si>
  <si>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</si>
  <si>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</si>
  <si>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</si>
  <si>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</si>
  <si>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</si>
  <si>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</si>
  <si>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</si>
  <si>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</si>
  <si>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</si>
  <si>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</si>
  <si>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</si>
  <si>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</si>
  <si>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</si>
  <si>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</si>
  <si>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</si>
  <si>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</si>
  <si>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</si>
  <si>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</si>
  <si>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</si>
  <si>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</si>
  <si>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</si>
  <si>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</si>
  <si>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</si>
  <si>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</si>
  <si>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</si>
  <si>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</si>
  <si>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</si>
  <si>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</si>
  <si>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</si>
  <si>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</si>
  <si>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</si>
  <si>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</si>
  <si>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</si>
  <si>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</si>
  <si>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</si>
  <si>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</si>
  <si>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</si>
  <si>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</si>
  <si>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</si>
  <si>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</si>
  <si>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</si>
  <si>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</si>
  <si>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</si>
  <si>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</si>
  <si>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</si>
  <si>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</si>
  <si>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</si>
  <si>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</si>
  <si>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</si>
  <si>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</si>
  <si>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</si>
  <si>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</si>
  <si>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</si>
  <si>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</si>
  <si>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</si>
  <si>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</si>
  <si>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</si>
  <si>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</si>
  <si>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</si>
  <si>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</si>
  <si>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</si>
  <si>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</si>
  <si>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</si>
  <si>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</si>
  <si>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</si>
  <si>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</si>
  <si>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</si>
  <si>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</si>
  <si>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</si>
  <si>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</si>
  <si>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</si>
  <si>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</si>
  <si>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</si>
  <si>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</si>
  <si>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</si>
  <si>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</si>
  <si>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</si>
  <si>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</si>
  <si>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</si>
  <si>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</si>
  <si>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</si>
  <si>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</si>
  <si>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</si>
  <si>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</si>
  <si>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</si>
  <si>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</si>
  <si>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</si>
  <si>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</si>
  <si>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</si>
  <si>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2 Blocs pédagogiques de 3 salles de classe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</si>
  <si>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</si>
  <si>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</si>
  <si>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</si>
  <si>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</si>
  <si>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</si>
  <si>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</si>
  <si>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</si>
  <si>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</si>
  <si>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 xml:space="preserve"> FORAGE  DE 120 METRES                     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</si>
  <si>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</si>
  <si>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</si>
  <si>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</si>
  <si>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</si>
  <si>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</si>
  <si>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</si>
  <si>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</si>
  <si>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Toiture 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</si>
  <si>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</si>
  <si>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</si>
  <si>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</si>
  <si>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</si>
  <si>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</si>
  <si>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</si>
  <si>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</si>
  <si>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</si>
  <si>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</si>
  <si>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</si>
  <si>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</si>
  <si>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</si>
  <si>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</si>
  <si>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</si>
  <si>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</si>
  <si>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Construction d'une clôture de 14 ml pour protéger le forage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</si>
</sst>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  <font>
      <b/>
      <sz val="9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93">
    <xf numFmtId="0" fontId="0" fillId="0" borderId="0" xfId="0"/>
    <xf numFmtId="0" fontId="7" fillId="0" borderId="0" xfId="0" applyFont="1"/>
    <xf numFmtId="0" fontId="8" fillId="8" borderId="46" xfId="3" applyFont="1" applyFill="1" applyBorder="1" applyAlignment="1">
      <alignment horizontal="center" vertical="center" wrapText="1"/>
    </xf>
    <xf numFmtId="0" fontId="8" fillId="8" borderId="47" xfId="3" applyFont="1" applyFill="1" applyBorder="1" applyAlignment="1">
      <alignment horizontal="center" vertical="center" wrapText="1"/>
    </xf>
    <xf numFmtId="0" fontId="8" fillId="8" borderId="48" xfId="3" applyFont="1" applyFill="1" applyBorder="1" applyAlignment="1">
      <alignment horizontal="center" vertical="center" wrapText="1"/>
    </xf>
    <xf numFmtId="0" fontId="8" fillId="5" borderId="15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5" xfId="3" applyFont="1" applyBorder="1" applyAlignment="1">
      <alignment horizontal="right" vertical="center" wrapText="1"/>
    </xf>
    <xf numFmtId="2" fontId="9" fillId="0" borderId="43" xfId="3" applyNumberFormat="1" applyFont="1" applyBorder="1" applyAlignment="1">
      <alignment horizontal="right" vertical="center" wrapText="1"/>
    </xf>
    <xf numFmtId="0" fontId="7" fillId="27" borderId="36" xfId="0" applyFont="1" applyFill="1" applyBorder="1"/>
    <xf numFmtId="0" fontId="7" fillId="27" borderId="36" xfId="0" applyFont="1" applyFill="1" applyBorder="1" applyAlignment="1">
      <alignment horizontal="center" vertical="center"/>
    </xf>
    <xf numFmtId="2" fontId="7" fillId="27" borderId="36" xfId="0" applyNumberFormat="1" applyFont="1" applyFill="1" applyBorder="1"/>
    <xf numFmtId="0" fontId="8" fillId="5" borderId="16" xfId="3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" xfId="0" applyFont="1" applyBorder="1"/>
    <xf numFmtId="2" fontId="7" fillId="0" borderId="16" xfId="0" applyNumberFormat="1" applyFont="1" applyBorder="1"/>
    <xf numFmtId="0" fontId="7" fillId="0" borderId="41" xfId="0" applyFont="1" applyBorder="1"/>
    <xf numFmtId="0" fontId="7" fillId="0" borderId="24" xfId="0" applyFont="1" applyBorder="1"/>
    <xf numFmtId="2" fontId="7" fillId="0" borderId="42" xfId="0" applyNumberFormat="1" applyFont="1" applyBorder="1"/>
    <xf numFmtId="0" fontId="7" fillId="27" borderId="15" xfId="0" applyFont="1" applyFill="1" applyBorder="1"/>
    <xf numFmtId="0" fontId="7" fillId="27" borderId="8" xfId="0" applyFont="1" applyFill="1" applyBorder="1"/>
    <xf numFmtId="2" fontId="7" fillId="27" borderId="16" xfId="0" applyNumberFormat="1" applyFont="1" applyFill="1" applyBorder="1"/>
    <xf numFmtId="0" fontId="8" fillId="5" borderId="33" xfId="3" applyFont="1" applyFill="1" applyBorder="1" applyAlignment="1">
      <alignment horizontal="center" vertical="center" wrapText="1"/>
    </xf>
    <xf numFmtId="0" fontId="8" fillId="5" borderId="25" xfId="3" applyFont="1" applyFill="1" applyBorder="1" applyAlignment="1">
      <alignment horizontal="center" vertical="center" wrapText="1"/>
    </xf>
    <xf numFmtId="0" fontId="8" fillId="5" borderId="43" xfId="3" applyFont="1" applyFill="1" applyBorder="1" applyAlignment="1">
      <alignment horizontal="center" vertical="center" wrapText="1"/>
    </xf>
    <xf numFmtId="0" fontId="7" fillId="27" borderId="1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0" fillId="25" borderId="27" xfId="0" applyFont="1" applyFill="1" applyBorder="1"/>
    <xf numFmtId="0" fontId="10" fillId="25" borderId="28" xfId="0" applyFont="1" applyFill="1" applyBorder="1"/>
    <xf numFmtId="2" fontId="10" fillId="25" borderId="29" xfId="0" applyNumberFormat="1" applyFont="1" applyFill="1" applyBorder="1"/>
    <xf numFmtId="0" fontId="8" fillId="23" borderId="3" xfId="3" applyFont="1" applyFill="1" applyBorder="1" applyAlignment="1">
      <alignment horizontal="center" vertical="center" wrapText="1"/>
    </xf>
    <xf numFmtId="0" fontId="8" fillId="23" borderId="4" xfId="3" applyFont="1" applyFill="1" applyBorder="1" applyAlignment="1">
      <alignment horizontal="center" vertical="center" wrapText="1"/>
    </xf>
    <xf numFmtId="0" fontId="8" fillId="23" borderId="1" xfId="3" applyFont="1" applyFill="1" applyBorder="1" applyAlignment="1">
      <alignment horizontal="center" vertical="center" wrapText="1"/>
    </xf>
    <xf numFmtId="0" fontId="8" fillId="23" borderId="16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6" xfId="4" applyFont="1" applyFill="1" applyBorder="1" applyAlignment="1">
      <alignment horizontal="center" vertical="center" wrapText="1"/>
    </xf>
    <xf numFmtId="0" fontId="11" fillId="16" borderId="0" xfId="0" applyFont="1" applyFill="1" applyAlignment="1">
      <alignment vertical="center" wrapText="1"/>
    </xf>
    <xf numFmtId="0" fontId="11" fillId="16" borderId="1" xfId="0" applyFont="1" applyFill="1" applyBorder="1" applyAlignment="1">
      <alignment vertical="center" wrapText="1"/>
    </xf>
    <xf numFmtId="0" fontId="7" fillId="6" borderId="0" xfId="0" applyFont="1" applyFill="1"/>
    <xf numFmtId="0" fontId="10" fillId="6" borderId="0" xfId="0" applyFont="1" applyFill="1" applyAlignment="1">
      <alignment vertical="center"/>
    </xf>
    <xf numFmtId="0" fontId="7" fillId="6" borderId="1" xfId="0" applyFont="1" applyFill="1" applyBorder="1"/>
    <xf numFmtId="164" fontId="7" fillId="6" borderId="0" xfId="0" applyNumberFormat="1" applyFont="1" applyFill="1"/>
    <xf numFmtId="0" fontId="11" fillId="0" borderId="0" xfId="10" applyFont="1" applyAlignment="1">
      <alignment horizontal="left" vertical="top"/>
    </xf>
    <xf numFmtId="0" fontId="10" fillId="0" borderId="4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0" fontId="10" fillId="6" borderId="9" xfId="0" applyFont="1" applyFill="1" applyBorder="1"/>
    <xf numFmtId="0" fontId="10" fillId="6" borderId="27" xfId="0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8" xfId="0" applyFont="1" applyFill="1" applyBorder="1" applyAlignment="1">
      <alignment horizontal="right"/>
    </xf>
    <xf numFmtId="2" fontId="7" fillId="6" borderId="32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25" xfId="0" applyFont="1" applyBorder="1" applyAlignment="1">
      <alignment horizontal="left"/>
    </xf>
    <xf numFmtId="0" fontId="7" fillId="0" borderId="25" xfId="0" applyFont="1" applyBorder="1"/>
    <xf numFmtId="0" fontId="7" fillId="0" borderId="25" xfId="0" applyFont="1" applyBorder="1" applyAlignment="1">
      <alignment horizontal="right"/>
    </xf>
    <xf numFmtId="2" fontId="7" fillId="0" borderId="43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10" fillId="3" borderId="41" xfId="0" applyFont="1" applyFill="1" applyBorder="1"/>
    <xf numFmtId="0" fontId="10" fillId="3" borderId="23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40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3" fontId="7" fillId="0" borderId="25" xfId="0" applyNumberFormat="1" applyFont="1" applyBorder="1" applyAlignment="1">
      <alignment horizontal="right"/>
    </xf>
    <xf numFmtId="0" fontId="7" fillId="3" borderId="15" xfId="0" applyFont="1" applyFill="1" applyBorder="1"/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right"/>
    </xf>
    <xf numFmtId="2" fontId="10" fillId="3" borderId="45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10" fillId="4" borderId="15" xfId="0" applyFont="1" applyFill="1" applyBorder="1"/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3" fontId="7" fillId="4" borderId="25" xfId="0" applyNumberFormat="1" applyFont="1" applyFill="1" applyBorder="1"/>
    <xf numFmtId="3" fontId="7" fillId="0" borderId="25" xfId="0" applyNumberFormat="1" applyFont="1" applyBorder="1"/>
    <xf numFmtId="3" fontId="7" fillId="0" borderId="1" xfId="0" applyNumberFormat="1" applyFont="1" applyBorder="1"/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0" fontId="10" fillId="3" borderId="6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/>
    <xf numFmtId="0" fontId="10" fillId="0" borderId="6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0" fontId="10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/>
    <xf numFmtId="0" fontId="7" fillId="4" borderId="44" xfId="0" applyFont="1" applyFill="1" applyBorder="1"/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3" fontId="7" fillId="4" borderId="24" xfId="0" applyNumberFormat="1" applyFont="1" applyFill="1" applyBorder="1"/>
    <xf numFmtId="0" fontId="7" fillId="4" borderId="15" xfId="0" applyFont="1" applyFill="1" applyBorder="1"/>
    <xf numFmtId="0" fontId="10" fillId="3" borderId="24" xfId="0" applyFont="1" applyFill="1" applyBorder="1" applyAlignment="1">
      <alignment horizontal="right"/>
    </xf>
    <xf numFmtId="3" fontId="7" fillId="3" borderId="24" xfId="0" applyNumberFormat="1" applyFont="1" applyFill="1" applyBorder="1"/>
    <xf numFmtId="0" fontId="10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0" fontId="10" fillId="3" borderId="15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3" fontId="7" fillId="3" borderId="8" xfId="0" applyNumberFormat="1" applyFont="1" applyFill="1" applyBorder="1"/>
    <xf numFmtId="2" fontId="10" fillId="3" borderId="16" xfId="0" applyNumberFormat="1" applyFont="1" applyFill="1" applyBorder="1"/>
    <xf numFmtId="0" fontId="10" fillId="0" borderId="6" xfId="0" applyFont="1" applyBorder="1" applyAlignment="1">
      <alignment horizontal="left" wrapText="1"/>
    </xf>
    <xf numFmtId="0" fontId="7" fillId="25" borderId="37" xfId="0" applyFont="1" applyFill="1" applyBorder="1"/>
    <xf numFmtId="2" fontId="9" fillId="25" borderId="39" xfId="0" applyNumberFormat="1" applyFont="1" applyFill="1" applyBorder="1"/>
    <xf numFmtId="0" fontId="11" fillId="0" borderId="0" xfId="10" applyFont="1" applyAlignment="1">
      <alignment horizontal="center" vertical="center"/>
    </xf>
    <xf numFmtId="2" fontId="11" fillId="0" borderId="0" xfId="10" applyNumberFormat="1" applyFont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8" fillId="22" borderId="15" xfId="0" applyFont="1" applyFill="1" applyBorder="1" applyAlignment="1">
      <alignment horizontal="center" vertical="top" wrapText="1"/>
    </xf>
    <xf numFmtId="0" fontId="8" fillId="22" borderId="1" xfId="0" applyFont="1" applyFill="1" applyBorder="1" applyAlignment="1">
      <alignment horizontal="center" vertical="center" wrapText="1"/>
    </xf>
    <xf numFmtId="2" fontId="8" fillId="23" borderId="16" xfId="3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5" borderId="0" xfId="0" applyFont="1" applyFill="1"/>
    <xf numFmtId="2" fontId="7" fillId="5" borderId="14" xfId="0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left" vertical="center"/>
    </xf>
    <xf numFmtId="2" fontId="9" fillId="4" borderId="16" xfId="4" applyNumberFormat="1" applyFont="1" applyFill="1" applyBorder="1" applyAlignment="1">
      <alignment horizontal="right" vertical="center" wrapText="1"/>
    </xf>
    <xf numFmtId="2" fontId="14" fillId="3" borderId="3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top"/>
    </xf>
    <xf numFmtId="0" fontId="7" fillId="5" borderId="1" xfId="0" applyFont="1" applyFill="1" applyBorder="1"/>
    <xf numFmtId="2" fontId="7" fillId="5" borderId="16" xfId="0" applyNumberFormat="1" applyFont="1" applyFill="1" applyBorder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7" fillId="0" borderId="0" xfId="3" applyFont="1"/>
    <xf numFmtId="2" fontId="14" fillId="3" borderId="36" xfId="0" applyNumberFormat="1" applyFont="1" applyFill="1" applyBorder="1" applyAlignment="1">
      <alignment horizontal="right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164" fontId="7" fillId="0" borderId="0" xfId="0" applyNumberFormat="1" applyFont="1"/>
    <xf numFmtId="0" fontId="7" fillId="4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2" fontId="14" fillId="4" borderId="16" xfId="0" applyNumberFormat="1" applyFont="1" applyFill="1" applyBorder="1" applyAlignment="1">
      <alignment horizontal="right" vertical="center"/>
    </xf>
    <xf numFmtId="0" fontId="8" fillId="10" borderId="15" xfId="3" applyFont="1" applyFill="1" applyBorder="1" applyAlignment="1">
      <alignment vertical="center" wrapText="1"/>
    </xf>
    <xf numFmtId="0" fontId="8" fillId="10" borderId="1" xfId="3" applyFont="1" applyFill="1" applyBorder="1" applyAlignment="1">
      <alignment vertical="center" wrapText="1"/>
    </xf>
    <xf numFmtId="164" fontId="8" fillId="10" borderId="1" xfId="4" applyFont="1" applyFill="1" applyBorder="1" applyAlignment="1">
      <alignment vertical="center" wrapText="1"/>
    </xf>
    <xf numFmtId="2" fontId="8" fillId="10" borderId="16" xfId="4" applyNumberFormat="1" applyFont="1" applyFill="1" applyBorder="1" applyAlignment="1">
      <alignment horizontal="right" vertical="center" wrapText="1"/>
    </xf>
    <xf numFmtId="2" fontId="14" fillId="3" borderId="16" xfId="0" applyNumberFormat="1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6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5" borderId="27" xfId="0" applyFont="1" applyFill="1" applyBorder="1"/>
    <xf numFmtId="0" fontId="10" fillId="25" borderId="28" xfId="0" applyFont="1" applyFill="1" applyBorder="1" applyAlignment="1">
      <alignment vertical="center"/>
    </xf>
    <xf numFmtId="0" fontId="7" fillId="25" borderId="28" xfId="0" applyFont="1" applyFill="1" applyBorder="1"/>
    <xf numFmtId="2" fontId="7" fillId="25" borderId="29" xfId="0" applyNumberFormat="1" applyFont="1" applyFill="1" applyBorder="1" applyAlignment="1">
      <alignment horizontal="right"/>
    </xf>
    <xf numFmtId="0" fontId="10" fillId="9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right" vertical="center" wrapText="1"/>
    </xf>
    <xf numFmtId="2" fontId="7" fillId="3" borderId="16" xfId="0" applyNumberFormat="1" applyFont="1" applyFill="1" applyBorder="1" applyAlignment="1">
      <alignment horizontal="right"/>
    </xf>
    <xf numFmtId="0" fontId="8" fillId="5" borderId="33" xfId="0" applyFont="1" applyFill="1" applyBorder="1" applyAlignment="1">
      <alignment horizontal="center" vertical="top"/>
    </xf>
    <xf numFmtId="0" fontId="8" fillId="5" borderId="26" xfId="0" applyFont="1" applyFill="1" applyBorder="1" applyAlignment="1">
      <alignment vertical="center"/>
    </xf>
    <xf numFmtId="0" fontId="9" fillId="0" borderId="15" xfId="0" applyFont="1" applyBorder="1" applyAlignment="1">
      <alignment horizontal="center"/>
    </xf>
    <xf numFmtId="0" fontId="7" fillId="24" borderId="0" xfId="0" applyFont="1" applyFill="1"/>
    <xf numFmtId="2" fontId="7" fillId="24" borderId="14" xfId="0" applyNumberFormat="1" applyFont="1" applyFill="1" applyBorder="1" applyAlignment="1">
      <alignment horizontal="right"/>
    </xf>
    <xf numFmtId="0" fontId="8" fillId="0" borderId="15" xfId="3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9" fillId="0" borderId="16" xfId="4" applyNumberFormat="1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right" vertical="center"/>
    </xf>
    <xf numFmtId="0" fontId="7" fillId="25" borderId="13" xfId="0" applyFont="1" applyFill="1" applyBorder="1"/>
    <xf numFmtId="0" fontId="10" fillId="25" borderId="0" xfId="0" applyFont="1" applyFill="1" applyAlignment="1">
      <alignment vertical="center"/>
    </xf>
    <xf numFmtId="0" fontId="7" fillId="25" borderId="0" xfId="0" applyFont="1" applyFill="1"/>
    <xf numFmtId="2" fontId="7" fillId="25" borderId="14" xfId="0" applyNumberFormat="1" applyFont="1" applyFill="1" applyBorder="1" applyAlignment="1">
      <alignment horizontal="right"/>
    </xf>
    <xf numFmtId="0" fontId="7" fillId="9" borderId="1" xfId="0" applyFont="1" applyFill="1" applyBorder="1"/>
    <xf numFmtId="2" fontId="7" fillId="9" borderId="16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25" borderId="15" xfId="0" applyFont="1" applyFill="1" applyBorder="1"/>
    <xf numFmtId="0" fontId="10" fillId="25" borderId="1" xfId="0" applyFont="1" applyFill="1" applyBorder="1" applyAlignment="1">
      <alignment vertical="center"/>
    </xf>
    <xf numFmtId="0" fontId="7" fillId="25" borderId="1" xfId="0" applyFont="1" applyFill="1" applyBorder="1"/>
    <xf numFmtId="2" fontId="7" fillId="25" borderId="1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7" fillId="3" borderId="0" xfId="0" applyFont="1" applyFill="1"/>
    <xf numFmtId="2" fontId="7" fillId="3" borderId="14" xfId="0" applyNumberFormat="1" applyFont="1" applyFill="1" applyBorder="1" applyAlignment="1">
      <alignment horizontal="right"/>
    </xf>
    <xf numFmtId="0" fontId="10" fillId="25" borderId="38" xfId="0" applyFont="1" applyFill="1" applyBorder="1" applyAlignment="1">
      <alignment vertical="center"/>
    </xf>
    <xf numFmtId="0" fontId="7" fillId="25" borderId="38" xfId="0" applyFont="1" applyFill="1" applyBorder="1"/>
    <xf numFmtId="2" fontId="7" fillId="25" borderId="39" xfId="0" applyNumberFormat="1" applyFont="1" applyFill="1" applyBorder="1" applyAlignment="1">
      <alignment horizontal="right"/>
    </xf>
    <xf numFmtId="0" fontId="7" fillId="31" borderId="37" xfId="0" applyFont="1" applyFill="1" applyBorder="1"/>
    <xf numFmtId="0" fontId="8" fillId="34" borderId="1" xfId="3" applyFont="1" applyFill="1" applyBorder="1" applyAlignment="1">
      <alignment vertical="center"/>
    </xf>
    <xf numFmtId="0" fontId="7" fillId="31" borderId="38" xfId="0" applyFont="1" applyFill="1" applyBorder="1"/>
    <xf numFmtId="2" fontId="7" fillId="31" borderId="39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right"/>
    </xf>
    <xf numFmtId="0" fontId="9" fillId="4" borderId="13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4" xfId="3" applyNumberFormat="1" applyFont="1" applyFill="1" applyBorder="1" applyAlignment="1">
      <alignment horizontal="right" vertical="center"/>
    </xf>
    <xf numFmtId="0" fontId="8" fillId="8" borderId="15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2" fontId="8" fillId="8" borderId="1" xfId="3" applyNumberFormat="1" applyFont="1" applyFill="1" applyBorder="1" applyAlignment="1">
      <alignment horizontal="right" vertical="center" wrapText="1"/>
    </xf>
    <xf numFmtId="2" fontId="8" fillId="8" borderId="16" xfId="3" applyNumberFormat="1" applyFont="1" applyFill="1" applyBorder="1" applyAlignment="1">
      <alignment horizontal="right" vertical="center" wrapText="1"/>
    </xf>
    <xf numFmtId="0" fontId="8" fillId="9" borderId="15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6" xfId="4" applyNumberFormat="1" applyFont="1" applyFill="1" applyBorder="1" applyAlignment="1">
      <alignment horizontal="right" vertical="center"/>
    </xf>
    <xf numFmtId="0" fontId="9" fillId="4" borderId="15" xfId="3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right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2" fontId="9" fillId="4" borderId="36" xfId="4" applyNumberFormat="1" applyFont="1" applyFill="1" applyBorder="1" applyAlignment="1">
      <alignment horizontal="right" vertical="center" wrapText="1"/>
    </xf>
    <xf numFmtId="0" fontId="8" fillId="19" borderId="15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horizontal="center" vertical="center" wrapText="1"/>
    </xf>
    <xf numFmtId="164" fontId="8" fillId="19" borderId="1" xfId="4" applyFont="1" applyFill="1" applyBorder="1" applyAlignment="1">
      <alignment horizontal="center" vertical="center" wrapText="1"/>
    </xf>
    <xf numFmtId="2" fontId="8" fillId="19" borderId="25" xfId="4" applyNumberFormat="1" applyFont="1" applyFill="1" applyBorder="1" applyAlignment="1">
      <alignment horizontal="right" vertical="center" wrapText="1"/>
    </xf>
    <xf numFmtId="2" fontId="8" fillId="19" borderId="16" xfId="4" applyNumberFormat="1" applyFont="1" applyFill="1" applyBorder="1" applyAlignment="1">
      <alignment horizontal="right" vertical="center" wrapText="1"/>
    </xf>
    <xf numFmtId="0" fontId="8" fillId="11" borderId="15" xfId="3" applyFont="1" applyFill="1" applyBorder="1" applyAlignment="1">
      <alignment horizontal="center" vertical="center" wrapText="1"/>
    </xf>
    <xf numFmtId="0" fontId="8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6" xfId="4" applyNumberFormat="1" applyFont="1" applyFill="1" applyBorder="1" applyAlignment="1">
      <alignment horizontal="right" vertical="center" wrapText="1"/>
    </xf>
    <xf numFmtId="0" fontId="8" fillId="13" borderId="15" xfId="3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left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2" fontId="9" fillId="4" borderId="15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5" xfId="3" applyNumberFormat="1" applyFont="1" applyFill="1" applyBorder="1" applyAlignment="1">
      <alignment horizontal="center" vertical="center" wrapText="1"/>
    </xf>
    <xf numFmtId="2" fontId="8" fillId="19" borderId="1" xfId="4" applyNumberFormat="1" applyFont="1" applyFill="1" applyBorder="1" applyAlignment="1">
      <alignment horizontal="right" vertical="center" wrapText="1"/>
    </xf>
    <xf numFmtId="2" fontId="8" fillId="4" borderId="15" xfId="3" applyNumberFormat="1" applyFont="1" applyFill="1" applyBorder="1" applyAlignment="1">
      <alignment horizontal="center" vertical="center" wrapText="1"/>
    </xf>
    <xf numFmtId="2" fontId="8" fillId="4" borderId="1" xfId="3" applyNumberFormat="1" applyFont="1" applyFill="1" applyBorder="1" applyAlignment="1">
      <alignment horizontal="left" vertical="center" wrapText="1"/>
    </xf>
    <xf numFmtId="2" fontId="8" fillId="4" borderId="1" xfId="3" applyNumberFormat="1" applyFont="1" applyFill="1" applyBorder="1" applyAlignment="1">
      <alignment horizontal="center" vertical="center" wrapText="1"/>
    </xf>
    <xf numFmtId="164" fontId="8" fillId="4" borderId="1" xfId="4" applyFont="1" applyFill="1" applyBorder="1" applyAlignment="1">
      <alignment horizontal="center" vertical="center" wrapText="1"/>
    </xf>
    <xf numFmtId="2" fontId="8" fillId="4" borderId="1" xfId="4" applyNumberFormat="1" applyFont="1" applyFill="1" applyBorder="1" applyAlignment="1">
      <alignment horizontal="right" vertical="center" wrapText="1"/>
    </xf>
    <xf numFmtId="0" fontId="16" fillId="16" borderId="1" xfId="0" applyFont="1" applyFill="1" applyBorder="1" applyAlignment="1">
      <alignment vertical="center" wrapText="1"/>
    </xf>
    <xf numFmtId="0" fontId="9" fillId="14" borderId="15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vertical="center" wrapText="1"/>
    </xf>
    <xf numFmtId="0" fontId="8" fillId="29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6" xfId="4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13" borderId="15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vertical="center" wrapText="1"/>
    </xf>
    <xf numFmtId="0" fontId="8" fillId="19" borderId="33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horizontal="center" vertical="center" wrapText="1"/>
    </xf>
    <xf numFmtId="164" fontId="8" fillId="19" borderId="25" xfId="4" applyFont="1" applyFill="1" applyBorder="1" applyAlignment="1">
      <alignment horizontal="center" vertical="center" wrapText="1"/>
    </xf>
    <xf numFmtId="2" fontId="8" fillId="19" borderId="43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vertical="center" wrapText="1"/>
    </xf>
    <xf numFmtId="164" fontId="8" fillId="0" borderId="1" xfId="4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right" vertical="center" wrapText="1"/>
    </xf>
    <xf numFmtId="2" fontId="8" fillId="0" borderId="16" xfId="4" applyNumberFormat="1" applyFont="1" applyFill="1" applyBorder="1" applyAlignment="1">
      <alignment horizontal="right" vertical="center" wrapText="1"/>
    </xf>
    <xf numFmtId="0" fontId="8" fillId="20" borderId="15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horizontal="center" vertical="center" wrapText="1"/>
    </xf>
    <xf numFmtId="164" fontId="8" fillId="21" borderId="1" xfId="4" applyFont="1" applyFill="1" applyBorder="1" applyAlignment="1">
      <alignment horizontal="center" vertical="center"/>
    </xf>
    <xf numFmtId="2" fontId="8" fillId="21" borderId="1" xfId="4" applyNumberFormat="1" applyFont="1" applyFill="1" applyBorder="1" applyAlignment="1">
      <alignment horizontal="right" vertical="center"/>
    </xf>
    <xf numFmtId="2" fontId="8" fillId="21" borderId="16" xfId="4" applyNumberFormat="1" applyFont="1" applyFill="1" applyBorder="1" applyAlignment="1">
      <alignment horizontal="right" vertical="center"/>
    </xf>
    <xf numFmtId="164" fontId="8" fillId="20" borderId="1" xfId="4" applyFont="1" applyFill="1" applyBorder="1" applyAlignment="1">
      <alignment horizontal="center" vertical="center" wrapText="1"/>
    </xf>
    <xf numFmtId="2" fontId="8" fillId="20" borderId="1" xfId="4" applyNumberFormat="1" applyFont="1" applyFill="1" applyBorder="1" applyAlignment="1">
      <alignment horizontal="right" vertical="center" wrapText="1"/>
    </xf>
    <xf numFmtId="2" fontId="8" fillId="20" borderId="16" xfId="4" applyNumberFormat="1" applyFont="1" applyFill="1" applyBorder="1" applyAlignment="1">
      <alignment horizontal="right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8" xfId="3" applyFont="1" applyFill="1" applyBorder="1" applyAlignment="1">
      <alignment horizontal="center" vertical="center" wrapText="1"/>
    </xf>
    <xf numFmtId="2" fontId="8" fillId="10" borderId="0" xfId="3" applyNumberFormat="1" applyFont="1" applyFill="1" applyAlignment="1">
      <alignment horizontal="right" vertical="center" wrapText="1"/>
    </xf>
    <xf numFmtId="2" fontId="8" fillId="10" borderId="14" xfId="3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28" borderId="15" xfId="3" applyFont="1" applyFill="1" applyBorder="1" applyAlignment="1">
      <alignment horizontal="center" vertical="center" wrapText="1"/>
    </xf>
    <xf numFmtId="0" fontId="16" fillId="26" borderId="1" xfId="0" applyFont="1" applyFill="1" applyBorder="1" applyAlignment="1">
      <alignment vertical="center" wrapText="1"/>
    </xf>
    <xf numFmtId="0" fontId="11" fillId="26" borderId="1" xfId="0" applyFont="1" applyFill="1" applyBorder="1" applyAlignment="1">
      <alignment horizontal="center" vertical="center" wrapText="1"/>
    </xf>
    <xf numFmtId="2" fontId="11" fillId="26" borderId="1" xfId="0" applyNumberFormat="1" applyFont="1" applyFill="1" applyBorder="1" applyAlignment="1">
      <alignment horizontal="right" vertical="center" wrapText="1"/>
    </xf>
    <xf numFmtId="0" fontId="8" fillId="32" borderId="15" xfId="3" applyFont="1" applyFill="1" applyBorder="1" applyAlignment="1">
      <alignment vertical="center" wrapText="1"/>
    </xf>
    <xf numFmtId="0" fontId="16" fillId="25" borderId="1" xfId="0" applyFont="1" applyFill="1" applyBorder="1" applyAlignment="1">
      <alignment vertical="center" wrapText="1"/>
    </xf>
    <xf numFmtId="0" fontId="8" fillId="32" borderId="1" xfId="3" applyFont="1" applyFill="1" applyBorder="1" applyAlignment="1">
      <alignment horizontal="center" vertical="center" wrapText="1"/>
    </xf>
    <xf numFmtId="164" fontId="8" fillId="32" borderId="1" xfId="4" applyFont="1" applyFill="1" applyBorder="1" applyAlignment="1">
      <alignment horizontal="center" vertical="center" wrapText="1"/>
    </xf>
    <xf numFmtId="2" fontId="8" fillId="32" borderId="1" xfId="4" applyNumberFormat="1" applyFont="1" applyFill="1" applyBorder="1" applyAlignment="1">
      <alignment horizontal="right" vertical="center" wrapText="1"/>
    </xf>
    <xf numFmtId="2" fontId="8" fillId="32" borderId="16" xfId="4" applyNumberFormat="1" applyFont="1" applyFill="1" applyBorder="1" applyAlignment="1">
      <alignment horizontal="right" vertical="center" wrapText="1"/>
    </xf>
    <xf numFmtId="0" fontId="9" fillId="4" borderId="15" xfId="3" applyFont="1" applyFill="1" applyBorder="1" applyAlignment="1">
      <alignment horizontal="center" vertical="center"/>
    </xf>
    <xf numFmtId="0" fontId="8" fillId="33" borderId="15" xfId="3" applyFont="1" applyFill="1" applyBorder="1" applyAlignment="1">
      <alignment vertical="center"/>
    </xf>
    <xf numFmtId="0" fontId="16" fillId="25" borderId="1" xfId="0" applyFont="1" applyFill="1" applyBorder="1" applyAlignment="1">
      <alignment vertical="center"/>
    </xf>
    <xf numFmtId="0" fontId="8" fillId="32" borderId="1" xfId="3" applyFont="1" applyFill="1" applyBorder="1" applyAlignment="1">
      <alignment horizontal="center" vertical="center"/>
    </xf>
    <xf numFmtId="164" fontId="8" fillId="32" borderId="1" xfId="4" applyFont="1" applyFill="1" applyBorder="1" applyAlignment="1">
      <alignment horizontal="center" vertical="center"/>
    </xf>
    <xf numFmtId="2" fontId="8" fillId="32" borderId="1" xfId="4" applyNumberFormat="1" applyFont="1" applyFill="1" applyBorder="1" applyAlignment="1">
      <alignment horizontal="right" vertical="center"/>
    </xf>
    <xf numFmtId="2" fontId="8" fillId="32" borderId="16" xfId="4" applyNumberFormat="1" applyFont="1" applyFill="1" applyBorder="1" applyAlignment="1">
      <alignment horizontal="right" vertical="center"/>
    </xf>
    <xf numFmtId="0" fontId="16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8" fillId="32" borderId="1" xfId="3" applyFont="1" applyFill="1" applyBorder="1" applyAlignment="1">
      <alignment vertical="center" wrapText="1"/>
    </xf>
    <xf numFmtId="0" fontId="8" fillId="15" borderId="15" xfId="3" applyFont="1" applyFill="1" applyBorder="1" applyAlignment="1">
      <alignment vertical="center"/>
    </xf>
    <xf numFmtId="0" fontId="8" fillId="15" borderId="1" xfId="3" applyFont="1" applyFill="1" applyBorder="1" applyAlignment="1">
      <alignment vertical="center"/>
    </xf>
    <xf numFmtId="0" fontId="8" fillId="15" borderId="1" xfId="3" applyFont="1" applyFill="1" applyBorder="1" applyAlignment="1">
      <alignment horizontal="center" vertical="center" wrapText="1"/>
    </xf>
    <xf numFmtId="2" fontId="8" fillId="15" borderId="1" xfId="3" applyNumberFormat="1" applyFont="1" applyFill="1" applyBorder="1" applyAlignment="1">
      <alignment horizontal="right" vertical="center" wrapText="1"/>
    </xf>
    <xf numFmtId="2" fontId="8" fillId="15" borderId="16" xfId="3" applyNumberFormat="1" applyFont="1" applyFill="1" applyBorder="1" applyAlignment="1">
      <alignment horizontal="right" vertical="center" wrapText="1"/>
    </xf>
    <xf numFmtId="0" fontId="9" fillId="4" borderId="18" xfId="3" applyFont="1" applyFill="1" applyBorder="1" applyAlignment="1">
      <alignment horizontal="center" vertical="center"/>
    </xf>
    <xf numFmtId="0" fontId="9" fillId="4" borderId="19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2" fontId="9" fillId="4" borderId="19" xfId="3" applyNumberFormat="1" applyFont="1" applyFill="1" applyBorder="1" applyAlignment="1">
      <alignment horizontal="right" vertical="center"/>
    </xf>
    <xf numFmtId="2" fontId="9" fillId="4" borderId="20" xfId="3" applyNumberFormat="1" applyFont="1" applyFill="1" applyBorder="1" applyAlignment="1">
      <alignment horizontal="right" vertical="center"/>
    </xf>
    <xf numFmtId="0" fontId="7" fillId="30" borderId="27" xfId="0" applyFont="1" applyFill="1" applyBorder="1" applyAlignment="1">
      <alignment horizontal="center" vertical="center"/>
    </xf>
    <xf numFmtId="0" fontId="7" fillId="30" borderId="28" xfId="0" applyFont="1" applyFill="1" applyBorder="1" applyAlignment="1">
      <alignment horizontal="center" vertical="center"/>
    </xf>
    <xf numFmtId="0" fontId="7" fillId="30" borderId="29" xfId="0" applyFont="1" applyFill="1" applyBorder="1" applyAlignment="1">
      <alignment horizontal="center" vertical="center"/>
    </xf>
    <xf numFmtId="0" fontId="8" fillId="0" borderId="1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36" xfId="3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7" borderId="10" xfId="3" applyFont="1" applyFill="1" applyBorder="1" applyAlignment="1">
      <alignment horizontal="center" vertical="center" wrapText="1"/>
    </xf>
    <xf numFmtId="0" fontId="8" fillId="7" borderId="11" xfId="3" applyFont="1" applyFill="1" applyBorder="1" applyAlignment="1">
      <alignment horizontal="center" vertical="center" wrapText="1"/>
    </xf>
    <xf numFmtId="0" fontId="8" fillId="7" borderId="12" xfId="3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9" borderId="1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/>
    </xf>
    <xf numFmtId="0" fontId="9" fillId="5" borderId="26" xfId="0" applyFont="1" applyFill="1" applyBorder="1" applyAlignment="1">
      <alignment horizontal="center" vertical="top"/>
    </xf>
    <xf numFmtId="0" fontId="14" fillId="24" borderId="15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center" vertical="top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top"/>
    </xf>
    <xf numFmtId="0" fontId="10" fillId="25" borderId="38" xfId="0" applyFont="1" applyFill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G12" sqref="G12"/>
    </sheetView>
  </sheetViews>
  <sheetFormatPr baseColWidth="10" defaultColWidth="8.90625" defaultRowHeight="11.5" x14ac:dyDescent="0.25"/>
  <cols>
    <col min="1" max="1" width="3.1796875" style="1" customWidth="1"/>
    <col min="2" max="2" width="59.6328125" style="1" customWidth="1"/>
    <col min="3" max="3" width="16.36328125" style="1" customWidth="1"/>
    <col min="4" max="4" width="20.36328125" style="1" customWidth="1"/>
    <col min="5" max="16384" width="8.90625" style="1"/>
  </cols>
  <sheetData>
    <row r="1" spans="1:4" ht="26" customHeight="1" thickBot="1" x14ac:dyDescent="0.3">
      <c r="A1" s="339" t="s">
        <v>545</v>
      </c>
      <c r="B1" s="340"/>
      <c r="C1" s="340"/>
      <c r="D1" s="341"/>
    </row>
    <row r="2" spans="1:4" x14ac:dyDescent="0.25">
      <c r="A2" s="2" t="s">
        <v>0</v>
      </c>
      <c r="B2" s="3" t="s">
        <v>1</v>
      </c>
      <c r="C2" s="3" t="s">
        <v>549</v>
      </c>
      <c r="D2" s="4" t="s">
        <v>546</v>
      </c>
    </row>
    <row r="3" spans="1:4" x14ac:dyDescent="0.25">
      <c r="A3" s="5" t="s">
        <v>61</v>
      </c>
      <c r="B3" s="5" t="s">
        <v>567</v>
      </c>
      <c r="C3" s="6"/>
      <c r="D3" s="6"/>
    </row>
    <row r="4" spans="1:4" ht="34.5" x14ac:dyDescent="0.25">
      <c r="A4" s="7">
        <v>1</v>
      </c>
      <c r="B4" s="8" t="s">
        <v>568</v>
      </c>
      <c r="C4" s="9" t="s">
        <v>261</v>
      </c>
      <c r="D4" s="10">
        <f>'Bâtiment salle de classe et adm'!F8</f>
        <v>0</v>
      </c>
    </row>
    <row r="5" spans="1:4" x14ac:dyDescent="0.25">
      <c r="A5" s="11"/>
      <c r="B5" s="12" t="s">
        <v>270</v>
      </c>
      <c r="C5" s="11"/>
      <c r="D5" s="13">
        <f>SUM(D4)</f>
        <v>0</v>
      </c>
    </row>
    <row r="6" spans="1:4" x14ac:dyDescent="0.25">
      <c r="A6" s="5" t="s">
        <v>75</v>
      </c>
      <c r="B6" s="6" t="s">
        <v>540</v>
      </c>
      <c r="C6" s="6"/>
      <c r="D6" s="14"/>
    </row>
    <row r="7" spans="1:4" x14ac:dyDescent="0.25">
      <c r="A7" s="15">
        <v>1</v>
      </c>
      <c r="B7" s="16" t="str">
        <f>+'Bâtiment salle de classe et adm'!B9</f>
        <v>BATIMENT PEDAGOGIQUE DE 03 SALLES DE CLASSES</v>
      </c>
      <c r="C7" s="16">
        <v>2</v>
      </c>
      <c r="D7" s="17">
        <f>+'Bâtiment salle de classe et adm'!F99</f>
        <v>0</v>
      </c>
    </row>
    <row r="8" spans="1:4" x14ac:dyDescent="0.25">
      <c r="A8" s="15">
        <v>2</v>
      </c>
      <c r="B8" s="16" t="str">
        <f>+'Bâtiment salle de classe et adm'!B101</f>
        <v xml:space="preserve">BATIMENT ADMINISTRATIF </v>
      </c>
      <c r="C8" s="16">
        <v>1</v>
      </c>
      <c r="D8" s="17">
        <f>+'Bâtiment salle de classe et adm'!F198</f>
        <v>0</v>
      </c>
    </row>
    <row r="9" spans="1:4" x14ac:dyDescent="0.25">
      <c r="A9" s="15">
        <v>3</v>
      </c>
      <c r="B9" s="16" t="str">
        <f>+'Bâtiment salle de classe et adm'!B200</f>
        <v xml:space="preserve">OUVRAGES DE PROTECTION POUR TOUS LES BATIMENTS </v>
      </c>
      <c r="C9" s="16">
        <v>1</v>
      </c>
      <c r="D9" s="17">
        <f>+'Bâtiment salle de classe et adm'!F207</f>
        <v>0</v>
      </c>
    </row>
    <row r="10" spans="1:4" x14ac:dyDescent="0.25">
      <c r="A10" s="18">
        <v>4</v>
      </c>
      <c r="B10" s="19" t="str">
        <f>+'Bâtiment salle de classe et adm'!B209</f>
        <v>AMENAGEMENT EXTERIEUR</v>
      </c>
      <c r="C10" s="19">
        <v>1</v>
      </c>
      <c r="D10" s="20">
        <f>+'Bâtiment salle de classe et adm'!F215</f>
        <v>0</v>
      </c>
    </row>
    <row r="11" spans="1:4" x14ac:dyDescent="0.25">
      <c r="A11" s="21"/>
      <c r="B11" s="11" t="str">
        <f>+'Bâtiment salle de classe et adm'!B217</f>
        <v>MONTANT TOTAL HT</v>
      </c>
      <c r="C11" s="22"/>
      <c r="D11" s="23">
        <f>SUM(D7:D10)</f>
        <v>0</v>
      </c>
    </row>
    <row r="12" spans="1:4" x14ac:dyDescent="0.25">
      <c r="A12" s="24" t="s">
        <v>320</v>
      </c>
      <c r="B12" s="25" t="s">
        <v>541</v>
      </c>
      <c r="C12" s="25"/>
      <c r="D12" s="26"/>
    </row>
    <row r="13" spans="1:4" x14ac:dyDescent="0.25">
      <c r="A13" s="15">
        <v>1</v>
      </c>
      <c r="B13" s="16" t="str">
        <f>+Sanitaire!B2</f>
        <v>SANITAIRE DE GARCONS</v>
      </c>
      <c r="C13" s="16">
        <v>1</v>
      </c>
      <c r="D13" s="17">
        <f>+Sanitaire!F58</f>
        <v>0</v>
      </c>
    </row>
    <row r="14" spans="1:4" x14ac:dyDescent="0.25">
      <c r="A14" s="15">
        <v>2</v>
      </c>
      <c r="B14" s="16" t="str">
        <f>+Sanitaire!B60</f>
        <v>SANITAIRE DE FILLES</v>
      </c>
      <c r="C14" s="16">
        <v>1</v>
      </c>
      <c r="D14" s="17">
        <f>+Sanitaire!F116</f>
        <v>0</v>
      </c>
    </row>
    <row r="15" spans="1:4" x14ac:dyDescent="0.25">
      <c r="A15" s="15">
        <v>3</v>
      </c>
      <c r="B15" s="16" t="str">
        <f>+Sanitaire!B118</f>
        <v>FOSSE SEPTIQUE ET PUIT PERDANT</v>
      </c>
      <c r="C15" s="16">
        <v>1</v>
      </c>
      <c r="D15" s="17">
        <f>+Sanitaire!F123</f>
        <v>0</v>
      </c>
    </row>
    <row r="16" spans="1:4" x14ac:dyDescent="0.25">
      <c r="A16" s="15">
        <v>4</v>
      </c>
      <c r="B16" s="16" t="str">
        <f>+Sanitaire!B125</f>
        <v xml:space="preserve">TOUR EN BETON AVEC CITERNES </v>
      </c>
      <c r="C16" s="16">
        <v>1</v>
      </c>
      <c r="D16" s="17">
        <f>+Sanitaire!F129</f>
        <v>0</v>
      </c>
    </row>
    <row r="17" spans="1:4" x14ac:dyDescent="0.25">
      <c r="A17" s="21"/>
      <c r="B17" s="27" t="str">
        <f>+B11</f>
        <v>MONTANT TOTAL HT</v>
      </c>
      <c r="C17" s="27"/>
      <c r="D17" s="23">
        <f>SUM(D13:D16)</f>
        <v>0</v>
      </c>
    </row>
    <row r="18" spans="1:4" x14ac:dyDescent="0.25">
      <c r="A18" s="5" t="s">
        <v>321</v>
      </c>
      <c r="B18" s="6" t="s">
        <v>542</v>
      </c>
      <c r="C18" s="6"/>
      <c r="D18" s="14"/>
    </row>
    <row r="19" spans="1:4" x14ac:dyDescent="0.25">
      <c r="A19" s="15">
        <v>1</v>
      </c>
      <c r="B19" s="8" t="str">
        <f>+Forage!A1</f>
        <v xml:space="preserve"> FORAGE  DE 120 METRES                      </v>
      </c>
      <c r="C19" s="16">
        <v>1</v>
      </c>
      <c r="D19" s="17">
        <f>+Forage!F59</f>
        <v>0</v>
      </c>
    </row>
    <row r="20" spans="1:4" x14ac:dyDescent="0.25">
      <c r="A20" s="21"/>
      <c r="B20" s="27" t="str">
        <f>+B17</f>
        <v>MONTANT TOTAL HT</v>
      </c>
      <c r="C20" s="27"/>
      <c r="D20" s="23">
        <f>SUM(D19)</f>
        <v>0</v>
      </c>
    </row>
    <row r="21" spans="1:4" x14ac:dyDescent="0.25">
      <c r="A21" s="5" t="s">
        <v>569</v>
      </c>
      <c r="B21" s="6" t="s">
        <v>543</v>
      </c>
      <c r="C21" s="6"/>
      <c r="D21" s="14"/>
    </row>
    <row r="22" spans="1:4" x14ac:dyDescent="0.25">
      <c r="A22" s="15">
        <v>1</v>
      </c>
      <c r="B22" s="16" t="str">
        <f>+Clôture!B2</f>
        <v>Construction d'une clôture de 14 ml pour protéger le forage</v>
      </c>
      <c r="C22" s="16">
        <v>1</v>
      </c>
      <c r="D22" s="17">
        <f>Clôture!F9</f>
        <v>0</v>
      </c>
    </row>
    <row r="23" spans="1:4" x14ac:dyDescent="0.25">
      <c r="A23" s="21"/>
      <c r="B23" s="27" t="str">
        <f>+B17</f>
        <v>MONTANT TOTAL HT</v>
      </c>
      <c r="C23" s="27"/>
      <c r="D23" s="23">
        <f>SUM(D22)</f>
        <v>0</v>
      </c>
    </row>
    <row r="24" spans="1:4" ht="12" thickBot="1" x14ac:dyDescent="0.3">
      <c r="A24" s="28"/>
      <c r="D24" s="29"/>
    </row>
    <row r="25" spans="1:4" ht="12" thickBot="1" x14ac:dyDescent="0.3">
      <c r="A25" s="30"/>
      <c r="B25" s="31" t="s">
        <v>544</v>
      </c>
      <c r="C25" s="31"/>
      <c r="D25" s="32">
        <f>+D23+D20+D17+D11+D5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zoomScaleNormal="100" zoomScaleSheetLayoutView="100" workbookViewId="0">
      <selection activeCell="A2" sqref="A2:F218"/>
    </sheetView>
  </sheetViews>
  <sheetFormatPr baseColWidth="10" defaultColWidth="11" defaultRowHeight="11.5" x14ac:dyDescent="0.25"/>
  <cols>
    <col min="1" max="1" width="11" style="152"/>
    <col min="2" max="2" width="71.36328125" style="152" customWidth="1"/>
    <col min="3" max="3" width="11" style="225"/>
    <col min="4" max="4" width="11" style="225" customWidth="1"/>
    <col min="5" max="5" width="11" style="226" customWidth="1"/>
    <col min="6" max="6" width="12.453125" style="226" customWidth="1"/>
    <col min="7" max="16384" width="11" style="152"/>
  </cols>
  <sheetData>
    <row r="1" spans="1:6" ht="12" thickBot="1" x14ac:dyDescent="0.3"/>
    <row r="2" spans="1:6" ht="27" customHeight="1" x14ac:dyDescent="0.25">
      <c r="A2" s="351" t="s">
        <v>271</v>
      </c>
      <c r="B2" s="352"/>
      <c r="C2" s="352"/>
      <c r="D2" s="352"/>
      <c r="E2" s="352"/>
      <c r="F2" s="353"/>
    </row>
    <row r="3" spans="1:6" x14ac:dyDescent="0.25">
      <c r="A3" s="227"/>
      <c r="B3" s="228"/>
      <c r="C3" s="228"/>
      <c r="D3" s="228"/>
      <c r="E3" s="229"/>
      <c r="F3" s="230"/>
    </row>
    <row r="4" spans="1:6" x14ac:dyDescent="0.25">
      <c r="A4" s="231" t="s">
        <v>0</v>
      </c>
      <c r="B4" s="232" t="s">
        <v>1</v>
      </c>
      <c r="C4" s="232" t="s">
        <v>40</v>
      </c>
      <c r="D4" s="232" t="s">
        <v>81</v>
      </c>
      <c r="E4" s="233" t="s">
        <v>349</v>
      </c>
      <c r="F4" s="234" t="s">
        <v>350</v>
      </c>
    </row>
    <row r="5" spans="1:6" x14ac:dyDescent="0.25">
      <c r="A5" s="235">
        <v>100</v>
      </c>
      <c r="B5" s="38" t="s">
        <v>82</v>
      </c>
      <c r="C5" s="39"/>
      <c r="D5" s="40"/>
      <c r="E5" s="236"/>
      <c r="F5" s="237"/>
    </row>
    <row r="6" spans="1:6" ht="23" x14ac:dyDescent="0.25">
      <c r="A6" s="238" t="s">
        <v>83</v>
      </c>
      <c r="B6" s="48" t="s">
        <v>272</v>
      </c>
      <c r="C6" s="43" t="s">
        <v>30</v>
      </c>
      <c r="D6" s="45">
        <v>1</v>
      </c>
      <c r="E6" s="239"/>
      <c r="F6" s="139">
        <f>E6*D6</f>
        <v>0</v>
      </c>
    </row>
    <row r="7" spans="1:6" x14ac:dyDescent="0.25">
      <c r="A7" s="238" t="s">
        <v>84</v>
      </c>
      <c r="B7" s="240" t="s">
        <v>85</v>
      </c>
      <c r="C7" s="151" t="s">
        <v>20</v>
      </c>
      <c r="D7" s="44">
        <v>8400</v>
      </c>
      <c r="E7" s="241"/>
      <c r="F7" s="242">
        <f>E7*D7</f>
        <v>0</v>
      </c>
    </row>
    <row r="8" spans="1:6" x14ac:dyDescent="0.25">
      <c r="A8" s="243"/>
      <c r="B8" s="244" t="s">
        <v>86</v>
      </c>
      <c r="C8" s="245"/>
      <c r="D8" s="246"/>
      <c r="E8" s="247"/>
      <c r="F8" s="248">
        <f>SUM(F6:F7)</f>
        <v>0</v>
      </c>
    </row>
    <row r="9" spans="1:6" x14ac:dyDescent="0.25">
      <c r="A9" s="235">
        <v>200</v>
      </c>
      <c r="B9" s="38" t="s">
        <v>87</v>
      </c>
      <c r="C9" s="39"/>
      <c r="D9" s="40"/>
      <c r="E9" s="236"/>
      <c r="F9" s="237"/>
    </row>
    <row r="10" spans="1:6" x14ac:dyDescent="0.25">
      <c r="A10" s="249" t="s">
        <v>88</v>
      </c>
      <c r="B10" s="250" t="s">
        <v>89</v>
      </c>
      <c r="C10" s="251"/>
      <c r="D10" s="252"/>
      <c r="E10" s="253"/>
      <c r="F10" s="254"/>
    </row>
    <row r="11" spans="1:6" x14ac:dyDescent="0.25">
      <c r="A11" s="255" t="s">
        <v>90</v>
      </c>
      <c r="B11" s="256" t="s">
        <v>91</v>
      </c>
      <c r="C11" s="43"/>
      <c r="D11" s="45"/>
      <c r="E11" s="257"/>
      <c r="F11" s="139"/>
    </row>
    <row r="12" spans="1:6" x14ac:dyDescent="0.25">
      <c r="A12" s="258" t="s">
        <v>92</v>
      </c>
      <c r="B12" s="48" t="s">
        <v>93</v>
      </c>
      <c r="C12" s="151" t="s">
        <v>94</v>
      </c>
      <c r="D12" s="45">
        <v>63.921599999999991</v>
      </c>
      <c r="E12" s="257"/>
      <c r="F12" s="139">
        <f t="shared" ref="F12:F26" si="0">E12*D12</f>
        <v>0</v>
      </c>
    </row>
    <row r="13" spans="1:6" x14ac:dyDescent="0.25">
      <c r="A13" s="258" t="s">
        <v>95</v>
      </c>
      <c r="B13" s="48" t="s">
        <v>96</v>
      </c>
      <c r="C13" s="151" t="s">
        <v>94</v>
      </c>
      <c r="D13" s="45">
        <v>2.6634000000000002</v>
      </c>
      <c r="E13" s="257"/>
      <c r="F13" s="139">
        <f t="shared" si="0"/>
        <v>0</v>
      </c>
    </row>
    <row r="14" spans="1:6" x14ac:dyDescent="0.25">
      <c r="A14" s="258" t="s">
        <v>97</v>
      </c>
      <c r="B14" s="174" t="s">
        <v>326</v>
      </c>
      <c r="C14" s="259" t="s">
        <v>94</v>
      </c>
      <c r="D14" s="45">
        <v>37.646399999999993</v>
      </c>
      <c r="E14" s="257"/>
      <c r="F14" s="139">
        <f t="shared" si="0"/>
        <v>0</v>
      </c>
    </row>
    <row r="15" spans="1:6" x14ac:dyDescent="0.25">
      <c r="A15" s="258" t="s">
        <v>98</v>
      </c>
      <c r="B15" s="48" t="s">
        <v>273</v>
      </c>
      <c r="C15" s="151" t="s">
        <v>94</v>
      </c>
      <c r="D15" s="45">
        <v>4.0320000000000009</v>
      </c>
      <c r="E15" s="257"/>
      <c r="F15" s="139">
        <f t="shared" si="0"/>
        <v>0</v>
      </c>
    </row>
    <row r="16" spans="1:6" ht="23" x14ac:dyDescent="0.25">
      <c r="A16" s="258" t="s">
        <v>99</v>
      </c>
      <c r="B16" s="48" t="s">
        <v>274</v>
      </c>
      <c r="C16" s="151" t="s">
        <v>94</v>
      </c>
      <c r="D16" s="45">
        <v>2.19604</v>
      </c>
      <c r="E16" s="257"/>
      <c r="F16" s="139">
        <f t="shared" si="0"/>
        <v>0</v>
      </c>
    </row>
    <row r="17" spans="1:6" ht="23" x14ac:dyDescent="0.25">
      <c r="A17" s="258" t="s">
        <v>100</v>
      </c>
      <c r="B17" s="48" t="s">
        <v>275</v>
      </c>
      <c r="C17" s="151" t="s">
        <v>94</v>
      </c>
      <c r="D17" s="45">
        <v>78.199999999999989</v>
      </c>
      <c r="E17" s="257"/>
      <c r="F17" s="139">
        <f t="shared" si="0"/>
        <v>0</v>
      </c>
    </row>
    <row r="18" spans="1:6" x14ac:dyDescent="0.25">
      <c r="A18" s="258" t="s">
        <v>101</v>
      </c>
      <c r="B18" s="48" t="s">
        <v>276</v>
      </c>
      <c r="C18" s="151" t="s">
        <v>20</v>
      </c>
      <c r="D18" s="45">
        <v>206.517</v>
      </c>
      <c r="E18" s="257"/>
      <c r="F18" s="139">
        <f t="shared" si="0"/>
        <v>0</v>
      </c>
    </row>
    <row r="19" spans="1:6" x14ac:dyDescent="0.25">
      <c r="A19" s="258" t="s">
        <v>102</v>
      </c>
      <c r="B19" s="48" t="s">
        <v>277</v>
      </c>
      <c r="C19" s="151" t="s">
        <v>94</v>
      </c>
      <c r="D19" s="45">
        <v>13.684999999999999</v>
      </c>
      <c r="E19" s="257"/>
      <c r="F19" s="139">
        <f t="shared" si="0"/>
        <v>0</v>
      </c>
    </row>
    <row r="20" spans="1:6" x14ac:dyDescent="0.25">
      <c r="A20" s="260"/>
      <c r="B20" s="244" t="s">
        <v>103</v>
      </c>
      <c r="C20" s="245"/>
      <c r="D20" s="246"/>
      <c r="E20" s="261"/>
      <c r="F20" s="248">
        <f>SUM(F12:F19)</f>
        <v>0</v>
      </c>
    </row>
    <row r="21" spans="1:6" x14ac:dyDescent="0.25">
      <c r="A21" s="262" t="s">
        <v>104</v>
      </c>
      <c r="B21" s="263" t="s">
        <v>105</v>
      </c>
      <c r="C21" s="264"/>
      <c r="D21" s="265"/>
      <c r="E21" s="266"/>
      <c r="F21" s="139">
        <f t="shared" si="0"/>
        <v>0</v>
      </c>
    </row>
    <row r="22" spans="1:6" x14ac:dyDescent="0.25">
      <c r="A22" s="258" t="s">
        <v>106</v>
      </c>
      <c r="B22" s="48" t="s">
        <v>107</v>
      </c>
      <c r="C22" s="151" t="s">
        <v>94</v>
      </c>
      <c r="D22" s="45">
        <v>32.866999999999997</v>
      </c>
      <c r="E22" s="257"/>
      <c r="F22" s="139">
        <f t="shared" si="0"/>
        <v>0</v>
      </c>
    </row>
    <row r="23" spans="1:6" x14ac:dyDescent="0.25">
      <c r="A23" s="258" t="s">
        <v>108</v>
      </c>
      <c r="B23" s="48" t="s">
        <v>109</v>
      </c>
      <c r="C23" s="151" t="s">
        <v>94</v>
      </c>
      <c r="D23" s="45">
        <v>1.3972499999999999</v>
      </c>
      <c r="E23" s="257"/>
      <c r="F23" s="139">
        <f t="shared" si="0"/>
        <v>0</v>
      </c>
    </row>
    <row r="24" spans="1:6" x14ac:dyDescent="0.25">
      <c r="A24" s="258" t="s">
        <v>110</v>
      </c>
      <c r="B24" s="48" t="s">
        <v>278</v>
      </c>
      <c r="C24" s="151" t="s">
        <v>94</v>
      </c>
      <c r="D24" s="45">
        <v>1.1759999999999999</v>
      </c>
      <c r="E24" s="257"/>
      <c r="F24" s="139">
        <f t="shared" si="0"/>
        <v>0</v>
      </c>
    </row>
    <row r="25" spans="1:6" x14ac:dyDescent="0.25">
      <c r="A25" s="258" t="s">
        <v>111</v>
      </c>
      <c r="B25" s="48" t="s">
        <v>112</v>
      </c>
      <c r="C25" s="151" t="s">
        <v>94</v>
      </c>
      <c r="D25" s="45">
        <v>1.5345</v>
      </c>
      <c r="E25" s="257"/>
      <c r="F25" s="139">
        <f t="shared" si="0"/>
        <v>0</v>
      </c>
    </row>
    <row r="26" spans="1:6" x14ac:dyDescent="0.25">
      <c r="A26" s="258" t="s">
        <v>113</v>
      </c>
      <c r="B26" s="48" t="s">
        <v>279</v>
      </c>
      <c r="C26" s="151" t="s">
        <v>94</v>
      </c>
      <c r="D26" s="45">
        <v>0.54358200000000001</v>
      </c>
      <c r="E26" s="257"/>
      <c r="F26" s="139">
        <f t="shared" si="0"/>
        <v>0</v>
      </c>
    </row>
    <row r="27" spans="1:6" x14ac:dyDescent="0.25">
      <c r="A27" s="243"/>
      <c r="B27" s="244" t="s">
        <v>114</v>
      </c>
      <c r="C27" s="245"/>
      <c r="D27" s="246"/>
      <c r="E27" s="261"/>
      <c r="F27" s="248">
        <f>SUM(F21:F26)</f>
        <v>0</v>
      </c>
    </row>
    <row r="28" spans="1:6" x14ac:dyDescent="0.25">
      <c r="A28" s="255" t="s">
        <v>115</v>
      </c>
      <c r="B28" s="256" t="s">
        <v>116</v>
      </c>
      <c r="C28" s="43"/>
      <c r="D28" s="45"/>
      <c r="E28" s="257"/>
      <c r="F28" s="139"/>
    </row>
    <row r="29" spans="1:6" ht="23" x14ac:dyDescent="0.25">
      <c r="A29" s="258" t="s">
        <v>117</v>
      </c>
      <c r="B29" s="48" t="s">
        <v>280</v>
      </c>
      <c r="C29" s="151" t="s">
        <v>20</v>
      </c>
      <c r="D29" s="45">
        <v>278.63799999999998</v>
      </c>
      <c r="E29" s="257"/>
      <c r="F29" s="139">
        <f t="shared" ref="F29:F35" si="1">E29*D29</f>
        <v>0</v>
      </c>
    </row>
    <row r="30" spans="1:6" ht="23" x14ac:dyDescent="0.25">
      <c r="A30" s="258" t="s">
        <v>118</v>
      </c>
      <c r="B30" s="48" t="s">
        <v>281</v>
      </c>
      <c r="C30" s="151" t="s">
        <v>94</v>
      </c>
      <c r="D30" s="45">
        <v>2.7283750000000002</v>
      </c>
      <c r="E30" s="257"/>
      <c r="F30" s="139">
        <f t="shared" si="1"/>
        <v>0</v>
      </c>
    </row>
    <row r="31" spans="1:6" x14ac:dyDescent="0.25">
      <c r="A31" s="258" t="s">
        <v>119</v>
      </c>
      <c r="B31" s="48" t="s">
        <v>120</v>
      </c>
      <c r="C31" s="151" t="s">
        <v>94</v>
      </c>
      <c r="D31" s="45">
        <v>1.196</v>
      </c>
      <c r="E31" s="257"/>
      <c r="F31" s="139">
        <f t="shared" si="1"/>
        <v>0</v>
      </c>
    </row>
    <row r="32" spans="1:6" x14ac:dyDescent="0.25">
      <c r="A32" s="258" t="s">
        <v>121</v>
      </c>
      <c r="B32" s="48" t="s">
        <v>282</v>
      </c>
      <c r="C32" s="151" t="s">
        <v>20</v>
      </c>
      <c r="D32" s="45">
        <v>358.79999999999995</v>
      </c>
      <c r="E32" s="257"/>
      <c r="F32" s="139">
        <f t="shared" si="1"/>
        <v>0</v>
      </c>
    </row>
    <row r="33" spans="1:6" x14ac:dyDescent="0.25">
      <c r="A33" s="258" t="s">
        <v>122</v>
      </c>
      <c r="B33" s="48" t="s">
        <v>123</v>
      </c>
      <c r="C33" s="151" t="s">
        <v>124</v>
      </c>
      <c r="D33" s="45">
        <v>79.599999999999994</v>
      </c>
      <c r="E33" s="257"/>
      <c r="F33" s="139">
        <f t="shared" si="1"/>
        <v>0</v>
      </c>
    </row>
    <row r="34" spans="1:6" x14ac:dyDescent="0.25">
      <c r="A34" s="238" t="s">
        <v>125</v>
      </c>
      <c r="B34" s="48" t="s">
        <v>283</v>
      </c>
      <c r="C34" s="43" t="s">
        <v>124</v>
      </c>
      <c r="D34" s="45">
        <v>27.3</v>
      </c>
      <c r="E34" s="257"/>
      <c r="F34" s="139">
        <f t="shared" si="1"/>
        <v>0</v>
      </c>
    </row>
    <row r="35" spans="1:6" x14ac:dyDescent="0.25">
      <c r="A35" s="238" t="s">
        <v>192</v>
      </c>
      <c r="B35" s="48" t="s">
        <v>303</v>
      </c>
      <c r="C35" s="43" t="s">
        <v>30</v>
      </c>
      <c r="D35" s="45">
        <v>1</v>
      </c>
      <c r="E35" s="257"/>
      <c r="F35" s="139">
        <f t="shared" si="1"/>
        <v>0</v>
      </c>
    </row>
    <row r="36" spans="1:6" x14ac:dyDescent="0.25">
      <c r="A36" s="243"/>
      <c r="B36" s="244" t="s">
        <v>126</v>
      </c>
      <c r="C36" s="245"/>
      <c r="D36" s="246"/>
      <c r="E36" s="261"/>
      <c r="F36" s="248">
        <f>SUM(F29:F35)</f>
        <v>0</v>
      </c>
    </row>
    <row r="37" spans="1:6" x14ac:dyDescent="0.25">
      <c r="A37" s="249" t="s">
        <v>127</v>
      </c>
      <c r="B37" s="250" t="s">
        <v>128</v>
      </c>
      <c r="C37" s="251"/>
      <c r="D37" s="252"/>
      <c r="E37" s="253"/>
      <c r="F37" s="254"/>
    </row>
    <row r="38" spans="1:6" x14ac:dyDescent="0.25">
      <c r="A38" s="255" t="s">
        <v>129</v>
      </c>
      <c r="B38" s="267" t="s">
        <v>27</v>
      </c>
      <c r="C38" s="43"/>
      <c r="D38" s="45"/>
      <c r="E38" s="257"/>
      <c r="F38" s="139">
        <f t="shared" ref="F38:F42" si="2">E38*D38</f>
        <v>0</v>
      </c>
    </row>
    <row r="39" spans="1:6" ht="23" x14ac:dyDescent="0.25">
      <c r="A39" s="268" t="s">
        <v>130</v>
      </c>
      <c r="B39" s="48" t="s">
        <v>284</v>
      </c>
      <c r="C39" s="269" t="s">
        <v>29</v>
      </c>
      <c r="D39" s="270">
        <v>3</v>
      </c>
      <c r="E39" s="271"/>
      <c r="F39" s="139">
        <f t="shared" si="2"/>
        <v>0</v>
      </c>
    </row>
    <row r="40" spans="1:6" ht="23" x14ac:dyDescent="0.25">
      <c r="A40" s="268" t="s">
        <v>131</v>
      </c>
      <c r="B40" s="48" t="s">
        <v>285</v>
      </c>
      <c r="C40" s="269" t="s">
        <v>29</v>
      </c>
      <c r="D40" s="270">
        <v>21</v>
      </c>
      <c r="E40" s="271"/>
      <c r="F40" s="139">
        <f t="shared" si="2"/>
        <v>0</v>
      </c>
    </row>
    <row r="41" spans="1:6" ht="23" x14ac:dyDescent="0.25">
      <c r="A41" s="268" t="s">
        <v>132</v>
      </c>
      <c r="B41" s="48" t="s">
        <v>133</v>
      </c>
      <c r="C41" s="269" t="s">
        <v>29</v>
      </c>
      <c r="D41" s="270">
        <v>21</v>
      </c>
      <c r="E41" s="271"/>
      <c r="F41" s="139">
        <f t="shared" si="2"/>
        <v>0</v>
      </c>
    </row>
    <row r="42" spans="1:6" ht="23" x14ac:dyDescent="0.25">
      <c r="A42" s="268" t="s">
        <v>134</v>
      </c>
      <c r="B42" s="48" t="s">
        <v>135</v>
      </c>
      <c r="C42" s="269" t="s">
        <v>29</v>
      </c>
      <c r="D42" s="270">
        <v>24</v>
      </c>
      <c r="E42" s="271"/>
      <c r="F42" s="139">
        <f t="shared" si="2"/>
        <v>0</v>
      </c>
    </row>
    <row r="43" spans="1:6" x14ac:dyDescent="0.25">
      <c r="A43" s="243"/>
      <c r="B43" s="244" t="s">
        <v>136</v>
      </c>
      <c r="C43" s="245"/>
      <c r="D43" s="246"/>
      <c r="E43" s="261"/>
      <c r="F43" s="248">
        <f>SUM(F38:F42)</f>
        <v>0</v>
      </c>
    </row>
    <row r="44" spans="1:6" x14ac:dyDescent="0.25">
      <c r="A44" s="249" t="s">
        <v>137</v>
      </c>
      <c r="B44" s="250" t="s">
        <v>138</v>
      </c>
      <c r="C44" s="251"/>
      <c r="D44" s="252"/>
      <c r="E44" s="253"/>
      <c r="F44" s="254"/>
    </row>
    <row r="45" spans="1:6" x14ac:dyDescent="0.25">
      <c r="A45" s="238" t="s">
        <v>139</v>
      </c>
      <c r="B45" s="48" t="s">
        <v>286</v>
      </c>
      <c r="C45" s="43" t="s">
        <v>20</v>
      </c>
      <c r="D45" s="45">
        <f>+D18</f>
        <v>206.517</v>
      </c>
      <c r="E45" s="257"/>
      <c r="F45" s="139">
        <f t="shared" ref="F45:F49" si="3">E45*D45</f>
        <v>0</v>
      </c>
    </row>
    <row r="46" spans="1:6" x14ac:dyDescent="0.25">
      <c r="A46" s="238" t="s">
        <v>140</v>
      </c>
      <c r="B46" s="48" t="s">
        <v>141</v>
      </c>
      <c r="C46" s="43" t="s">
        <v>20</v>
      </c>
      <c r="D46" s="45">
        <f>(77.2*3)-40*1.15</f>
        <v>185.60000000000002</v>
      </c>
      <c r="E46" s="257"/>
      <c r="F46" s="139">
        <f t="shared" si="3"/>
        <v>0</v>
      </c>
    </row>
    <row r="47" spans="1:6" x14ac:dyDescent="0.25">
      <c r="A47" s="238" t="s">
        <v>142</v>
      </c>
      <c r="B47" s="48" t="s">
        <v>143</v>
      </c>
      <c r="C47" s="43" t="s">
        <v>20</v>
      </c>
      <c r="D47" s="45">
        <f>(1.4*5)*3</f>
        <v>21</v>
      </c>
      <c r="E47" s="257"/>
      <c r="F47" s="139">
        <f t="shared" si="3"/>
        <v>0</v>
      </c>
    </row>
    <row r="48" spans="1:6" x14ac:dyDescent="0.25">
      <c r="A48" s="238" t="s">
        <v>144</v>
      </c>
      <c r="B48" s="48" t="s">
        <v>287</v>
      </c>
      <c r="C48" s="43" t="s">
        <v>20</v>
      </c>
      <c r="D48" s="45">
        <f>((66*3)/2)*1.1</f>
        <v>108.9</v>
      </c>
      <c r="E48" s="257"/>
      <c r="F48" s="139">
        <f t="shared" si="3"/>
        <v>0</v>
      </c>
    </row>
    <row r="49" spans="1:6" x14ac:dyDescent="0.25">
      <c r="A49" s="238" t="s">
        <v>145</v>
      </c>
      <c r="B49" s="48" t="s">
        <v>288</v>
      </c>
      <c r="C49" s="43" t="s">
        <v>20</v>
      </c>
      <c r="D49" s="45">
        <f>((66*3)/1.5)*1.1</f>
        <v>145.20000000000002</v>
      </c>
      <c r="E49" s="257"/>
      <c r="F49" s="139">
        <f t="shared" si="3"/>
        <v>0</v>
      </c>
    </row>
    <row r="50" spans="1:6" x14ac:dyDescent="0.25">
      <c r="A50" s="243"/>
      <c r="B50" s="272" t="s">
        <v>289</v>
      </c>
      <c r="C50" s="245"/>
      <c r="D50" s="246"/>
      <c r="E50" s="261"/>
      <c r="F50" s="248">
        <f>SUM(F45:F49)</f>
        <v>0</v>
      </c>
    </row>
    <row r="51" spans="1:6" x14ac:dyDescent="0.25">
      <c r="A51" s="249" t="s">
        <v>146</v>
      </c>
      <c r="B51" s="273" t="s">
        <v>147</v>
      </c>
      <c r="C51" s="251"/>
      <c r="D51" s="252"/>
      <c r="E51" s="253"/>
      <c r="F51" s="254"/>
    </row>
    <row r="52" spans="1:6" x14ac:dyDescent="0.25">
      <c r="A52" s="238" t="s">
        <v>148</v>
      </c>
      <c r="B52" s="48" t="s">
        <v>149</v>
      </c>
      <c r="C52" s="43" t="s">
        <v>20</v>
      </c>
      <c r="D52" s="45">
        <f>D49+D46</f>
        <v>330.80000000000007</v>
      </c>
      <c r="E52" s="257"/>
      <c r="F52" s="139">
        <f t="shared" ref="F52:F57" si="4">E52*D52</f>
        <v>0</v>
      </c>
    </row>
    <row r="53" spans="1:6" x14ac:dyDescent="0.25">
      <c r="A53" s="238" t="s">
        <v>150</v>
      </c>
      <c r="B53" s="48" t="s">
        <v>290</v>
      </c>
      <c r="C53" s="43" t="s">
        <v>20</v>
      </c>
      <c r="D53" s="45">
        <f>+D29</f>
        <v>278.63799999999998</v>
      </c>
      <c r="E53" s="257"/>
      <c r="F53" s="139">
        <f t="shared" si="4"/>
        <v>0</v>
      </c>
    </row>
    <row r="54" spans="1:6" x14ac:dyDescent="0.25">
      <c r="A54" s="238" t="s">
        <v>151</v>
      </c>
      <c r="B54" s="48" t="s">
        <v>152</v>
      </c>
      <c r="C54" s="43" t="s">
        <v>20</v>
      </c>
      <c r="D54" s="45">
        <f>+D46</f>
        <v>185.60000000000002</v>
      </c>
      <c r="E54" s="257"/>
      <c r="F54" s="139">
        <f t="shared" si="4"/>
        <v>0</v>
      </c>
    </row>
    <row r="55" spans="1:6" x14ac:dyDescent="0.25">
      <c r="A55" s="238" t="s">
        <v>153</v>
      </c>
      <c r="B55" s="48" t="s">
        <v>291</v>
      </c>
      <c r="C55" s="43" t="s">
        <v>20</v>
      </c>
      <c r="D55" s="45">
        <f>+D49</f>
        <v>145.20000000000002</v>
      </c>
      <c r="E55" s="257"/>
      <c r="F55" s="139">
        <f t="shared" si="4"/>
        <v>0</v>
      </c>
    </row>
    <row r="56" spans="1:6" x14ac:dyDescent="0.25">
      <c r="A56" s="238" t="s">
        <v>154</v>
      </c>
      <c r="B56" s="48" t="s">
        <v>292</v>
      </c>
      <c r="C56" s="43" t="s">
        <v>20</v>
      </c>
      <c r="D56" s="45">
        <v>50.4</v>
      </c>
      <c r="E56" s="257"/>
      <c r="F56" s="139">
        <f t="shared" si="4"/>
        <v>0</v>
      </c>
    </row>
    <row r="57" spans="1:6" x14ac:dyDescent="0.25">
      <c r="A57" s="238" t="s">
        <v>155</v>
      </c>
      <c r="B57" s="48" t="s">
        <v>156</v>
      </c>
      <c r="C57" s="43" t="s">
        <v>20</v>
      </c>
      <c r="D57" s="45">
        <f>+D47</f>
        <v>21</v>
      </c>
      <c r="E57" s="257"/>
      <c r="F57" s="139">
        <f t="shared" si="4"/>
        <v>0</v>
      </c>
    </row>
    <row r="58" spans="1:6" x14ac:dyDescent="0.25">
      <c r="A58" s="243"/>
      <c r="B58" s="244" t="s">
        <v>157</v>
      </c>
      <c r="C58" s="245"/>
      <c r="D58" s="246"/>
      <c r="E58" s="261"/>
      <c r="F58" s="248">
        <f>SUM(F52:F57)</f>
        <v>0</v>
      </c>
    </row>
    <row r="59" spans="1:6" x14ac:dyDescent="0.25">
      <c r="A59" s="249" t="s">
        <v>146</v>
      </c>
      <c r="B59" s="274" t="s">
        <v>225</v>
      </c>
      <c r="C59" s="275"/>
      <c r="D59" s="276"/>
      <c r="E59" s="277"/>
      <c r="F59" s="278"/>
    </row>
    <row r="60" spans="1:6" x14ac:dyDescent="0.25">
      <c r="A60" s="195" t="s">
        <v>148</v>
      </c>
      <c r="B60" s="196" t="s">
        <v>467</v>
      </c>
      <c r="C60" s="279"/>
      <c r="D60" s="279"/>
      <c r="E60" s="280"/>
      <c r="F60" s="280"/>
    </row>
    <row r="61" spans="1:6" x14ac:dyDescent="0.25">
      <c r="A61" s="281" t="s">
        <v>503</v>
      </c>
      <c r="B61" s="174" t="s">
        <v>455</v>
      </c>
      <c r="C61" s="279" t="s">
        <v>124</v>
      </c>
      <c r="D61" s="279">
        <v>50</v>
      </c>
      <c r="E61" s="280"/>
      <c r="F61" s="280">
        <f t="shared" ref="F61:F73" si="5">D61*E61</f>
        <v>0</v>
      </c>
    </row>
    <row r="62" spans="1:6" x14ac:dyDescent="0.25">
      <c r="A62" s="281" t="s">
        <v>504</v>
      </c>
      <c r="B62" s="174" t="s">
        <v>456</v>
      </c>
      <c r="C62" s="279" t="s">
        <v>124</v>
      </c>
      <c r="D62" s="279">
        <v>100</v>
      </c>
      <c r="E62" s="280"/>
      <c r="F62" s="280">
        <f t="shared" si="5"/>
        <v>0</v>
      </c>
    </row>
    <row r="63" spans="1:6" x14ac:dyDescent="0.25">
      <c r="A63" s="281" t="s">
        <v>505</v>
      </c>
      <c r="B63" s="174" t="s">
        <v>457</v>
      </c>
      <c r="C63" s="279" t="s">
        <v>124</v>
      </c>
      <c r="D63" s="279">
        <v>150</v>
      </c>
      <c r="E63" s="280"/>
      <c r="F63" s="280">
        <f t="shared" si="5"/>
        <v>0</v>
      </c>
    </row>
    <row r="64" spans="1:6" x14ac:dyDescent="0.25">
      <c r="A64" s="281" t="s">
        <v>506</v>
      </c>
      <c r="B64" s="174" t="s">
        <v>452</v>
      </c>
      <c r="C64" s="279" t="s">
        <v>124</v>
      </c>
      <c r="D64" s="279">
        <v>0</v>
      </c>
      <c r="E64" s="280"/>
      <c r="F64" s="280">
        <f t="shared" si="5"/>
        <v>0</v>
      </c>
    </row>
    <row r="65" spans="1:6" x14ac:dyDescent="0.25">
      <c r="A65" s="281" t="s">
        <v>507</v>
      </c>
      <c r="B65" s="174" t="s">
        <v>453</v>
      </c>
      <c r="C65" s="279" t="s">
        <v>124</v>
      </c>
      <c r="D65" s="279">
        <v>0</v>
      </c>
      <c r="E65" s="280"/>
      <c r="F65" s="280">
        <f t="shared" si="5"/>
        <v>0</v>
      </c>
    </row>
    <row r="66" spans="1:6" x14ac:dyDescent="0.25">
      <c r="A66" s="281" t="s">
        <v>508</v>
      </c>
      <c r="B66" s="174" t="s">
        <v>454</v>
      </c>
      <c r="C66" s="279" t="s">
        <v>124</v>
      </c>
      <c r="D66" s="279">
        <v>0</v>
      </c>
      <c r="E66" s="280"/>
      <c r="F66" s="280">
        <f t="shared" si="5"/>
        <v>0</v>
      </c>
    </row>
    <row r="67" spans="1:6" x14ac:dyDescent="0.25">
      <c r="A67" s="281" t="s">
        <v>509</v>
      </c>
      <c r="B67" s="174" t="s">
        <v>458</v>
      </c>
      <c r="C67" s="279" t="s">
        <v>459</v>
      </c>
      <c r="D67" s="279">
        <v>0</v>
      </c>
      <c r="E67" s="280"/>
      <c r="F67" s="280">
        <f t="shared" si="5"/>
        <v>0</v>
      </c>
    </row>
    <row r="68" spans="1:6" x14ac:dyDescent="0.25">
      <c r="A68" s="281" t="s">
        <v>510</v>
      </c>
      <c r="B68" s="174" t="s">
        <v>460</v>
      </c>
      <c r="C68" s="279" t="s">
        <v>459</v>
      </c>
      <c r="D68" s="279">
        <v>0</v>
      </c>
      <c r="E68" s="280"/>
      <c r="F68" s="280">
        <f t="shared" si="5"/>
        <v>0</v>
      </c>
    </row>
    <row r="69" spans="1:6" x14ac:dyDescent="0.25">
      <c r="A69" s="281" t="s">
        <v>511</v>
      </c>
      <c r="B69" s="174" t="s">
        <v>461</v>
      </c>
      <c r="C69" s="279" t="s">
        <v>29</v>
      </c>
      <c r="D69" s="279">
        <v>0</v>
      </c>
      <c r="E69" s="280"/>
      <c r="F69" s="280">
        <f t="shared" si="5"/>
        <v>0</v>
      </c>
    </row>
    <row r="70" spans="1:6" x14ac:dyDescent="0.25">
      <c r="A70" s="281" t="s">
        <v>512</v>
      </c>
      <c r="B70" s="174" t="s">
        <v>462</v>
      </c>
      <c r="C70" s="279" t="s">
        <v>29</v>
      </c>
      <c r="D70" s="279">
        <v>0</v>
      </c>
      <c r="E70" s="280"/>
      <c r="F70" s="280">
        <f t="shared" si="5"/>
        <v>0</v>
      </c>
    </row>
    <row r="71" spans="1:6" x14ac:dyDescent="0.25">
      <c r="A71" s="281" t="s">
        <v>513</v>
      </c>
      <c r="B71" s="174" t="s">
        <v>463</v>
      </c>
      <c r="C71" s="279" t="s">
        <v>29</v>
      </c>
      <c r="D71" s="279">
        <v>0</v>
      </c>
      <c r="E71" s="280"/>
      <c r="F71" s="280">
        <f t="shared" si="5"/>
        <v>0</v>
      </c>
    </row>
    <row r="72" spans="1:6" x14ac:dyDescent="0.25">
      <c r="A72" s="281" t="s">
        <v>514</v>
      </c>
      <c r="B72" s="174" t="s">
        <v>464</v>
      </c>
      <c r="C72" s="279" t="s">
        <v>459</v>
      </c>
      <c r="D72" s="279">
        <v>0</v>
      </c>
      <c r="E72" s="280"/>
      <c r="F72" s="280">
        <f t="shared" si="5"/>
        <v>0</v>
      </c>
    </row>
    <row r="73" spans="1:6" x14ac:dyDescent="0.25">
      <c r="A73" s="281" t="s">
        <v>515</v>
      </c>
      <c r="B73" s="174" t="s">
        <v>465</v>
      </c>
      <c r="C73" s="279" t="s">
        <v>466</v>
      </c>
      <c r="D73" s="279">
        <v>0</v>
      </c>
      <c r="E73" s="280"/>
      <c r="F73" s="280">
        <f t="shared" si="5"/>
        <v>0</v>
      </c>
    </row>
    <row r="74" spans="1:6" ht="14.5" customHeight="1" x14ac:dyDescent="0.25">
      <c r="A74" s="243"/>
      <c r="B74" s="244" t="s">
        <v>533</v>
      </c>
      <c r="C74" s="245"/>
      <c r="D74" s="246"/>
      <c r="E74" s="261"/>
      <c r="F74" s="248">
        <f>SUM(F61:F73)</f>
        <v>0</v>
      </c>
    </row>
    <row r="75" spans="1:6" ht="14.5" customHeight="1" x14ac:dyDescent="0.25">
      <c r="A75" s="195" t="s">
        <v>150</v>
      </c>
      <c r="B75" s="196" t="s">
        <v>468</v>
      </c>
      <c r="C75" s="279"/>
      <c r="D75" s="279"/>
      <c r="E75" s="280"/>
      <c r="F75" s="280"/>
    </row>
    <row r="76" spans="1:6" x14ac:dyDescent="0.25">
      <c r="A76" s="282" t="s">
        <v>516</v>
      </c>
      <c r="B76" s="174" t="s">
        <v>469</v>
      </c>
      <c r="C76" s="279" t="s">
        <v>29</v>
      </c>
      <c r="D76" s="279">
        <v>0</v>
      </c>
      <c r="E76" s="280"/>
      <c r="F76" s="280">
        <f t="shared" ref="F76:F82" si="6">D76*E76</f>
        <v>0</v>
      </c>
    </row>
    <row r="77" spans="1:6" x14ac:dyDescent="0.25">
      <c r="A77" s="282" t="s">
        <v>517</v>
      </c>
      <c r="B77" s="174" t="s">
        <v>470</v>
      </c>
      <c r="C77" s="279" t="s">
        <v>29</v>
      </c>
      <c r="D77" s="279">
        <v>0</v>
      </c>
      <c r="E77" s="280"/>
      <c r="F77" s="280">
        <f t="shared" si="6"/>
        <v>0</v>
      </c>
    </row>
    <row r="78" spans="1:6" x14ac:dyDescent="0.25">
      <c r="A78" s="282" t="s">
        <v>518</v>
      </c>
      <c r="B78" s="174" t="s">
        <v>471</v>
      </c>
      <c r="C78" s="279" t="s">
        <v>29</v>
      </c>
      <c r="D78" s="279">
        <v>0</v>
      </c>
      <c r="E78" s="280"/>
      <c r="F78" s="280">
        <f t="shared" si="6"/>
        <v>0</v>
      </c>
    </row>
    <row r="79" spans="1:6" x14ac:dyDescent="0.25">
      <c r="A79" s="282" t="s">
        <v>519</v>
      </c>
      <c r="B79" s="174" t="s">
        <v>472</v>
      </c>
      <c r="C79" s="279" t="s">
        <v>29</v>
      </c>
      <c r="D79" s="279">
        <v>0</v>
      </c>
      <c r="E79" s="280"/>
      <c r="F79" s="280">
        <f t="shared" si="6"/>
        <v>0</v>
      </c>
    </row>
    <row r="80" spans="1:6" x14ac:dyDescent="0.25">
      <c r="A80" s="282" t="s">
        <v>520</v>
      </c>
      <c r="B80" s="174" t="s">
        <v>473</v>
      </c>
      <c r="C80" s="279" t="s">
        <v>124</v>
      </c>
      <c r="D80" s="279">
        <v>0</v>
      </c>
      <c r="E80" s="280"/>
      <c r="F80" s="280">
        <f t="shared" si="6"/>
        <v>0</v>
      </c>
    </row>
    <row r="81" spans="1:6" x14ac:dyDescent="0.25">
      <c r="A81" s="282" t="s">
        <v>521</v>
      </c>
      <c r="B81" s="174" t="s">
        <v>474</v>
      </c>
      <c r="C81" s="279" t="s">
        <v>124</v>
      </c>
      <c r="D81" s="279">
        <v>0</v>
      </c>
      <c r="E81" s="280"/>
      <c r="F81" s="280">
        <f t="shared" si="6"/>
        <v>0</v>
      </c>
    </row>
    <row r="82" spans="1:6" x14ac:dyDescent="0.25">
      <c r="A82" s="282" t="s">
        <v>522</v>
      </c>
      <c r="B82" s="174" t="s">
        <v>465</v>
      </c>
      <c r="C82" s="279" t="s">
        <v>466</v>
      </c>
      <c r="D82" s="279">
        <v>1</v>
      </c>
      <c r="E82" s="280"/>
      <c r="F82" s="280">
        <f t="shared" si="6"/>
        <v>0</v>
      </c>
    </row>
    <row r="83" spans="1:6" ht="14.5" customHeight="1" x14ac:dyDescent="0.25">
      <c r="A83" s="243"/>
      <c r="B83" s="244" t="s">
        <v>532</v>
      </c>
      <c r="C83" s="245"/>
      <c r="D83" s="246"/>
      <c r="E83" s="261"/>
      <c r="F83" s="248">
        <f>SUM(F76:F82)</f>
        <v>0</v>
      </c>
    </row>
    <row r="84" spans="1:6" ht="14.5" customHeight="1" x14ac:dyDescent="0.25">
      <c r="A84" s="283" t="s">
        <v>151</v>
      </c>
      <c r="B84" s="196" t="s">
        <v>475</v>
      </c>
      <c r="C84" s="279"/>
      <c r="D84" s="279"/>
      <c r="E84" s="280"/>
      <c r="F84" s="280"/>
    </row>
    <row r="85" spans="1:6" x14ac:dyDescent="0.25">
      <c r="A85" s="284" t="s">
        <v>523</v>
      </c>
      <c r="B85" s="174" t="s">
        <v>476</v>
      </c>
      <c r="C85" s="279" t="s">
        <v>29</v>
      </c>
      <c r="D85" s="279">
        <v>0</v>
      </c>
      <c r="E85" s="280"/>
      <c r="F85" s="280">
        <f>D85*E85</f>
        <v>0</v>
      </c>
    </row>
    <row r="86" spans="1:6" x14ac:dyDescent="0.25">
      <c r="A86" s="284" t="s">
        <v>524</v>
      </c>
      <c r="B86" s="174" t="s">
        <v>477</v>
      </c>
      <c r="C86" s="279" t="s">
        <v>29</v>
      </c>
      <c r="D86" s="279">
        <v>0</v>
      </c>
      <c r="E86" s="280"/>
      <c r="F86" s="280">
        <f>D86*E86</f>
        <v>0</v>
      </c>
    </row>
    <row r="87" spans="1:6" x14ac:dyDescent="0.25">
      <c r="A87" s="284" t="s">
        <v>534</v>
      </c>
      <c r="B87" s="174" t="s">
        <v>535</v>
      </c>
      <c r="C87" s="279" t="s">
        <v>29</v>
      </c>
      <c r="D87" s="279">
        <v>0</v>
      </c>
      <c r="E87" s="280"/>
      <c r="F87" s="280">
        <f>D87*E87</f>
        <v>0</v>
      </c>
    </row>
    <row r="88" spans="1:6" ht="14.5" customHeight="1" x14ac:dyDescent="0.25">
      <c r="A88" s="285"/>
      <c r="B88" s="286" t="s">
        <v>531</v>
      </c>
      <c r="C88" s="287"/>
      <c r="D88" s="288"/>
      <c r="E88" s="247"/>
      <c r="F88" s="289">
        <f>SUM(F85:F87)</f>
        <v>0</v>
      </c>
    </row>
    <row r="89" spans="1:6" x14ac:dyDescent="0.25">
      <c r="A89" s="195" t="s">
        <v>153</v>
      </c>
      <c r="B89" s="196" t="s">
        <v>478</v>
      </c>
      <c r="C89" s="279"/>
      <c r="D89" s="279"/>
      <c r="E89" s="280"/>
      <c r="F89" s="280"/>
    </row>
    <row r="90" spans="1:6" ht="14.5" customHeight="1" x14ac:dyDescent="0.25">
      <c r="A90" s="282" t="s">
        <v>525</v>
      </c>
      <c r="B90" s="174" t="s">
        <v>479</v>
      </c>
      <c r="C90" s="279" t="s">
        <v>29</v>
      </c>
      <c r="D90" s="279">
        <v>0</v>
      </c>
      <c r="E90" s="280"/>
      <c r="F90" s="174">
        <f t="shared" ref="F90:F95" si="7">D90*E90</f>
        <v>0</v>
      </c>
    </row>
    <row r="91" spans="1:6" x14ac:dyDescent="0.25">
      <c r="A91" s="282" t="s">
        <v>526</v>
      </c>
      <c r="B91" s="174" t="s">
        <v>537</v>
      </c>
      <c r="C91" s="279" t="s">
        <v>29</v>
      </c>
      <c r="D91" s="279">
        <v>0</v>
      </c>
      <c r="E91" s="280"/>
      <c r="F91" s="174">
        <f t="shared" si="7"/>
        <v>0</v>
      </c>
    </row>
    <row r="92" spans="1:6" x14ac:dyDescent="0.25">
      <c r="A92" s="282" t="s">
        <v>527</v>
      </c>
      <c r="B92" s="174" t="s">
        <v>480</v>
      </c>
      <c r="C92" s="279" t="s">
        <v>29</v>
      </c>
      <c r="D92" s="279">
        <v>0</v>
      </c>
      <c r="E92" s="280"/>
      <c r="F92" s="174">
        <f t="shared" si="7"/>
        <v>0</v>
      </c>
    </row>
    <row r="93" spans="1:6" x14ac:dyDescent="0.25">
      <c r="A93" s="282" t="s">
        <v>528</v>
      </c>
      <c r="B93" s="174" t="s">
        <v>481</v>
      </c>
      <c r="C93" s="279" t="s">
        <v>29</v>
      </c>
      <c r="D93" s="279">
        <v>0</v>
      </c>
      <c r="E93" s="280"/>
      <c r="F93" s="174">
        <f t="shared" si="7"/>
        <v>0</v>
      </c>
    </row>
    <row r="94" spans="1:6" x14ac:dyDescent="0.25">
      <c r="A94" s="282" t="s">
        <v>529</v>
      </c>
      <c r="B94" s="174" t="s">
        <v>482</v>
      </c>
      <c r="C94" s="279" t="s">
        <v>29</v>
      </c>
      <c r="D94" s="279">
        <v>0</v>
      </c>
      <c r="E94" s="280"/>
      <c r="F94" s="174">
        <f t="shared" si="7"/>
        <v>0</v>
      </c>
    </row>
    <row r="95" spans="1:6" x14ac:dyDescent="0.25">
      <c r="A95" s="282" t="s">
        <v>536</v>
      </c>
      <c r="B95" s="174" t="s">
        <v>465</v>
      </c>
      <c r="C95" s="279" t="s">
        <v>466</v>
      </c>
      <c r="D95" s="279">
        <v>0</v>
      </c>
      <c r="E95" s="280"/>
      <c r="F95" s="174">
        <f t="shared" si="7"/>
        <v>0</v>
      </c>
    </row>
    <row r="96" spans="1:6" ht="14.5" customHeight="1" x14ac:dyDescent="0.25">
      <c r="A96" s="243"/>
      <c r="B96" s="244" t="s">
        <v>530</v>
      </c>
      <c r="C96" s="245"/>
      <c r="D96" s="246"/>
      <c r="E96" s="261"/>
      <c r="F96" s="248">
        <f>SUM(F90:F95)</f>
        <v>0</v>
      </c>
    </row>
    <row r="97" spans="1:6" x14ac:dyDescent="0.25">
      <c r="A97" s="290"/>
      <c r="B97" s="196" t="s">
        <v>241</v>
      </c>
      <c r="C97" s="283"/>
      <c r="D97" s="291"/>
      <c r="E97" s="292"/>
      <c r="F97" s="293">
        <f>F96+F88+F83+F74</f>
        <v>0</v>
      </c>
    </row>
    <row r="98" spans="1:6" x14ac:dyDescent="0.25">
      <c r="A98" s="294"/>
      <c r="B98" s="295" t="s">
        <v>158</v>
      </c>
      <c r="C98" s="296"/>
      <c r="D98" s="297"/>
      <c r="E98" s="298"/>
      <c r="F98" s="299">
        <f>F20+F27+F36+F43+F50+F58+F97</f>
        <v>0</v>
      </c>
    </row>
    <row r="99" spans="1:6" x14ac:dyDescent="0.25">
      <c r="A99" s="294"/>
      <c r="B99" s="295" t="s">
        <v>539</v>
      </c>
      <c r="C99" s="296"/>
      <c r="D99" s="300"/>
      <c r="E99" s="301"/>
      <c r="F99" s="302">
        <f>F98*2</f>
        <v>0</v>
      </c>
    </row>
    <row r="100" spans="1:6" x14ac:dyDescent="0.25">
      <c r="A100" s="303"/>
      <c r="B100" s="304"/>
      <c r="C100" s="304"/>
      <c r="D100" s="305"/>
      <c r="E100" s="306"/>
      <c r="F100" s="307"/>
    </row>
    <row r="101" spans="1:6" x14ac:dyDescent="0.25">
      <c r="A101" s="235">
        <v>300</v>
      </c>
      <c r="B101" s="38" t="s">
        <v>159</v>
      </c>
      <c r="C101" s="39"/>
      <c r="D101" s="40"/>
      <c r="E101" s="236"/>
      <c r="F101" s="237"/>
    </row>
    <row r="102" spans="1:6" x14ac:dyDescent="0.25">
      <c r="A102" s="249" t="s">
        <v>160</v>
      </c>
      <c r="B102" s="250" t="s">
        <v>89</v>
      </c>
      <c r="C102" s="251"/>
      <c r="D102" s="252"/>
      <c r="E102" s="253"/>
      <c r="F102" s="254"/>
    </row>
    <row r="103" spans="1:6" x14ac:dyDescent="0.25">
      <c r="A103" s="255" t="s">
        <v>161</v>
      </c>
      <c r="B103" s="256" t="s">
        <v>162</v>
      </c>
      <c r="C103" s="43"/>
      <c r="D103" s="45"/>
      <c r="E103" s="257"/>
      <c r="F103" s="139"/>
    </row>
    <row r="104" spans="1:6" x14ac:dyDescent="0.25">
      <c r="A104" s="238" t="s">
        <v>163</v>
      </c>
      <c r="B104" s="48" t="s">
        <v>93</v>
      </c>
      <c r="C104" s="43" t="s">
        <v>94</v>
      </c>
      <c r="D104" s="45">
        <f>(71.55*0.6*0.8)*1.15</f>
        <v>39.495599999999996</v>
      </c>
      <c r="E104" s="257"/>
      <c r="F104" s="139">
        <f t="shared" ref="F104:F111" si="8">E104*D104</f>
        <v>0</v>
      </c>
    </row>
    <row r="105" spans="1:6" x14ac:dyDescent="0.25">
      <c r="A105" s="238" t="s">
        <v>164</v>
      </c>
      <c r="B105" s="48" t="s">
        <v>96</v>
      </c>
      <c r="C105" s="43" t="s">
        <v>94</v>
      </c>
      <c r="D105" s="45">
        <f>71.55*0.6*0.05</f>
        <v>2.1465000000000001</v>
      </c>
      <c r="E105" s="257"/>
      <c r="F105" s="139">
        <f t="shared" si="8"/>
        <v>0</v>
      </c>
    </row>
    <row r="106" spans="1:6" x14ac:dyDescent="0.25">
      <c r="A106" s="238" t="s">
        <v>165</v>
      </c>
      <c r="B106" s="48" t="s">
        <v>166</v>
      </c>
      <c r="C106" s="43" t="s">
        <v>94</v>
      </c>
      <c r="D106" s="45">
        <f>71.5*0.4*1.2</f>
        <v>34.32</v>
      </c>
      <c r="E106" s="257"/>
      <c r="F106" s="139">
        <f t="shared" si="8"/>
        <v>0</v>
      </c>
    </row>
    <row r="107" spans="1:6" x14ac:dyDescent="0.25">
      <c r="A107" s="238" t="s">
        <v>167</v>
      </c>
      <c r="B107" s="48" t="s">
        <v>293</v>
      </c>
      <c r="C107" s="43" t="s">
        <v>94</v>
      </c>
      <c r="D107" s="45">
        <f>((0.4*0.4*1.2)*9)*1.1</f>
        <v>1.9008000000000003</v>
      </c>
      <c r="E107" s="257"/>
      <c r="F107" s="139">
        <f t="shared" si="8"/>
        <v>0</v>
      </c>
    </row>
    <row r="108" spans="1:6" ht="23" x14ac:dyDescent="0.25">
      <c r="A108" s="238" t="s">
        <v>168</v>
      </c>
      <c r="B108" s="48" t="s">
        <v>294</v>
      </c>
      <c r="C108" s="43" t="s">
        <v>94</v>
      </c>
      <c r="D108" s="45">
        <f>71.55*0.4*0.07</f>
        <v>2.0034000000000001</v>
      </c>
      <c r="E108" s="257"/>
      <c r="F108" s="139">
        <f t="shared" si="8"/>
        <v>0</v>
      </c>
    </row>
    <row r="109" spans="1:6" ht="23" x14ac:dyDescent="0.25">
      <c r="A109" s="238" t="s">
        <v>169</v>
      </c>
      <c r="B109" s="48" t="s">
        <v>275</v>
      </c>
      <c r="C109" s="269" t="s">
        <v>94</v>
      </c>
      <c r="D109" s="45">
        <f>11*8.3*0.4*1.1</f>
        <v>40.172000000000004</v>
      </c>
      <c r="E109" s="257"/>
      <c r="F109" s="139">
        <f t="shared" si="8"/>
        <v>0</v>
      </c>
    </row>
    <row r="110" spans="1:6" x14ac:dyDescent="0.25">
      <c r="A110" s="238" t="s">
        <v>170</v>
      </c>
      <c r="B110" s="48" t="s">
        <v>276</v>
      </c>
      <c r="C110" s="43" t="s">
        <v>20</v>
      </c>
      <c r="D110" s="45">
        <f>11*8.3*1.05</f>
        <v>95.865000000000009</v>
      </c>
      <c r="E110" s="257"/>
      <c r="F110" s="139">
        <f t="shared" si="8"/>
        <v>0</v>
      </c>
    </row>
    <row r="111" spans="1:6" x14ac:dyDescent="0.25">
      <c r="A111" s="238" t="s">
        <v>171</v>
      </c>
      <c r="B111" s="48" t="s">
        <v>295</v>
      </c>
      <c r="C111" s="43" t="s">
        <v>94</v>
      </c>
      <c r="D111" s="45">
        <f>11*8.3*0.07*1.05</f>
        <v>6.7105500000000022</v>
      </c>
      <c r="E111" s="257"/>
      <c r="F111" s="139">
        <f t="shared" si="8"/>
        <v>0</v>
      </c>
    </row>
    <row r="112" spans="1:6" x14ac:dyDescent="0.25">
      <c r="A112" s="243"/>
      <c r="B112" s="272" t="s">
        <v>172</v>
      </c>
      <c r="C112" s="245"/>
      <c r="D112" s="246"/>
      <c r="E112" s="261"/>
      <c r="F112" s="248">
        <f>SUM(F104:F111)</f>
        <v>0</v>
      </c>
    </row>
    <row r="113" spans="1:6" x14ac:dyDescent="0.25">
      <c r="A113" s="255" t="s">
        <v>173</v>
      </c>
      <c r="B113" s="267" t="s">
        <v>174</v>
      </c>
      <c r="C113" s="43"/>
      <c r="D113" s="45"/>
      <c r="E113" s="257"/>
      <c r="F113" s="139"/>
    </row>
    <row r="114" spans="1:6" x14ac:dyDescent="0.25">
      <c r="A114" s="238" t="s">
        <v>175</v>
      </c>
      <c r="B114" s="48" t="s">
        <v>107</v>
      </c>
      <c r="C114" s="43" t="s">
        <v>94</v>
      </c>
      <c r="D114" s="45">
        <f>(68*0.15*3)*1.15</f>
        <v>35.19</v>
      </c>
      <c r="E114" s="257"/>
      <c r="F114" s="139">
        <f t="shared" ref="F114:F118" si="9">E114*D114</f>
        <v>0</v>
      </c>
    </row>
    <row r="115" spans="1:6" x14ac:dyDescent="0.25">
      <c r="A115" s="238" t="s">
        <v>176</v>
      </c>
      <c r="B115" s="48" t="s">
        <v>296</v>
      </c>
      <c r="C115" s="43" t="s">
        <v>94</v>
      </c>
      <c r="D115" s="45">
        <f>(0.15*0.15*3)*9*1.05</f>
        <v>0.63787500000000008</v>
      </c>
      <c r="E115" s="257"/>
      <c r="F115" s="139">
        <f t="shared" si="9"/>
        <v>0</v>
      </c>
    </row>
    <row r="116" spans="1:6" x14ac:dyDescent="0.25">
      <c r="A116" s="238" t="s">
        <v>177</v>
      </c>
      <c r="B116" s="48" t="s">
        <v>297</v>
      </c>
      <c r="C116" s="43" t="s">
        <v>94</v>
      </c>
      <c r="D116" s="45">
        <f>71.5*0.15*0.1*1.15</f>
        <v>1.2333749999999999</v>
      </c>
      <c r="E116" s="257"/>
      <c r="F116" s="139">
        <f t="shared" si="9"/>
        <v>0</v>
      </c>
    </row>
    <row r="117" spans="1:6" x14ac:dyDescent="0.25">
      <c r="A117" s="238" t="s">
        <v>178</v>
      </c>
      <c r="B117" s="48" t="s">
        <v>179</v>
      </c>
      <c r="C117" s="43" t="s">
        <v>94</v>
      </c>
      <c r="D117" s="45">
        <f>35.75*0.15*0.15*1.25</f>
        <v>1.0054687499999999</v>
      </c>
      <c r="E117" s="257"/>
      <c r="F117" s="139">
        <f t="shared" si="9"/>
        <v>0</v>
      </c>
    </row>
    <row r="118" spans="1:6" x14ac:dyDescent="0.25">
      <c r="A118" s="238" t="s">
        <v>180</v>
      </c>
      <c r="B118" s="48" t="s">
        <v>298</v>
      </c>
      <c r="C118" s="43" t="s">
        <v>94</v>
      </c>
      <c r="D118" s="45">
        <f>(0.15*0.08*1.3)*10*1.1</f>
        <v>0.1716</v>
      </c>
      <c r="E118" s="257"/>
      <c r="F118" s="139">
        <f t="shared" si="9"/>
        <v>0</v>
      </c>
    </row>
    <row r="119" spans="1:6" x14ac:dyDescent="0.25">
      <c r="A119" s="243"/>
      <c r="B119" s="244" t="s">
        <v>181</v>
      </c>
      <c r="C119" s="245"/>
      <c r="D119" s="246"/>
      <c r="E119" s="261"/>
      <c r="F119" s="248">
        <f>SUM(F114:F118)</f>
        <v>0</v>
      </c>
    </row>
    <row r="120" spans="1:6" x14ac:dyDescent="0.25">
      <c r="A120" s="255" t="s">
        <v>182</v>
      </c>
      <c r="B120" s="256" t="s">
        <v>183</v>
      </c>
      <c r="C120" s="43"/>
      <c r="D120" s="45"/>
      <c r="E120" s="257"/>
      <c r="F120" s="139"/>
    </row>
    <row r="121" spans="1:6" ht="23" x14ac:dyDescent="0.25">
      <c r="A121" s="238" t="s">
        <v>184</v>
      </c>
      <c r="B121" s="48" t="s">
        <v>299</v>
      </c>
      <c r="C121" s="43" t="s">
        <v>94</v>
      </c>
      <c r="D121" s="45">
        <f>(39.5*0.05*0.1)*4*1.15</f>
        <v>0.90849999999999997</v>
      </c>
      <c r="E121" s="257"/>
      <c r="F121" s="139">
        <f t="shared" ref="F121:F127" si="10">E121*D121</f>
        <v>0</v>
      </c>
    </row>
    <row r="122" spans="1:6" x14ac:dyDescent="0.25">
      <c r="A122" s="238" t="s">
        <v>185</v>
      </c>
      <c r="B122" s="48" t="s">
        <v>186</v>
      </c>
      <c r="C122" s="43" t="s">
        <v>94</v>
      </c>
      <c r="D122" s="45">
        <f>(14*0.05*0.05)*16*1.25</f>
        <v>0.70000000000000007</v>
      </c>
      <c r="E122" s="257"/>
      <c r="F122" s="139">
        <f t="shared" si="10"/>
        <v>0</v>
      </c>
    </row>
    <row r="123" spans="1:6" x14ac:dyDescent="0.25">
      <c r="A123" s="238" t="s">
        <v>187</v>
      </c>
      <c r="B123" s="48" t="s">
        <v>300</v>
      </c>
      <c r="C123" s="43" t="s">
        <v>20</v>
      </c>
      <c r="D123" s="45">
        <f>(14*11.3)*1.1</f>
        <v>174.02000000000004</v>
      </c>
      <c r="E123" s="257"/>
      <c r="F123" s="139">
        <f t="shared" si="10"/>
        <v>0</v>
      </c>
    </row>
    <row r="124" spans="1:6" x14ac:dyDescent="0.25">
      <c r="A124" s="238" t="s">
        <v>188</v>
      </c>
      <c r="B124" s="48" t="s">
        <v>301</v>
      </c>
      <c r="C124" s="43" t="s">
        <v>124</v>
      </c>
      <c r="D124" s="45">
        <f>(26*2)+(12*2)*1.15</f>
        <v>79.599999999999994</v>
      </c>
      <c r="E124" s="257"/>
      <c r="F124" s="139">
        <f>E124*D124</f>
        <v>0</v>
      </c>
    </row>
    <row r="125" spans="1:6" x14ac:dyDescent="0.25">
      <c r="A125" s="238" t="s">
        <v>189</v>
      </c>
      <c r="B125" s="48" t="s">
        <v>190</v>
      </c>
      <c r="C125" s="43" t="s">
        <v>124</v>
      </c>
      <c r="D125" s="45">
        <f>(14*2)+(13*2)</f>
        <v>54</v>
      </c>
      <c r="E125" s="257"/>
      <c r="F125" s="139">
        <f t="shared" si="10"/>
        <v>0</v>
      </c>
    </row>
    <row r="126" spans="1:6" ht="23" x14ac:dyDescent="0.25">
      <c r="A126" s="238" t="s">
        <v>191</v>
      </c>
      <c r="B126" s="48" t="s">
        <v>302</v>
      </c>
      <c r="C126" s="43" t="s">
        <v>20</v>
      </c>
      <c r="D126" s="45">
        <f>(11.3*14)*1.1</f>
        <v>174.02000000000004</v>
      </c>
      <c r="E126" s="257"/>
      <c r="F126" s="139">
        <f t="shared" si="10"/>
        <v>0</v>
      </c>
    </row>
    <row r="127" spans="1:6" x14ac:dyDescent="0.25">
      <c r="A127" s="238" t="s">
        <v>192</v>
      </c>
      <c r="B127" s="48" t="s">
        <v>303</v>
      </c>
      <c r="C127" s="43" t="s">
        <v>30</v>
      </c>
      <c r="D127" s="45">
        <v>1</v>
      </c>
      <c r="E127" s="257"/>
      <c r="F127" s="139">
        <f t="shared" si="10"/>
        <v>0</v>
      </c>
    </row>
    <row r="128" spans="1:6" x14ac:dyDescent="0.25">
      <c r="A128" s="243"/>
      <c r="B128" s="244" t="s">
        <v>193</v>
      </c>
      <c r="C128" s="245"/>
      <c r="D128" s="246"/>
      <c r="E128" s="261"/>
      <c r="F128" s="248">
        <f>SUM(F121:F127)</f>
        <v>0</v>
      </c>
    </row>
    <row r="129" spans="1:6" x14ac:dyDescent="0.25">
      <c r="A129" s="249" t="s">
        <v>194</v>
      </c>
      <c r="B129" s="250" t="s">
        <v>195</v>
      </c>
      <c r="C129" s="251"/>
      <c r="D129" s="252"/>
      <c r="E129" s="253"/>
      <c r="F129" s="254"/>
    </row>
    <row r="130" spans="1:6" x14ac:dyDescent="0.25">
      <c r="A130" s="255" t="s">
        <v>196</v>
      </c>
      <c r="B130" s="256" t="s">
        <v>197</v>
      </c>
      <c r="C130" s="43"/>
      <c r="D130" s="45"/>
      <c r="E130" s="257"/>
      <c r="F130" s="139"/>
    </row>
    <row r="131" spans="1:6" ht="23" x14ac:dyDescent="0.25">
      <c r="A131" s="268" t="s">
        <v>198</v>
      </c>
      <c r="B131" s="48" t="s">
        <v>304</v>
      </c>
      <c r="C131" s="269" t="s">
        <v>29</v>
      </c>
      <c r="D131" s="270">
        <v>1</v>
      </c>
      <c r="E131" s="271"/>
      <c r="F131" s="139">
        <f t="shared" ref="F131:F136" si="11">E131*D131</f>
        <v>0</v>
      </c>
    </row>
    <row r="132" spans="1:6" ht="23" x14ac:dyDescent="0.25">
      <c r="A132" s="268" t="s">
        <v>199</v>
      </c>
      <c r="B132" s="48" t="s">
        <v>305</v>
      </c>
      <c r="C132" s="269" t="s">
        <v>29</v>
      </c>
      <c r="D132" s="270">
        <v>5</v>
      </c>
      <c r="E132" s="271"/>
      <c r="F132" s="139">
        <f t="shared" si="11"/>
        <v>0</v>
      </c>
    </row>
    <row r="133" spans="1:6" ht="23" x14ac:dyDescent="0.25">
      <c r="A133" s="268" t="s">
        <v>200</v>
      </c>
      <c r="B133" s="48" t="s">
        <v>201</v>
      </c>
      <c r="C133" s="269" t="s">
        <v>29</v>
      </c>
      <c r="D133" s="270">
        <v>5</v>
      </c>
      <c r="E133" s="271"/>
      <c r="F133" s="139">
        <f t="shared" si="11"/>
        <v>0</v>
      </c>
    </row>
    <row r="134" spans="1:6" x14ac:dyDescent="0.25">
      <c r="A134" s="268" t="s">
        <v>202</v>
      </c>
      <c r="B134" s="48" t="s">
        <v>203</v>
      </c>
      <c r="C134" s="269" t="s">
        <v>29</v>
      </c>
      <c r="D134" s="270">
        <v>5</v>
      </c>
      <c r="E134" s="271"/>
      <c r="F134" s="139">
        <f t="shared" si="11"/>
        <v>0</v>
      </c>
    </row>
    <row r="135" spans="1:6" x14ac:dyDescent="0.25">
      <c r="A135" s="268" t="s">
        <v>204</v>
      </c>
      <c r="B135" s="48" t="s">
        <v>205</v>
      </c>
      <c r="C135" s="269" t="s">
        <v>29</v>
      </c>
      <c r="D135" s="270">
        <v>2</v>
      </c>
      <c r="E135" s="271"/>
      <c r="F135" s="139">
        <f t="shared" si="11"/>
        <v>0</v>
      </c>
    </row>
    <row r="136" spans="1:6" x14ac:dyDescent="0.25">
      <c r="A136" s="268" t="s">
        <v>206</v>
      </c>
      <c r="B136" s="48" t="s">
        <v>306</v>
      </c>
      <c r="C136" s="269" t="s">
        <v>207</v>
      </c>
      <c r="D136" s="270">
        <v>3</v>
      </c>
      <c r="E136" s="271"/>
      <c r="F136" s="139">
        <f t="shared" si="11"/>
        <v>0</v>
      </c>
    </row>
    <row r="137" spans="1:6" x14ac:dyDescent="0.25">
      <c r="A137" s="243"/>
      <c r="B137" s="272" t="s">
        <v>208</v>
      </c>
      <c r="C137" s="245"/>
      <c r="D137" s="246"/>
      <c r="E137" s="261"/>
      <c r="F137" s="248">
        <f>SUM(F131:F136)</f>
        <v>0</v>
      </c>
    </row>
    <row r="138" spans="1:6" x14ac:dyDescent="0.25">
      <c r="A138" s="255" t="s">
        <v>209</v>
      </c>
      <c r="B138" s="267" t="s">
        <v>307</v>
      </c>
      <c r="C138" s="43"/>
      <c r="D138" s="45"/>
      <c r="E138" s="257"/>
      <c r="F138" s="139"/>
    </row>
    <row r="139" spans="1:6" x14ac:dyDescent="0.25">
      <c r="A139" s="281" t="s">
        <v>210</v>
      </c>
      <c r="B139" s="308" t="s">
        <v>211</v>
      </c>
      <c r="C139" s="175" t="s">
        <v>20</v>
      </c>
      <c r="D139" s="44">
        <f>((11*8.3)- (3.25*2.05))*1.1</f>
        <v>93.101250000000022</v>
      </c>
      <c r="E139" s="176"/>
      <c r="F139" s="139">
        <f t="shared" ref="F139:F144" si="12">E139*D139</f>
        <v>0</v>
      </c>
    </row>
    <row r="140" spans="1:6" x14ac:dyDescent="0.25">
      <c r="A140" s="281" t="s">
        <v>212</v>
      </c>
      <c r="B140" s="308" t="s">
        <v>308</v>
      </c>
      <c r="C140" s="175" t="s">
        <v>20</v>
      </c>
      <c r="D140" s="44">
        <f>26.5*1.15</f>
        <v>30.474999999999998</v>
      </c>
      <c r="E140" s="176"/>
      <c r="F140" s="139">
        <f t="shared" si="12"/>
        <v>0</v>
      </c>
    </row>
    <row r="141" spans="1:6" x14ac:dyDescent="0.25">
      <c r="A141" s="281" t="s">
        <v>213</v>
      </c>
      <c r="B141" s="48" t="s">
        <v>286</v>
      </c>
      <c r="C141" s="43" t="s">
        <v>20</v>
      </c>
      <c r="D141" s="44">
        <f>((11*8.3)- (3.25*2.05))*1.1</f>
        <v>93.101250000000022</v>
      </c>
      <c r="E141" s="176"/>
      <c r="F141" s="139">
        <f t="shared" si="12"/>
        <v>0</v>
      </c>
    </row>
    <row r="142" spans="1:6" x14ac:dyDescent="0.25">
      <c r="A142" s="281" t="s">
        <v>214</v>
      </c>
      <c r="B142" s="48" t="s">
        <v>141</v>
      </c>
      <c r="C142" s="43" t="s">
        <v>20</v>
      </c>
      <c r="D142" s="270">
        <f>+((D114/0.15)-10)*1.12</f>
        <v>251.55200000000002</v>
      </c>
      <c r="E142" s="271"/>
      <c r="F142" s="139">
        <f t="shared" si="12"/>
        <v>0</v>
      </c>
    </row>
    <row r="143" spans="1:6" x14ac:dyDescent="0.25">
      <c r="A143" s="281" t="s">
        <v>215</v>
      </c>
      <c r="B143" s="48" t="s">
        <v>287</v>
      </c>
      <c r="C143" s="43" t="s">
        <v>20</v>
      </c>
      <c r="D143" s="45">
        <f>((42*3)/2)*1.05</f>
        <v>66.150000000000006</v>
      </c>
      <c r="E143" s="257"/>
      <c r="F143" s="139">
        <f t="shared" si="12"/>
        <v>0</v>
      </c>
    </row>
    <row r="144" spans="1:6" x14ac:dyDescent="0.25">
      <c r="A144" s="281" t="s">
        <v>216</v>
      </c>
      <c r="B144" s="48" t="s">
        <v>288</v>
      </c>
      <c r="C144" s="43" t="s">
        <v>20</v>
      </c>
      <c r="D144" s="45">
        <f>((42*3)/1.5-10)*1.05</f>
        <v>77.7</v>
      </c>
      <c r="E144" s="257"/>
      <c r="F144" s="139">
        <f t="shared" si="12"/>
        <v>0</v>
      </c>
    </row>
    <row r="145" spans="1:6" x14ac:dyDescent="0.25">
      <c r="A145" s="243"/>
      <c r="B145" s="272" t="s">
        <v>309</v>
      </c>
      <c r="C145" s="245"/>
      <c r="D145" s="246"/>
      <c r="E145" s="261"/>
      <c r="F145" s="248">
        <f>SUM(F139:F144)</f>
        <v>0</v>
      </c>
    </row>
    <row r="146" spans="1:6" x14ac:dyDescent="0.25">
      <c r="A146" s="255" t="s">
        <v>217</v>
      </c>
      <c r="B146" s="267" t="s">
        <v>147</v>
      </c>
      <c r="C146" s="43"/>
      <c r="D146" s="45"/>
      <c r="E146" s="257"/>
      <c r="F146" s="139"/>
    </row>
    <row r="147" spans="1:6" x14ac:dyDescent="0.25">
      <c r="A147" s="238" t="s">
        <v>218</v>
      </c>
      <c r="B147" s="48" t="s">
        <v>149</v>
      </c>
      <c r="C147" s="43" t="s">
        <v>20</v>
      </c>
      <c r="D147" s="270">
        <f>+D126+D142+D144</f>
        <v>503.27200000000005</v>
      </c>
      <c r="E147" s="271"/>
      <c r="F147" s="139">
        <f t="shared" ref="F147:F151" si="13">E147*D147</f>
        <v>0</v>
      </c>
    </row>
    <row r="148" spans="1:6" x14ac:dyDescent="0.25">
      <c r="A148" s="238" t="s">
        <v>219</v>
      </c>
      <c r="B148" s="48" t="s">
        <v>290</v>
      </c>
      <c r="C148" s="43" t="s">
        <v>20</v>
      </c>
      <c r="D148" s="45">
        <f>+D126</f>
        <v>174.02000000000004</v>
      </c>
      <c r="E148" s="257"/>
      <c r="F148" s="139">
        <f t="shared" si="13"/>
        <v>0</v>
      </c>
    </row>
    <row r="149" spans="1:6" x14ac:dyDescent="0.25">
      <c r="A149" s="238" t="s">
        <v>220</v>
      </c>
      <c r="B149" s="48" t="s">
        <v>152</v>
      </c>
      <c r="C149" s="43" t="s">
        <v>20</v>
      </c>
      <c r="D149" s="270">
        <f>+D142</f>
        <v>251.55200000000002</v>
      </c>
      <c r="E149" s="271"/>
      <c r="F149" s="139">
        <f t="shared" si="13"/>
        <v>0</v>
      </c>
    </row>
    <row r="150" spans="1:6" x14ac:dyDescent="0.25">
      <c r="A150" s="238" t="s">
        <v>221</v>
      </c>
      <c r="B150" s="48" t="s">
        <v>310</v>
      </c>
      <c r="C150" s="43" t="s">
        <v>20</v>
      </c>
      <c r="D150" s="270">
        <f>+D144</f>
        <v>77.7</v>
      </c>
      <c r="E150" s="271"/>
      <c r="F150" s="139">
        <f t="shared" si="13"/>
        <v>0</v>
      </c>
    </row>
    <row r="151" spans="1:6" x14ac:dyDescent="0.25">
      <c r="A151" s="238" t="s">
        <v>222</v>
      </c>
      <c r="B151" s="48" t="s">
        <v>292</v>
      </c>
      <c r="C151" s="43" t="s">
        <v>20</v>
      </c>
      <c r="D151" s="45">
        <f>31*1.05</f>
        <v>32.550000000000004</v>
      </c>
      <c r="E151" s="257"/>
      <c r="F151" s="139">
        <f t="shared" si="13"/>
        <v>0</v>
      </c>
    </row>
    <row r="152" spans="1:6" x14ac:dyDescent="0.25">
      <c r="A152" s="243"/>
      <c r="B152" s="244" t="s">
        <v>223</v>
      </c>
      <c r="C152" s="245"/>
      <c r="D152" s="246"/>
      <c r="E152" s="261"/>
      <c r="F152" s="248">
        <f>SUM(F147:F151)</f>
        <v>0</v>
      </c>
    </row>
    <row r="153" spans="1:6" x14ac:dyDescent="0.25">
      <c r="A153" s="309" t="s">
        <v>224</v>
      </c>
      <c r="B153" s="274" t="s">
        <v>225</v>
      </c>
      <c r="C153" s="275"/>
      <c r="D153" s="276"/>
      <c r="E153" s="277"/>
      <c r="F153" s="278"/>
    </row>
    <row r="154" spans="1:6" x14ac:dyDescent="0.25">
      <c r="A154" s="195" t="s">
        <v>226</v>
      </c>
      <c r="B154" s="196" t="s">
        <v>467</v>
      </c>
      <c r="C154" s="279"/>
      <c r="D154" s="279"/>
      <c r="E154" s="280"/>
      <c r="F154" s="280"/>
    </row>
    <row r="155" spans="1:6" x14ac:dyDescent="0.25">
      <c r="A155" s="282" t="s">
        <v>227</v>
      </c>
      <c r="B155" s="174" t="s">
        <v>455</v>
      </c>
      <c r="C155" s="279" t="s">
        <v>124</v>
      </c>
      <c r="D155" s="279">
        <v>50</v>
      </c>
      <c r="E155" s="280"/>
      <c r="F155" s="280">
        <f t="shared" ref="F155:F167" si="14">D155*E155</f>
        <v>0</v>
      </c>
    </row>
    <row r="156" spans="1:6" x14ac:dyDescent="0.25">
      <c r="A156" s="282" t="s">
        <v>228</v>
      </c>
      <c r="B156" s="174" t="s">
        <v>456</v>
      </c>
      <c r="C156" s="279" t="s">
        <v>124</v>
      </c>
      <c r="D156" s="279">
        <v>100</v>
      </c>
      <c r="E156" s="280"/>
      <c r="F156" s="280">
        <f t="shared" si="14"/>
        <v>0</v>
      </c>
    </row>
    <row r="157" spans="1:6" x14ac:dyDescent="0.25">
      <c r="A157" s="282" t="s">
        <v>229</v>
      </c>
      <c r="B157" s="174" t="s">
        <v>457</v>
      </c>
      <c r="C157" s="279" t="s">
        <v>124</v>
      </c>
      <c r="D157" s="279">
        <v>150</v>
      </c>
      <c r="E157" s="280"/>
      <c r="F157" s="280">
        <f t="shared" si="14"/>
        <v>0</v>
      </c>
    </row>
    <row r="158" spans="1:6" x14ac:dyDescent="0.25">
      <c r="A158" s="282" t="s">
        <v>483</v>
      </c>
      <c r="B158" s="174" t="s">
        <v>452</v>
      </c>
      <c r="C158" s="279" t="s">
        <v>124</v>
      </c>
      <c r="D158" s="279">
        <v>0</v>
      </c>
      <c r="E158" s="280"/>
      <c r="F158" s="280">
        <f t="shared" si="14"/>
        <v>0</v>
      </c>
    </row>
    <row r="159" spans="1:6" x14ac:dyDescent="0.25">
      <c r="A159" s="282" t="s">
        <v>484</v>
      </c>
      <c r="B159" s="174" t="s">
        <v>453</v>
      </c>
      <c r="C159" s="279" t="s">
        <v>124</v>
      </c>
      <c r="D159" s="279">
        <v>0</v>
      </c>
      <c r="E159" s="280"/>
      <c r="F159" s="280">
        <f t="shared" si="14"/>
        <v>0</v>
      </c>
    </row>
    <row r="160" spans="1:6" x14ac:dyDescent="0.25">
      <c r="A160" s="282" t="s">
        <v>485</v>
      </c>
      <c r="B160" s="174" t="s">
        <v>454</v>
      </c>
      <c r="C160" s="279" t="s">
        <v>124</v>
      </c>
      <c r="D160" s="279">
        <v>0</v>
      </c>
      <c r="E160" s="280"/>
      <c r="F160" s="280">
        <f t="shared" si="14"/>
        <v>0</v>
      </c>
    </row>
    <row r="161" spans="1:6" x14ac:dyDescent="0.25">
      <c r="A161" s="282" t="s">
        <v>486</v>
      </c>
      <c r="B161" s="174" t="s">
        <v>458</v>
      </c>
      <c r="C161" s="279" t="s">
        <v>459</v>
      </c>
      <c r="D161" s="279">
        <v>0</v>
      </c>
      <c r="E161" s="280"/>
      <c r="F161" s="280">
        <f t="shared" si="14"/>
        <v>0</v>
      </c>
    </row>
    <row r="162" spans="1:6" x14ac:dyDescent="0.25">
      <c r="A162" s="282" t="s">
        <v>487</v>
      </c>
      <c r="B162" s="174" t="s">
        <v>460</v>
      </c>
      <c r="C162" s="279" t="s">
        <v>459</v>
      </c>
      <c r="D162" s="279">
        <v>0</v>
      </c>
      <c r="E162" s="280"/>
      <c r="F162" s="280">
        <f t="shared" si="14"/>
        <v>0</v>
      </c>
    </row>
    <row r="163" spans="1:6" x14ac:dyDescent="0.25">
      <c r="A163" s="282" t="s">
        <v>488</v>
      </c>
      <c r="B163" s="174" t="s">
        <v>461</v>
      </c>
      <c r="C163" s="279" t="s">
        <v>29</v>
      </c>
      <c r="D163" s="279">
        <v>0</v>
      </c>
      <c r="E163" s="280"/>
      <c r="F163" s="280">
        <f t="shared" si="14"/>
        <v>0</v>
      </c>
    </row>
    <row r="164" spans="1:6" x14ac:dyDescent="0.25">
      <c r="A164" s="282" t="s">
        <v>489</v>
      </c>
      <c r="B164" s="174" t="s">
        <v>462</v>
      </c>
      <c r="C164" s="279" t="s">
        <v>29</v>
      </c>
      <c r="D164" s="279">
        <v>0</v>
      </c>
      <c r="E164" s="280"/>
      <c r="F164" s="280">
        <f t="shared" si="14"/>
        <v>0</v>
      </c>
    </row>
    <row r="165" spans="1:6" x14ac:dyDescent="0.25">
      <c r="A165" s="282" t="s">
        <v>490</v>
      </c>
      <c r="B165" s="174" t="s">
        <v>463</v>
      </c>
      <c r="C165" s="279" t="s">
        <v>29</v>
      </c>
      <c r="D165" s="279">
        <v>0</v>
      </c>
      <c r="E165" s="280"/>
      <c r="F165" s="280">
        <f t="shared" si="14"/>
        <v>0</v>
      </c>
    </row>
    <row r="166" spans="1:6" x14ac:dyDescent="0.25">
      <c r="A166" s="282" t="s">
        <v>491</v>
      </c>
      <c r="B166" s="174" t="s">
        <v>464</v>
      </c>
      <c r="C166" s="279" t="s">
        <v>459</v>
      </c>
      <c r="D166" s="279">
        <v>0</v>
      </c>
      <c r="E166" s="280"/>
      <c r="F166" s="280">
        <f t="shared" si="14"/>
        <v>0</v>
      </c>
    </row>
    <row r="167" spans="1:6" x14ac:dyDescent="0.25">
      <c r="A167" s="282" t="s">
        <v>492</v>
      </c>
      <c r="B167" s="174" t="s">
        <v>465</v>
      </c>
      <c r="C167" s="279" t="s">
        <v>466</v>
      </c>
      <c r="D167" s="279">
        <v>0</v>
      </c>
      <c r="E167" s="280"/>
      <c r="F167" s="280">
        <f t="shared" si="14"/>
        <v>0</v>
      </c>
    </row>
    <row r="168" spans="1:6" ht="14.5" customHeight="1" x14ac:dyDescent="0.25">
      <c r="A168" s="243"/>
      <c r="B168" s="244" t="s">
        <v>499</v>
      </c>
      <c r="C168" s="245"/>
      <c r="D168" s="246"/>
      <c r="E168" s="261"/>
      <c r="F168" s="248">
        <f>SUM(F155:F167)</f>
        <v>0</v>
      </c>
    </row>
    <row r="169" spans="1:6" ht="14.5" customHeight="1" x14ac:dyDescent="0.25">
      <c r="A169" s="195" t="s">
        <v>230</v>
      </c>
      <c r="B169" s="196" t="s">
        <v>468</v>
      </c>
      <c r="C169" s="279"/>
      <c r="D169" s="279"/>
      <c r="E169" s="280"/>
      <c r="F169" s="280"/>
    </row>
    <row r="170" spans="1:6" x14ac:dyDescent="0.25">
      <c r="A170" s="282" t="s">
        <v>231</v>
      </c>
      <c r="B170" s="174" t="s">
        <v>469</v>
      </c>
      <c r="C170" s="279" t="s">
        <v>29</v>
      </c>
      <c r="D170" s="279">
        <v>0</v>
      </c>
      <c r="E170" s="280"/>
      <c r="F170" s="280">
        <f t="shared" ref="F170:F176" si="15">D170*E170</f>
        <v>0</v>
      </c>
    </row>
    <row r="171" spans="1:6" x14ac:dyDescent="0.25">
      <c r="A171" s="282" t="s">
        <v>493</v>
      </c>
      <c r="B171" s="174" t="s">
        <v>470</v>
      </c>
      <c r="C171" s="279" t="s">
        <v>29</v>
      </c>
      <c r="D171" s="279">
        <v>0</v>
      </c>
      <c r="E171" s="280"/>
      <c r="F171" s="280">
        <f t="shared" si="15"/>
        <v>0</v>
      </c>
    </row>
    <row r="172" spans="1:6" x14ac:dyDescent="0.25">
      <c r="A172" s="282" t="s">
        <v>494</v>
      </c>
      <c r="B172" s="174" t="s">
        <v>471</v>
      </c>
      <c r="C172" s="279" t="s">
        <v>29</v>
      </c>
      <c r="D172" s="279">
        <v>0</v>
      </c>
      <c r="E172" s="280"/>
      <c r="F172" s="280">
        <f t="shared" si="15"/>
        <v>0</v>
      </c>
    </row>
    <row r="173" spans="1:6" x14ac:dyDescent="0.25">
      <c r="A173" s="282" t="s">
        <v>495</v>
      </c>
      <c r="B173" s="174" t="s">
        <v>472</v>
      </c>
      <c r="C173" s="279" t="s">
        <v>29</v>
      </c>
      <c r="D173" s="279">
        <v>0</v>
      </c>
      <c r="E173" s="280"/>
      <c r="F173" s="280">
        <f t="shared" si="15"/>
        <v>0</v>
      </c>
    </row>
    <row r="174" spans="1:6" x14ac:dyDescent="0.25">
      <c r="A174" s="282" t="s">
        <v>496</v>
      </c>
      <c r="B174" s="174" t="s">
        <v>473</v>
      </c>
      <c r="C174" s="279" t="s">
        <v>124</v>
      </c>
      <c r="D174" s="279">
        <v>0</v>
      </c>
      <c r="E174" s="280"/>
      <c r="F174" s="280">
        <f t="shared" si="15"/>
        <v>0</v>
      </c>
    </row>
    <row r="175" spans="1:6" x14ac:dyDescent="0.25">
      <c r="A175" s="282" t="s">
        <v>497</v>
      </c>
      <c r="B175" s="174" t="s">
        <v>474</v>
      </c>
      <c r="C175" s="279" t="s">
        <v>124</v>
      </c>
      <c r="D175" s="279">
        <v>0</v>
      </c>
      <c r="E175" s="280"/>
      <c r="F175" s="280">
        <f t="shared" si="15"/>
        <v>0</v>
      </c>
    </row>
    <row r="176" spans="1:6" x14ac:dyDescent="0.25">
      <c r="A176" s="282" t="s">
        <v>498</v>
      </c>
      <c r="B176" s="174" t="s">
        <v>465</v>
      </c>
      <c r="C176" s="279" t="s">
        <v>466</v>
      </c>
      <c r="D176" s="279">
        <v>0</v>
      </c>
      <c r="E176" s="280"/>
      <c r="F176" s="280">
        <f t="shared" si="15"/>
        <v>0</v>
      </c>
    </row>
    <row r="177" spans="1:6" ht="14.5" customHeight="1" x14ac:dyDescent="0.25">
      <c r="A177" s="243"/>
      <c r="B177" s="244" t="s">
        <v>500</v>
      </c>
      <c r="C177" s="245"/>
      <c r="D177" s="246"/>
      <c r="E177" s="261"/>
      <c r="F177" s="248">
        <f>SUM(F170:F176)</f>
        <v>0</v>
      </c>
    </row>
    <row r="178" spans="1:6" ht="14.5" customHeight="1" x14ac:dyDescent="0.25">
      <c r="A178" s="195" t="s">
        <v>232</v>
      </c>
      <c r="B178" s="196" t="s">
        <v>475</v>
      </c>
      <c r="C178" s="279"/>
      <c r="D178" s="279"/>
      <c r="E178" s="280"/>
      <c r="F178" s="280"/>
    </row>
    <row r="179" spans="1:6" x14ac:dyDescent="0.25">
      <c r="A179" s="282" t="s">
        <v>233</v>
      </c>
      <c r="B179" s="174" t="s">
        <v>476</v>
      </c>
      <c r="C179" s="279" t="s">
        <v>29</v>
      </c>
      <c r="D179" s="279">
        <v>0</v>
      </c>
      <c r="E179" s="280"/>
      <c r="F179" s="280">
        <f>D179*E179</f>
        <v>0</v>
      </c>
    </row>
    <row r="180" spans="1:6" x14ac:dyDescent="0.25">
      <c r="A180" s="282" t="s">
        <v>234</v>
      </c>
      <c r="B180" s="174" t="s">
        <v>477</v>
      </c>
      <c r="C180" s="279" t="s">
        <v>29</v>
      </c>
      <c r="D180" s="279">
        <v>0</v>
      </c>
      <c r="E180" s="280"/>
      <c r="F180" s="280">
        <f>D180*E180</f>
        <v>0</v>
      </c>
    </row>
    <row r="181" spans="1:6" ht="14.5" customHeight="1" x14ac:dyDescent="0.25">
      <c r="A181" s="243"/>
      <c r="B181" s="244" t="s">
        <v>501</v>
      </c>
      <c r="C181" s="245"/>
      <c r="D181" s="246"/>
      <c r="E181" s="261"/>
      <c r="F181" s="248">
        <f>SUM(F179:F180)</f>
        <v>0</v>
      </c>
    </row>
    <row r="182" spans="1:6" x14ac:dyDescent="0.25">
      <c r="A182" s="255" t="s">
        <v>235</v>
      </c>
      <c r="B182" s="310" t="s">
        <v>478</v>
      </c>
      <c r="C182" s="311"/>
      <c r="D182" s="311"/>
      <c r="E182" s="312"/>
      <c r="F182" s="312"/>
    </row>
    <row r="183" spans="1:6" ht="14.5" customHeight="1" x14ac:dyDescent="0.25">
      <c r="A183" s="282" t="s">
        <v>236</v>
      </c>
      <c r="B183" s="174" t="s">
        <v>479</v>
      </c>
      <c r="C183" s="279" t="s">
        <v>29</v>
      </c>
      <c r="D183" s="279">
        <v>0</v>
      </c>
      <c r="E183" s="280"/>
      <c r="F183" s="280">
        <f>D183*E183</f>
        <v>0</v>
      </c>
    </row>
    <row r="184" spans="1:6" x14ac:dyDescent="0.25">
      <c r="A184" s="282" t="s">
        <v>237</v>
      </c>
      <c r="B184" s="174" t="s">
        <v>480</v>
      </c>
      <c r="C184" s="279" t="s">
        <v>29</v>
      </c>
      <c r="D184" s="279">
        <v>0</v>
      </c>
      <c r="E184" s="280"/>
      <c r="F184" s="280">
        <f>D184*E184</f>
        <v>0</v>
      </c>
    </row>
    <row r="185" spans="1:6" x14ac:dyDescent="0.25">
      <c r="A185" s="282" t="s">
        <v>238</v>
      </c>
      <c r="B185" s="174" t="s">
        <v>481</v>
      </c>
      <c r="C185" s="279" t="s">
        <v>29</v>
      </c>
      <c r="D185" s="279">
        <v>0</v>
      </c>
      <c r="E185" s="280"/>
      <c r="F185" s="280">
        <f>D185*E185</f>
        <v>0</v>
      </c>
    </row>
    <row r="186" spans="1:6" x14ac:dyDescent="0.25">
      <c r="A186" s="282" t="s">
        <v>239</v>
      </c>
      <c r="B186" s="174" t="s">
        <v>482</v>
      </c>
      <c r="C186" s="279" t="s">
        <v>29</v>
      </c>
      <c r="D186" s="279">
        <v>0</v>
      </c>
      <c r="E186" s="280"/>
      <c r="F186" s="280">
        <f>D186*E186</f>
        <v>0</v>
      </c>
    </row>
    <row r="187" spans="1:6" x14ac:dyDescent="0.25">
      <c r="A187" s="282" t="s">
        <v>240</v>
      </c>
      <c r="B187" s="174" t="s">
        <v>465</v>
      </c>
      <c r="C187" s="279" t="s">
        <v>466</v>
      </c>
      <c r="D187" s="279">
        <v>0</v>
      </c>
      <c r="E187" s="280"/>
      <c r="F187" s="280">
        <f>D187*E187</f>
        <v>0</v>
      </c>
    </row>
    <row r="188" spans="1:6" ht="14.5" customHeight="1" x14ac:dyDescent="0.25">
      <c r="A188" s="243"/>
      <c r="B188" s="244" t="s">
        <v>502</v>
      </c>
      <c r="C188" s="245"/>
      <c r="D188" s="246"/>
      <c r="E188" s="261"/>
      <c r="F188" s="248">
        <f>SUM(F183:F187)</f>
        <v>0</v>
      </c>
    </row>
    <row r="189" spans="1:6" x14ac:dyDescent="0.25">
      <c r="A189" s="290"/>
      <c r="B189" s="196" t="s">
        <v>241</v>
      </c>
      <c r="C189" s="283"/>
      <c r="D189" s="291"/>
      <c r="E189" s="292"/>
      <c r="F189" s="293">
        <f>F188+F181+F177+F168</f>
        <v>0</v>
      </c>
    </row>
    <row r="190" spans="1:6" x14ac:dyDescent="0.25">
      <c r="A190" s="195" t="s">
        <v>242</v>
      </c>
      <c r="B190" s="196" t="s">
        <v>243</v>
      </c>
      <c r="C190" s="175"/>
      <c r="D190" s="44"/>
      <c r="E190" s="176"/>
      <c r="F190" s="197"/>
    </row>
    <row r="191" spans="1:6" x14ac:dyDescent="0.25">
      <c r="A191" s="281" t="s">
        <v>244</v>
      </c>
      <c r="B191" s="174" t="s">
        <v>311</v>
      </c>
      <c r="C191" s="175" t="s">
        <v>207</v>
      </c>
      <c r="D191" s="44">
        <v>2</v>
      </c>
      <c r="E191" s="176"/>
      <c r="F191" s="197">
        <f t="shared" ref="F191:F195" si="16">E191*D191</f>
        <v>0</v>
      </c>
    </row>
    <row r="192" spans="1:6" ht="14.5" customHeight="1" x14ac:dyDescent="0.25">
      <c r="A192" s="281" t="s">
        <v>245</v>
      </c>
      <c r="B192" s="174" t="s">
        <v>312</v>
      </c>
      <c r="C192" s="175" t="s">
        <v>207</v>
      </c>
      <c r="D192" s="44">
        <v>1</v>
      </c>
      <c r="E192" s="176"/>
      <c r="F192" s="197">
        <f t="shared" si="16"/>
        <v>0</v>
      </c>
    </row>
    <row r="193" spans="1:6" x14ac:dyDescent="0.25">
      <c r="A193" s="281" t="s">
        <v>246</v>
      </c>
      <c r="B193" s="174" t="s">
        <v>313</v>
      </c>
      <c r="C193" s="175" t="s">
        <v>207</v>
      </c>
      <c r="D193" s="44">
        <v>3</v>
      </c>
      <c r="E193" s="176"/>
      <c r="F193" s="197">
        <f t="shared" si="16"/>
        <v>0</v>
      </c>
    </row>
    <row r="194" spans="1:6" x14ac:dyDescent="0.25">
      <c r="A194" s="281" t="s">
        <v>247</v>
      </c>
      <c r="B194" s="174" t="s">
        <v>248</v>
      </c>
      <c r="C194" s="175" t="s">
        <v>124</v>
      </c>
      <c r="D194" s="44">
        <v>6</v>
      </c>
      <c r="E194" s="176"/>
      <c r="F194" s="197">
        <f t="shared" si="16"/>
        <v>0</v>
      </c>
    </row>
    <row r="195" spans="1:6" x14ac:dyDescent="0.25">
      <c r="A195" s="281" t="s">
        <v>249</v>
      </c>
      <c r="B195" s="174" t="s">
        <v>314</v>
      </c>
      <c r="C195" s="175" t="s">
        <v>124</v>
      </c>
      <c r="D195" s="44">
        <v>12</v>
      </c>
      <c r="E195" s="176"/>
      <c r="F195" s="197">
        <f t="shared" si="16"/>
        <v>0</v>
      </c>
    </row>
    <row r="196" spans="1:6" x14ac:dyDescent="0.25">
      <c r="A196" s="243"/>
      <c r="B196" s="272" t="s">
        <v>250</v>
      </c>
      <c r="C196" s="245"/>
      <c r="D196" s="246"/>
      <c r="E196" s="261"/>
      <c r="F196" s="248">
        <f>SUM(F191:F195)</f>
        <v>0</v>
      </c>
    </row>
    <row r="197" spans="1:6" x14ac:dyDescent="0.25">
      <c r="A197" s="342"/>
      <c r="B197" s="343"/>
      <c r="C197" s="343"/>
      <c r="D197" s="343"/>
      <c r="E197" s="343"/>
      <c r="F197" s="344"/>
    </row>
    <row r="198" spans="1:6" x14ac:dyDescent="0.25">
      <c r="A198" s="313"/>
      <c r="B198" s="314" t="s">
        <v>251</v>
      </c>
      <c r="C198" s="315"/>
      <c r="D198" s="316"/>
      <c r="E198" s="317"/>
      <c r="F198" s="318">
        <f>+F196+F189+F152+F145+F137+F128+F119+F112</f>
        <v>0</v>
      </c>
    </row>
    <row r="199" spans="1:6" x14ac:dyDescent="0.25">
      <c r="A199" s="345"/>
      <c r="B199" s="346"/>
      <c r="C199" s="346"/>
      <c r="D199" s="346"/>
      <c r="E199" s="346"/>
      <c r="F199" s="347"/>
    </row>
    <row r="200" spans="1:6" x14ac:dyDescent="0.25">
      <c r="A200" s="235">
        <v>500</v>
      </c>
      <c r="B200" s="38" t="s">
        <v>252</v>
      </c>
      <c r="C200" s="39"/>
      <c r="D200" s="40"/>
      <c r="E200" s="236"/>
      <c r="F200" s="237"/>
    </row>
    <row r="201" spans="1:6" x14ac:dyDescent="0.25">
      <c r="A201" s="249" t="s">
        <v>253</v>
      </c>
      <c r="B201" s="250" t="s">
        <v>327</v>
      </c>
      <c r="C201" s="251"/>
      <c r="D201" s="252"/>
      <c r="E201" s="253"/>
      <c r="F201" s="254"/>
    </row>
    <row r="202" spans="1:6" ht="23" x14ac:dyDescent="0.25">
      <c r="A202" s="319" t="s">
        <v>254</v>
      </c>
      <c r="B202" s="48" t="s">
        <v>346</v>
      </c>
      <c r="C202" s="43" t="s">
        <v>94</v>
      </c>
      <c r="D202" s="44">
        <f>140*1.8*0.07</f>
        <v>17.64</v>
      </c>
      <c r="E202" s="176"/>
      <c r="F202" s="197">
        <f>E202*D202</f>
        <v>0</v>
      </c>
    </row>
    <row r="203" spans="1:6" x14ac:dyDescent="0.25">
      <c r="A203" s="319" t="s">
        <v>255</v>
      </c>
      <c r="B203" s="48" t="s">
        <v>347</v>
      </c>
      <c r="C203" s="43" t="s">
        <v>94</v>
      </c>
      <c r="D203" s="44">
        <f>140*0.8*0.15</f>
        <v>16.8</v>
      </c>
      <c r="E203" s="176"/>
      <c r="F203" s="197">
        <f t="shared" ref="F203:F206" si="17">E203*D203</f>
        <v>0</v>
      </c>
    </row>
    <row r="204" spans="1:6" x14ac:dyDescent="0.25">
      <c r="A204" s="319" t="s">
        <v>256</v>
      </c>
      <c r="B204" s="48" t="s">
        <v>315</v>
      </c>
      <c r="C204" s="43" t="s">
        <v>94</v>
      </c>
      <c r="D204" s="44">
        <f>140*0.8*1.8</f>
        <v>201.6</v>
      </c>
      <c r="E204" s="176"/>
      <c r="F204" s="197">
        <f t="shared" si="17"/>
        <v>0</v>
      </c>
    </row>
    <row r="205" spans="1:6" x14ac:dyDescent="0.25">
      <c r="A205" s="319" t="s">
        <v>257</v>
      </c>
      <c r="B205" s="48" t="s">
        <v>348</v>
      </c>
      <c r="C205" s="43" t="s">
        <v>94</v>
      </c>
      <c r="D205" s="44">
        <f>38*0.15*0.15*1.2</f>
        <v>1.026</v>
      </c>
      <c r="E205" s="176"/>
      <c r="F205" s="197">
        <f t="shared" si="17"/>
        <v>0</v>
      </c>
    </row>
    <row r="206" spans="1:6" x14ac:dyDescent="0.25">
      <c r="A206" s="319" t="s">
        <v>258</v>
      </c>
      <c r="B206" s="48" t="s">
        <v>553</v>
      </c>
      <c r="C206" s="43" t="s">
        <v>30</v>
      </c>
      <c r="D206" s="44">
        <v>1</v>
      </c>
      <c r="E206" s="176"/>
      <c r="F206" s="197">
        <f t="shared" si="17"/>
        <v>0</v>
      </c>
    </row>
    <row r="207" spans="1:6" x14ac:dyDescent="0.25">
      <c r="A207" s="320"/>
      <c r="B207" s="321" t="s">
        <v>316</v>
      </c>
      <c r="C207" s="322"/>
      <c r="D207" s="323"/>
      <c r="E207" s="324"/>
      <c r="F207" s="325">
        <f>SUM(F202:F206)</f>
        <v>0</v>
      </c>
    </row>
    <row r="208" spans="1:6" x14ac:dyDescent="0.25">
      <c r="A208" s="348"/>
      <c r="B208" s="349"/>
      <c r="C208" s="349"/>
      <c r="D208" s="349"/>
      <c r="E208" s="349"/>
      <c r="F208" s="350"/>
    </row>
    <row r="209" spans="1:6" x14ac:dyDescent="0.25">
      <c r="A209" s="235">
        <v>600</v>
      </c>
      <c r="B209" s="326" t="s">
        <v>259</v>
      </c>
      <c r="C209" s="39"/>
      <c r="D209" s="40"/>
      <c r="E209" s="236"/>
      <c r="F209" s="237"/>
    </row>
    <row r="210" spans="1:6" ht="23" x14ac:dyDescent="0.25">
      <c r="A210" s="319" t="s">
        <v>260</v>
      </c>
      <c r="B210" s="48" t="s">
        <v>317</v>
      </c>
      <c r="C210" s="327" t="s">
        <v>261</v>
      </c>
      <c r="D210" s="45">
        <v>1</v>
      </c>
      <c r="E210" s="257"/>
      <c r="F210" s="139">
        <f t="shared" ref="F210:F214" si="18">E210*D210</f>
        <v>0</v>
      </c>
    </row>
    <row r="211" spans="1:6" ht="23" x14ac:dyDescent="0.25">
      <c r="A211" s="319" t="s">
        <v>262</v>
      </c>
      <c r="B211" s="48" t="s">
        <v>318</v>
      </c>
      <c r="C211" s="327" t="s">
        <v>261</v>
      </c>
      <c r="D211" s="45">
        <v>1</v>
      </c>
      <c r="E211" s="257"/>
      <c r="F211" s="139">
        <f t="shared" si="18"/>
        <v>0</v>
      </c>
    </row>
    <row r="212" spans="1:6" x14ac:dyDescent="0.25">
      <c r="A212" s="319" t="s">
        <v>263</v>
      </c>
      <c r="B212" s="48" t="s">
        <v>265</v>
      </c>
      <c r="C212" s="43" t="s">
        <v>124</v>
      </c>
      <c r="D212" s="45">
        <v>140</v>
      </c>
      <c r="E212" s="257"/>
      <c r="F212" s="139">
        <f t="shared" si="18"/>
        <v>0</v>
      </c>
    </row>
    <row r="213" spans="1:6" x14ac:dyDescent="0.25">
      <c r="A213" s="319" t="s">
        <v>264</v>
      </c>
      <c r="B213" s="48" t="s">
        <v>267</v>
      </c>
      <c r="C213" s="43" t="s">
        <v>30</v>
      </c>
      <c r="D213" s="45">
        <v>1</v>
      </c>
      <c r="E213" s="257"/>
      <c r="F213" s="139">
        <f t="shared" si="18"/>
        <v>0</v>
      </c>
    </row>
    <row r="214" spans="1:6" x14ac:dyDescent="0.25">
      <c r="A214" s="319" t="s">
        <v>266</v>
      </c>
      <c r="B214" s="48" t="s">
        <v>319</v>
      </c>
      <c r="C214" s="43" t="s">
        <v>268</v>
      </c>
      <c r="D214" s="45">
        <v>8</v>
      </c>
      <c r="E214" s="257"/>
      <c r="F214" s="139">
        <f t="shared" si="18"/>
        <v>0</v>
      </c>
    </row>
    <row r="215" spans="1:6" x14ac:dyDescent="0.25">
      <c r="A215" s="313"/>
      <c r="B215" s="328" t="s">
        <v>269</v>
      </c>
      <c r="C215" s="315"/>
      <c r="D215" s="316"/>
      <c r="E215" s="317"/>
      <c r="F215" s="318">
        <f>SUM(F210:F214)</f>
        <v>0</v>
      </c>
    </row>
    <row r="216" spans="1:6" x14ac:dyDescent="0.25">
      <c r="A216" s="342"/>
      <c r="B216" s="343"/>
      <c r="C216" s="343"/>
      <c r="D216" s="343"/>
      <c r="E216" s="343"/>
      <c r="F216" s="344"/>
    </row>
    <row r="217" spans="1:6" x14ac:dyDescent="0.25">
      <c r="A217" s="329"/>
      <c r="B217" s="330" t="s">
        <v>270</v>
      </c>
      <c r="C217" s="331"/>
      <c r="D217" s="331"/>
      <c r="E217" s="332"/>
      <c r="F217" s="333">
        <f>F215+F207+F198+F99+F8</f>
        <v>0</v>
      </c>
    </row>
    <row r="218" spans="1:6" ht="12" thickBot="1" x14ac:dyDescent="0.3">
      <c r="A218" s="334"/>
      <c r="B218" s="335"/>
      <c r="C218" s="336"/>
      <c r="D218" s="336"/>
      <c r="E218" s="337"/>
      <c r="F218" s="338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topLeftCell="A121" zoomScale="90" zoomScaleNormal="100" zoomScaleSheetLayoutView="90" workbookViewId="0">
      <selection activeCell="I129" sqref="I129"/>
    </sheetView>
  </sheetViews>
  <sheetFormatPr baseColWidth="10" defaultColWidth="10.90625" defaultRowHeight="11.5" x14ac:dyDescent="0.25"/>
  <cols>
    <col min="1" max="1" width="6.90625" style="1" customWidth="1"/>
    <col min="2" max="2" width="49.453125" style="1" customWidth="1"/>
    <col min="3" max="3" width="8.1796875" style="1" customWidth="1"/>
    <col min="4" max="4" width="8.54296875" style="1" customWidth="1"/>
    <col min="5" max="5" width="10.90625" style="1" customWidth="1"/>
    <col min="6" max="6" width="10.90625" style="224" customWidth="1"/>
    <col min="7" max="16384" width="10.90625" style="1"/>
  </cols>
  <sheetData>
    <row r="1" spans="1:7" ht="18.5" customHeight="1" thickBot="1" x14ac:dyDescent="0.3">
      <c r="A1" s="379" t="s">
        <v>41</v>
      </c>
      <c r="B1" s="380"/>
      <c r="C1" s="380"/>
      <c r="D1" s="380"/>
      <c r="E1" s="380"/>
      <c r="F1" s="381"/>
    </row>
    <row r="2" spans="1:7" x14ac:dyDescent="0.25">
      <c r="A2" s="127" t="s">
        <v>61</v>
      </c>
      <c r="B2" s="376" t="s">
        <v>42</v>
      </c>
      <c r="C2" s="377"/>
      <c r="D2" s="377"/>
      <c r="E2" s="377"/>
      <c r="F2" s="378"/>
    </row>
    <row r="3" spans="1:7" x14ac:dyDescent="0.25">
      <c r="A3" s="128" t="s">
        <v>0</v>
      </c>
      <c r="B3" s="129" t="s">
        <v>1</v>
      </c>
      <c r="C3" s="129" t="s">
        <v>40</v>
      </c>
      <c r="D3" s="35" t="s">
        <v>81</v>
      </c>
      <c r="E3" s="35" t="s">
        <v>349</v>
      </c>
      <c r="F3" s="130" t="s">
        <v>350</v>
      </c>
    </row>
    <row r="4" spans="1:7" x14ac:dyDescent="0.25">
      <c r="A4" s="131" t="s">
        <v>3</v>
      </c>
      <c r="B4" s="132" t="s">
        <v>4</v>
      </c>
      <c r="C4" s="364"/>
      <c r="D4" s="364"/>
      <c r="E4" s="133"/>
      <c r="F4" s="134"/>
    </row>
    <row r="5" spans="1:7" x14ac:dyDescent="0.25">
      <c r="A5" s="135">
        <v>0</v>
      </c>
      <c r="B5" s="136" t="s">
        <v>5</v>
      </c>
      <c r="C5" s="137" t="s">
        <v>30</v>
      </c>
      <c r="D5" s="138">
        <v>0</v>
      </c>
      <c r="E5" s="138"/>
      <c r="F5" s="139">
        <f t="shared" ref="F5" si="0">D5*E5</f>
        <v>0</v>
      </c>
    </row>
    <row r="6" spans="1:7" ht="12" x14ac:dyDescent="0.25">
      <c r="A6" s="371" t="s">
        <v>6</v>
      </c>
      <c r="B6" s="372"/>
      <c r="C6" s="372"/>
      <c r="D6" s="372"/>
      <c r="E6" s="372"/>
      <c r="F6" s="140">
        <f>SUM(F5)</f>
        <v>0</v>
      </c>
    </row>
    <row r="7" spans="1:7" x14ac:dyDescent="0.25">
      <c r="A7" s="141">
        <v>1</v>
      </c>
      <c r="B7" s="132" t="s">
        <v>7</v>
      </c>
      <c r="C7" s="382"/>
      <c r="D7" s="382"/>
      <c r="E7" s="142"/>
      <c r="F7" s="143"/>
    </row>
    <row r="8" spans="1:7" x14ac:dyDescent="0.25">
      <c r="A8" s="144" t="s">
        <v>8</v>
      </c>
      <c r="B8" s="145" t="s">
        <v>43</v>
      </c>
      <c r="C8" s="368"/>
      <c r="D8" s="368"/>
      <c r="E8" s="16"/>
      <c r="F8" s="146"/>
    </row>
    <row r="9" spans="1:7" ht="14" x14ac:dyDescent="0.25">
      <c r="A9" s="147" t="s">
        <v>11</v>
      </c>
      <c r="B9" s="148" t="s">
        <v>328</v>
      </c>
      <c r="C9" s="149" t="s">
        <v>571</v>
      </c>
      <c r="D9" s="45">
        <f>29.2*0.6*0.8</f>
        <v>14.016</v>
      </c>
      <c r="E9" s="45"/>
      <c r="F9" s="139">
        <f>D9*E9</f>
        <v>0</v>
      </c>
    </row>
    <row r="10" spans="1:7" ht="14" x14ac:dyDescent="0.25">
      <c r="A10" s="147" t="s">
        <v>12</v>
      </c>
      <c r="B10" s="150" t="s">
        <v>44</v>
      </c>
      <c r="C10" s="149" t="s">
        <v>571</v>
      </c>
      <c r="D10" s="45">
        <f>28.2*0.6*0.05</f>
        <v>0.84599999999999997</v>
      </c>
      <c r="E10" s="45"/>
      <c r="F10" s="139">
        <f t="shared" ref="F10:F13" si="1">D10*E10</f>
        <v>0</v>
      </c>
    </row>
    <row r="11" spans="1:7" ht="14" x14ac:dyDescent="0.25">
      <c r="A11" s="147" t="s">
        <v>13</v>
      </c>
      <c r="B11" s="150" t="s">
        <v>45</v>
      </c>
      <c r="C11" s="149" t="s">
        <v>571</v>
      </c>
      <c r="D11" s="45">
        <f>28.2*0.4*1</f>
        <v>11.280000000000001</v>
      </c>
      <c r="E11" s="45"/>
      <c r="F11" s="139">
        <f t="shared" si="1"/>
        <v>0</v>
      </c>
    </row>
    <row r="12" spans="1:7" ht="14" x14ac:dyDescent="0.25">
      <c r="A12" s="147" t="s">
        <v>14</v>
      </c>
      <c r="B12" s="150" t="s">
        <v>46</v>
      </c>
      <c r="C12" s="149" t="s">
        <v>571</v>
      </c>
      <c r="D12" s="45">
        <f>(0.4*0.4*0.8)*8</f>
        <v>1.0240000000000002</v>
      </c>
      <c r="E12" s="45"/>
      <c r="F12" s="139">
        <f t="shared" si="1"/>
        <v>0</v>
      </c>
    </row>
    <row r="13" spans="1:7" s="152" customFormat="1" x14ac:dyDescent="0.25">
      <c r="A13" s="147" t="s">
        <v>15</v>
      </c>
      <c r="B13" s="48" t="s">
        <v>277</v>
      </c>
      <c r="C13" s="151" t="s">
        <v>94</v>
      </c>
      <c r="D13" s="45">
        <f>28*0.07</f>
        <v>1.9600000000000002</v>
      </c>
      <c r="E13" s="45"/>
      <c r="F13" s="139">
        <f t="shared" si="1"/>
        <v>0</v>
      </c>
    </row>
    <row r="14" spans="1:7" ht="12" x14ac:dyDescent="0.25">
      <c r="A14" s="371" t="s">
        <v>6</v>
      </c>
      <c r="B14" s="372"/>
      <c r="C14" s="372"/>
      <c r="D14" s="372"/>
      <c r="E14" s="372"/>
      <c r="F14" s="153">
        <f>SUM(F9:F13)</f>
        <v>0</v>
      </c>
    </row>
    <row r="15" spans="1:7" x14ac:dyDescent="0.25">
      <c r="A15" s="154" t="s">
        <v>9</v>
      </c>
      <c r="B15" s="155" t="s">
        <v>51</v>
      </c>
      <c r="C15" s="369"/>
      <c r="D15" s="369"/>
      <c r="F15" s="156"/>
    </row>
    <row r="16" spans="1:7" ht="14" x14ac:dyDescent="0.25">
      <c r="A16" s="157" t="s">
        <v>16</v>
      </c>
      <c r="B16" s="150" t="s">
        <v>47</v>
      </c>
      <c r="C16" s="149" t="s">
        <v>571</v>
      </c>
      <c r="D16" s="45">
        <f>(27.2*0.15*3)</f>
        <v>12.24</v>
      </c>
      <c r="E16" s="45"/>
      <c r="F16" s="139">
        <f t="shared" ref="F16:F19" si="2">D16*E16</f>
        <v>0</v>
      </c>
      <c r="G16" s="158"/>
    </row>
    <row r="17" spans="1:6" ht="14" x14ac:dyDescent="0.25">
      <c r="A17" s="157" t="s">
        <v>17</v>
      </c>
      <c r="B17" s="159" t="s">
        <v>48</v>
      </c>
      <c r="C17" s="149" t="s">
        <v>571</v>
      </c>
      <c r="D17" s="45">
        <f>(0.15*0.15*3)*8</f>
        <v>0.54</v>
      </c>
      <c r="E17" s="45"/>
      <c r="F17" s="139">
        <f t="shared" si="2"/>
        <v>0</v>
      </c>
    </row>
    <row r="18" spans="1:6" ht="14" x14ac:dyDescent="0.25">
      <c r="A18" s="160" t="s">
        <v>18</v>
      </c>
      <c r="B18" s="148" t="s">
        <v>49</v>
      </c>
      <c r="C18" s="149" t="s">
        <v>571</v>
      </c>
      <c r="D18" s="45">
        <f>29.2*0.15*0.1</f>
        <v>0.438</v>
      </c>
      <c r="E18" s="45"/>
      <c r="F18" s="139">
        <f t="shared" si="2"/>
        <v>0</v>
      </c>
    </row>
    <row r="19" spans="1:6" ht="14" x14ac:dyDescent="0.25">
      <c r="A19" s="160" t="s">
        <v>18</v>
      </c>
      <c r="B19" s="148" t="s">
        <v>50</v>
      </c>
      <c r="C19" s="149" t="s">
        <v>571</v>
      </c>
      <c r="D19" s="45">
        <f>29.2*0.15*0.22</f>
        <v>0.96360000000000001</v>
      </c>
      <c r="E19" s="45"/>
      <c r="F19" s="139">
        <f t="shared" si="2"/>
        <v>0</v>
      </c>
    </row>
    <row r="20" spans="1:6" ht="12" x14ac:dyDescent="0.25">
      <c r="A20" s="371" t="s">
        <v>6</v>
      </c>
      <c r="B20" s="372"/>
      <c r="C20" s="372"/>
      <c r="D20" s="372"/>
      <c r="E20" s="372"/>
      <c r="F20" s="153">
        <f>SUM(F16:F19)</f>
        <v>0</v>
      </c>
    </row>
    <row r="21" spans="1:6" ht="12" x14ac:dyDescent="0.25">
      <c r="A21" s="144" t="s">
        <v>10</v>
      </c>
      <c r="B21" s="161" t="s">
        <v>556</v>
      </c>
      <c r="C21" s="162"/>
      <c r="D21" s="162"/>
      <c r="E21" s="162"/>
      <c r="F21" s="163"/>
    </row>
    <row r="22" spans="1:6" s="152" customFormat="1" ht="23" x14ac:dyDescent="0.25">
      <c r="A22" s="160" t="s">
        <v>19</v>
      </c>
      <c r="B22" s="48" t="s">
        <v>299</v>
      </c>
      <c r="C22" s="43" t="s">
        <v>94</v>
      </c>
      <c r="D22" s="45">
        <f>(15*0.05*0.1)*4</f>
        <v>0.30000000000000004</v>
      </c>
      <c r="E22" s="45"/>
      <c r="F22" s="139">
        <f>D22*E22</f>
        <v>0</v>
      </c>
    </row>
    <row r="23" spans="1:6" s="152" customFormat="1" x14ac:dyDescent="0.25">
      <c r="A23" s="160" t="s">
        <v>330</v>
      </c>
      <c r="B23" s="48" t="s">
        <v>186</v>
      </c>
      <c r="C23" s="43" t="s">
        <v>94</v>
      </c>
      <c r="D23" s="45">
        <f>(10*0.05*0.05)*16</f>
        <v>0.4</v>
      </c>
      <c r="E23" s="45"/>
      <c r="F23" s="139">
        <f t="shared" ref="F23:F27" si="3">D23*E23</f>
        <v>0</v>
      </c>
    </row>
    <row r="24" spans="1:6" s="152" customFormat="1" ht="23" x14ac:dyDescent="0.25">
      <c r="A24" s="160" t="s">
        <v>331</v>
      </c>
      <c r="B24" s="48" t="s">
        <v>300</v>
      </c>
      <c r="C24" s="43" t="s">
        <v>20</v>
      </c>
      <c r="D24" s="45">
        <f>(10*5.5)</f>
        <v>55</v>
      </c>
      <c r="E24" s="45"/>
      <c r="F24" s="139">
        <f t="shared" si="3"/>
        <v>0</v>
      </c>
    </row>
    <row r="25" spans="1:6" s="152" customFormat="1" ht="23" x14ac:dyDescent="0.25">
      <c r="A25" s="160" t="s">
        <v>332</v>
      </c>
      <c r="B25" s="48" t="s">
        <v>190</v>
      </c>
      <c r="C25" s="43" t="s">
        <v>124</v>
      </c>
      <c r="D25" s="45">
        <f>(14*2)+(13*2)</f>
        <v>54</v>
      </c>
      <c r="E25" s="45"/>
      <c r="F25" s="139">
        <f t="shared" si="3"/>
        <v>0</v>
      </c>
    </row>
    <row r="26" spans="1:6" s="152" customFormat="1" ht="23" x14ac:dyDescent="0.25">
      <c r="A26" s="160" t="s">
        <v>333</v>
      </c>
      <c r="B26" s="48" t="s">
        <v>303</v>
      </c>
      <c r="C26" s="43" t="s">
        <v>30</v>
      </c>
      <c r="D26" s="45">
        <v>1</v>
      </c>
      <c r="E26" s="45"/>
      <c r="F26" s="139">
        <f t="shared" si="3"/>
        <v>0</v>
      </c>
    </row>
    <row r="27" spans="1:6" s="152" customFormat="1" ht="34.5" x14ac:dyDescent="0.25">
      <c r="A27" s="160" t="s">
        <v>334</v>
      </c>
      <c r="B27" s="48" t="s">
        <v>302</v>
      </c>
      <c r="C27" s="43" t="s">
        <v>20</v>
      </c>
      <c r="D27" s="45">
        <f>(8.7*5.8)</f>
        <v>50.459999999999994</v>
      </c>
      <c r="E27" s="45"/>
      <c r="F27" s="139">
        <f t="shared" si="3"/>
        <v>0</v>
      </c>
    </row>
    <row r="28" spans="1:6" s="152" customFormat="1" x14ac:dyDescent="0.25">
      <c r="A28" s="164"/>
      <c r="B28" s="165" t="s">
        <v>193</v>
      </c>
      <c r="C28" s="165"/>
      <c r="D28" s="166"/>
      <c r="E28" s="166"/>
      <c r="F28" s="167"/>
    </row>
    <row r="29" spans="1:6" ht="12" x14ac:dyDescent="0.25">
      <c r="A29" s="354" t="s">
        <v>6</v>
      </c>
      <c r="B29" s="355"/>
      <c r="C29" s="355"/>
      <c r="D29" s="355"/>
      <c r="E29" s="355"/>
      <c r="F29" s="168">
        <f>SUM(F22:F28)</f>
        <v>0</v>
      </c>
    </row>
    <row r="30" spans="1:6" x14ac:dyDescent="0.25">
      <c r="A30" s="169">
        <v>2</v>
      </c>
      <c r="B30" s="170" t="s">
        <v>21</v>
      </c>
      <c r="C30" s="370"/>
      <c r="D30" s="370"/>
      <c r="F30" s="156"/>
    </row>
    <row r="31" spans="1:6" x14ac:dyDescent="0.25">
      <c r="A31" s="144" t="s">
        <v>22</v>
      </c>
      <c r="B31" s="145" t="s">
        <v>23</v>
      </c>
      <c r="C31" s="171"/>
      <c r="D31" s="172"/>
      <c r="E31" s="172"/>
      <c r="F31" s="173"/>
    </row>
    <row r="32" spans="1:6" x14ac:dyDescent="0.25">
      <c r="A32" s="160" t="s">
        <v>24</v>
      </c>
      <c r="B32" s="148" t="s">
        <v>52</v>
      </c>
      <c r="C32" s="171" t="s">
        <v>20</v>
      </c>
      <c r="D32" s="45">
        <f>(7.7*3.8)+10</f>
        <v>39.26</v>
      </c>
      <c r="E32" s="45"/>
      <c r="F32" s="139">
        <f t="shared" ref="F32:F35" si="4">D32*E32</f>
        <v>0</v>
      </c>
    </row>
    <row r="33" spans="1:6" x14ac:dyDescent="0.25">
      <c r="A33" s="160" t="s">
        <v>38</v>
      </c>
      <c r="B33" s="148" t="s">
        <v>335</v>
      </c>
      <c r="C33" s="171" t="s">
        <v>20</v>
      </c>
      <c r="D33" s="45">
        <f>(26.2*3)*2</f>
        <v>157.19999999999999</v>
      </c>
      <c r="E33" s="45"/>
      <c r="F33" s="139">
        <f t="shared" si="4"/>
        <v>0</v>
      </c>
    </row>
    <row r="34" spans="1:6" x14ac:dyDescent="0.25">
      <c r="A34" s="160" t="s">
        <v>39</v>
      </c>
      <c r="B34" s="148" t="s">
        <v>53</v>
      </c>
      <c r="C34" s="171" t="s">
        <v>20</v>
      </c>
      <c r="D34" s="45">
        <f>(23*3)/2</f>
        <v>34.5</v>
      </c>
      <c r="E34" s="45"/>
      <c r="F34" s="139">
        <f t="shared" si="4"/>
        <v>0</v>
      </c>
    </row>
    <row r="35" spans="1:6" x14ac:dyDescent="0.25">
      <c r="A35" s="160" t="s">
        <v>25</v>
      </c>
      <c r="B35" s="148" t="s">
        <v>54</v>
      </c>
      <c r="C35" s="171" t="s">
        <v>20</v>
      </c>
      <c r="D35" s="45">
        <f>(23*3)/2-5</f>
        <v>29.5</v>
      </c>
      <c r="E35" s="45"/>
      <c r="F35" s="139">
        <f t="shared" si="4"/>
        <v>0</v>
      </c>
    </row>
    <row r="36" spans="1:6" ht="12" x14ac:dyDescent="0.25">
      <c r="A36" s="371" t="s">
        <v>6</v>
      </c>
      <c r="B36" s="372"/>
      <c r="C36" s="372"/>
      <c r="D36" s="372"/>
      <c r="E36" s="372"/>
      <c r="F36" s="153">
        <f>SUM(F32:F35)</f>
        <v>0</v>
      </c>
    </row>
    <row r="37" spans="1:6" x14ac:dyDescent="0.25">
      <c r="A37" s="144" t="s">
        <v>26</v>
      </c>
      <c r="B37" s="145" t="s">
        <v>27</v>
      </c>
      <c r="C37" s="171"/>
      <c r="D37" s="172"/>
      <c r="E37" s="172"/>
      <c r="F37" s="173"/>
    </row>
    <row r="38" spans="1:6" ht="23" x14ac:dyDescent="0.25">
      <c r="A38" s="160" t="s">
        <v>28</v>
      </c>
      <c r="B38" s="148" t="s">
        <v>56</v>
      </c>
      <c r="C38" s="171" t="s">
        <v>29</v>
      </c>
      <c r="D38" s="172">
        <v>1</v>
      </c>
      <c r="E38" s="172"/>
      <c r="F38" s="139">
        <f t="shared" ref="F38:F41" si="5">D38*E38</f>
        <v>0</v>
      </c>
    </row>
    <row r="39" spans="1:6" ht="23" x14ac:dyDescent="0.25">
      <c r="A39" s="160" t="s">
        <v>37</v>
      </c>
      <c r="B39" s="148" t="s">
        <v>339</v>
      </c>
      <c r="C39" s="171" t="s">
        <v>29</v>
      </c>
      <c r="D39" s="172">
        <v>1</v>
      </c>
      <c r="E39" s="172"/>
      <c r="F39" s="139">
        <f t="shared" si="5"/>
        <v>0</v>
      </c>
    </row>
    <row r="40" spans="1:6" ht="23" x14ac:dyDescent="0.25">
      <c r="A40" s="160" t="s">
        <v>340</v>
      </c>
      <c r="B40" s="148" t="s">
        <v>57</v>
      </c>
      <c r="C40" s="171" t="s">
        <v>29</v>
      </c>
      <c r="D40" s="172">
        <v>2</v>
      </c>
      <c r="E40" s="172"/>
      <c r="F40" s="139">
        <f t="shared" si="5"/>
        <v>0</v>
      </c>
    </row>
    <row r="41" spans="1:6" ht="23" x14ac:dyDescent="0.25">
      <c r="A41" s="160" t="s">
        <v>341</v>
      </c>
      <c r="B41" s="148" t="s">
        <v>58</v>
      </c>
      <c r="C41" s="171" t="s">
        <v>29</v>
      </c>
      <c r="D41" s="172">
        <v>3</v>
      </c>
      <c r="E41" s="172"/>
      <c r="F41" s="139">
        <f t="shared" si="5"/>
        <v>0</v>
      </c>
    </row>
    <row r="42" spans="1:6" ht="12" x14ac:dyDescent="0.25">
      <c r="A42" s="371" t="s">
        <v>6</v>
      </c>
      <c r="B42" s="372"/>
      <c r="C42" s="372"/>
      <c r="D42" s="372"/>
      <c r="E42" s="373"/>
      <c r="F42" s="168">
        <f>SUM(F38:F41)</f>
        <v>0</v>
      </c>
    </row>
    <row r="43" spans="1:6" x14ac:dyDescent="0.25">
      <c r="A43" s="169" t="s">
        <v>31</v>
      </c>
      <c r="B43" s="170" t="s">
        <v>32</v>
      </c>
      <c r="C43" s="375"/>
      <c r="D43" s="375"/>
      <c r="F43" s="156"/>
    </row>
    <row r="44" spans="1:6" x14ac:dyDescent="0.25">
      <c r="A44" s="160" t="s">
        <v>33</v>
      </c>
      <c r="B44" s="148" t="s">
        <v>59</v>
      </c>
      <c r="C44" s="171" t="s">
        <v>20</v>
      </c>
      <c r="D44" s="172">
        <f>+D27+D34</f>
        <v>84.96</v>
      </c>
      <c r="E44" s="172"/>
      <c r="F44" s="139">
        <f t="shared" ref="F44:F46" si="6">D44*E44</f>
        <v>0</v>
      </c>
    </row>
    <row r="45" spans="1:6" x14ac:dyDescent="0.25">
      <c r="A45" s="160" t="s">
        <v>34</v>
      </c>
      <c r="B45" s="148" t="s">
        <v>60</v>
      </c>
      <c r="C45" s="171" t="s">
        <v>20</v>
      </c>
      <c r="D45" s="172">
        <f>+D34</f>
        <v>34.5</v>
      </c>
      <c r="E45" s="172"/>
      <c r="F45" s="139">
        <f t="shared" si="6"/>
        <v>0</v>
      </c>
    </row>
    <row r="46" spans="1:6" x14ac:dyDescent="0.25">
      <c r="A46" s="160" t="s">
        <v>35</v>
      </c>
      <c r="B46" s="148" t="s">
        <v>36</v>
      </c>
      <c r="C46" s="171" t="s">
        <v>20</v>
      </c>
      <c r="D46" s="172">
        <v>16</v>
      </c>
      <c r="E46" s="172"/>
      <c r="F46" s="139">
        <f t="shared" si="6"/>
        <v>0</v>
      </c>
    </row>
    <row r="47" spans="1:6" ht="12" x14ac:dyDescent="0.25">
      <c r="A47" s="371" t="s">
        <v>6</v>
      </c>
      <c r="B47" s="372"/>
      <c r="C47" s="372"/>
      <c r="D47" s="372"/>
      <c r="E47" s="373"/>
      <c r="F47" s="168">
        <f>SUM(F44:F46)</f>
        <v>0</v>
      </c>
    </row>
    <row r="48" spans="1:6" x14ac:dyDescent="0.25">
      <c r="A48" s="169" t="s">
        <v>63</v>
      </c>
      <c r="B48" s="170" t="s">
        <v>71</v>
      </c>
      <c r="C48" s="375"/>
      <c r="D48" s="375"/>
      <c r="F48" s="156"/>
    </row>
    <row r="49" spans="1:6" s="152" customFormat="1" ht="23" x14ac:dyDescent="0.25">
      <c r="A49" s="160" t="s">
        <v>64</v>
      </c>
      <c r="B49" s="174" t="s">
        <v>248</v>
      </c>
      <c r="C49" s="175" t="s">
        <v>124</v>
      </c>
      <c r="D49" s="44">
        <v>10</v>
      </c>
      <c r="E49" s="176"/>
      <c r="F49" s="139">
        <f t="shared" ref="F49:F55" si="7">D49*E49</f>
        <v>0</v>
      </c>
    </row>
    <row r="50" spans="1:6" s="152" customFormat="1" x14ac:dyDescent="0.25">
      <c r="A50" s="160" t="s">
        <v>550</v>
      </c>
      <c r="B50" s="174" t="s">
        <v>314</v>
      </c>
      <c r="C50" s="175" t="s">
        <v>124</v>
      </c>
      <c r="D50" s="44">
        <v>20</v>
      </c>
      <c r="E50" s="176"/>
      <c r="F50" s="139">
        <f t="shared" si="7"/>
        <v>0</v>
      </c>
    </row>
    <row r="51" spans="1:6" x14ac:dyDescent="0.25">
      <c r="A51" s="160" t="s">
        <v>65</v>
      </c>
      <c r="B51" s="148" t="s">
        <v>62</v>
      </c>
      <c r="C51" s="171" t="s">
        <v>30</v>
      </c>
      <c r="D51" s="172">
        <v>10</v>
      </c>
      <c r="E51" s="172"/>
      <c r="F51" s="139">
        <f t="shared" si="7"/>
        <v>0</v>
      </c>
    </row>
    <row r="52" spans="1:6" x14ac:dyDescent="0.25">
      <c r="A52" s="160" t="s">
        <v>66</v>
      </c>
      <c r="B52" s="148" t="s">
        <v>69</v>
      </c>
      <c r="C52" s="171" t="s">
        <v>70</v>
      </c>
      <c r="D52" s="172">
        <v>5</v>
      </c>
      <c r="E52" s="172"/>
      <c r="F52" s="139">
        <f t="shared" si="7"/>
        <v>0</v>
      </c>
    </row>
    <row r="53" spans="1:6" x14ac:dyDescent="0.25">
      <c r="A53" s="160" t="s">
        <v>67</v>
      </c>
      <c r="B53" s="148" t="s">
        <v>79</v>
      </c>
      <c r="C53" s="171" t="s">
        <v>70</v>
      </c>
      <c r="D53" s="172">
        <v>1</v>
      </c>
      <c r="E53" s="172"/>
      <c r="F53" s="139">
        <f t="shared" si="7"/>
        <v>0</v>
      </c>
    </row>
    <row r="54" spans="1:6" x14ac:dyDescent="0.25">
      <c r="A54" s="160" t="s">
        <v>68</v>
      </c>
      <c r="B54" s="177" t="s">
        <v>80</v>
      </c>
      <c r="C54" s="68" t="s">
        <v>30</v>
      </c>
      <c r="D54" s="88">
        <v>1</v>
      </c>
      <c r="E54" s="88"/>
      <c r="F54" s="139">
        <f t="shared" si="7"/>
        <v>0</v>
      </c>
    </row>
    <row r="55" spans="1:6" x14ac:dyDescent="0.25">
      <c r="A55" s="160" t="s">
        <v>551</v>
      </c>
      <c r="B55" s="177" t="s">
        <v>342</v>
      </c>
      <c r="C55" s="68" t="s">
        <v>30</v>
      </c>
      <c r="D55" s="88">
        <v>1</v>
      </c>
      <c r="E55" s="88"/>
      <c r="F55" s="139">
        <f t="shared" si="7"/>
        <v>0</v>
      </c>
    </row>
    <row r="56" spans="1:6" ht="12" x14ac:dyDescent="0.25">
      <c r="A56" s="371" t="s">
        <v>6</v>
      </c>
      <c r="B56" s="372"/>
      <c r="C56" s="372"/>
      <c r="D56" s="372"/>
      <c r="E56" s="373"/>
      <c r="F56" s="168">
        <f>SUM(F49:F55)</f>
        <v>0</v>
      </c>
    </row>
    <row r="57" spans="1:6" ht="12" thickBot="1" x14ac:dyDescent="0.3">
      <c r="A57" s="178"/>
      <c r="B57" s="179"/>
      <c r="C57" s="179"/>
      <c r="D57" s="179"/>
      <c r="E57" s="179"/>
      <c r="F57" s="156"/>
    </row>
    <row r="58" spans="1:6" ht="12" thickBot="1" x14ac:dyDescent="0.3">
      <c r="A58" s="180"/>
      <c r="B58" s="181" t="s">
        <v>76</v>
      </c>
      <c r="C58" s="182"/>
      <c r="D58" s="182"/>
      <c r="E58" s="182"/>
      <c r="F58" s="183">
        <f>F56+F47+F42+F36+F29+F20+F14+F6</f>
        <v>0</v>
      </c>
    </row>
    <row r="59" spans="1:6" x14ac:dyDescent="0.25">
      <c r="A59" s="28"/>
      <c r="F59" s="156"/>
    </row>
    <row r="60" spans="1:6" x14ac:dyDescent="0.25">
      <c r="A60" s="184" t="s">
        <v>75</v>
      </c>
      <c r="B60" s="356" t="s">
        <v>74</v>
      </c>
      <c r="C60" s="356"/>
      <c r="D60" s="356"/>
      <c r="E60" s="356"/>
      <c r="F60" s="363"/>
    </row>
    <row r="61" spans="1:6" x14ac:dyDescent="0.25">
      <c r="A61" s="185" t="s">
        <v>0</v>
      </c>
      <c r="B61" s="186" t="s">
        <v>1</v>
      </c>
      <c r="C61" s="186" t="s">
        <v>40</v>
      </c>
      <c r="D61" s="187" t="s">
        <v>2</v>
      </c>
      <c r="E61" s="187" t="s">
        <v>2</v>
      </c>
      <c r="F61" s="188" t="s">
        <v>2</v>
      </c>
    </row>
    <row r="62" spans="1:6" x14ac:dyDescent="0.25">
      <c r="A62" s="131" t="s">
        <v>3</v>
      </c>
      <c r="B62" s="132" t="s">
        <v>4</v>
      </c>
      <c r="C62" s="364"/>
      <c r="D62" s="364"/>
      <c r="E62" s="133"/>
      <c r="F62" s="134"/>
    </row>
    <row r="63" spans="1:6" x14ac:dyDescent="0.25">
      <c r="A63" s="135">
        <v>0</v>
      </c>
      <c r="B63" s="136" t="s">
        <v>5</v>
      </c>
      <c r="C63" s="137" t="s">
        <v>30</v>
      </c>
      <c r="D63" s="138">
        <v>0</v>
      </c>
      <c r="E63" s="138"/>
      <c r="F63" s="139">
        <f>D63*E63</f>
        <v>0</v>
      </c>
    </row>
    <row r="64" spans="1:6" ht="12" x14ac:dyDescent="0.25">
      <c r="A64" s="354" t="s">
        <v>6</v>
      </c>
      <c r="B64" s="355"/>
      <c r="C64" s="355"/>
      <c r="D64" s="355"/>
      <c r="E64" s="119"/>
      <c r="F64" s="189">
        <f>SUM(F63)</f>
        <v>0</v>
      </c>
    </row>
    <row r="65" spans="1:7" x14ac:dyDescent="0.25">
      <c r="A65" s="190">
        <v>1</v>
      </c>
      <c r="B65" s="191" t="s">
        <v>7</v>
      </c>
      <c r="C65" s="365"/>
      <c r="D65" s="365"/>
      <c r="E65" s="133"/>
      <c r="F65" s="134"/>
    </row>
    <row r="66" spans="1:7" x14ac:dyDescent="0.25">
      <c r="A66" s="144" t="s">
        <v>8</v>
      </c>
      <c r="B66" s="145" t="s">
        <v>43</v>
      </c>
      <c r="C66" s="368"/>
      <c r="D66" s="368"/>
      <c r="E66" s="16"/>
      <c r="F66" s="146"/>
    </row>
    <row r="67" spans="1:7" ht="14" x14ac:dyDescent="0.25">
      <c r="A67" s="147" t="s">
        <v>11</v>
      </c>
      <c r="B67" s="148" t="s">
        <v>78</v>
      </c>
      <c r="C67" s="149" t="s">
        <v>571</v>
      </c>
      <c r="D67" s="45">
        <f>32.2*0.6*0.8</f>
        <v>15.456000000000001</v>
      </c>
      <c r="E67" s="45"/>
      <c r="F67" s="139">
        <f>D67*E67</f>
        <v>0</v>
      </c>
    </row>
    <row r="68" spans="1:7" ht="14" x14ac:dyDescent="0.25">
      <c r="A68" s="147" t="s">
        <v>13</v>
      </c>
      <c r="B68" s="150" t="s">
        <v>44</v>
      </c>
      <c r="C68" s="149" t="s">
        <v>571</v>
      </c>
      <c r="D68" s="45">
        <f>31.2*0.6*0.05</f>
        <v>0.93599999999999994</v>
      </c>
      <c r="E68" s="45"/>
      <c r="F68" s="139">
        <f t="shared" ref="F68:F71" si="8">D68*E68</f>
        <v>0</v>
      </c>
    </row>
    <row r="69" spans="1:7" ht="14" x14ac:dyDescent="0.25">
      <c r="A69" s="147" t="s">
        <v>14</v>
      </c>
      <c r="B69" s="150" t="s">
        <v>45</v>
      </c>
      <c r="C69" s="149" t="s">
        <v>571</v>
      </c>
      <c r="D69" s="45">
        <f>31.2*0.4*1</f>
        <v>12.48</v>
      </c>
      <c r="E69" s="45"/>
      <c r="F69" s="139">
        <f t="shared" si="8"/>
        <v>0</v>
      </c>
    </row>
    <row r="70" spans="1:7" ht="14" x14ac:dyDescent="0.25">
      <c r="A70" s="147" t="s">
        <v>15</v>
      </c>
      <c r="B70" s="150" t="s">
        <v>46</v>
      </c>
      <c r="C70" s="149" t="s">
        <v>571</v>
      </c>
      <c r="D70" s="45">
        <f>(0.4*0.4*0.8)*8</f>
        <v>1.0240000000000002</v>
      </c>
      <c r="E70" s="45"/>
      <c r="F70" s="139">
        <f t="shared" si="8"/>
        <v>0</v>
      </c>
    </row>
    <row r="71" spans="1:7" s="152" customFormat="1" x14ac:dyDescent="0.25">
      <c r="A71" s="192" t="s">
        <v>329</v>
      </c>
      <c r="B71" s="48" t="s">
        <v>277</v>
      </c>
      <c r="C71" s="151" t="s">
        <v>94</v>
      </c>
      <c r="D71" s="45">
        <f>28*0.07</f>
        <v>1.9600000000000002</v>
      </c>
      <c r="E71" s="45"/>
      <c r="F71" s="139">
        <f t="shared" si="8"/>
        <v>0</v>
      </c>
    </row>
    <row r="72" spans="1:7" ht="12" x14ac:dyDescent="0.25">
      <c r="A72" s="354" t="s">
        <v>6</v>
      </c>
      <c r="B72" s="355"/>
      <c r="C72" s="355"/>
      <c r="D72" s="355"/>
      <c r="E72" s="119"/>
      <c r="F72" s="189">
        <f>SUM(F67:F71)</f>
        <v>0</v>
      </c>
    </row>
    <row r="73" spans="1:7" x14ac:dyDescent="0.25">
      <c r="A73" s="154" t="s">
        <v>9</v>
      </c>
      <c r="B73" s="155" t="s">
        <v>51</v>
      </c>
      <c r="C73" s="369"/>
      <c r="D73" s="369"/>
      <c r="F73" s="156"/>
    </row>
    <row r="74" spans="1:7" ht="14" x14ac:dyDescent="0.25">
      <c r="A74" s="157" t="s">
        <v>16</v>
      </c>
      <c r="B74" s="150" t="s">
        <v>47</v>
      </c>
      <c r="C74" s="149" t="s">
        <v>571</v>
      </c>
      <c r="D74" s="45">
        <f>(30.2*0.15*3)</f>
        <v>13.589999999999998</v>
      </c>
      <c r="E74" s="45"/>
      <c r="F74" s="139">
        <f t="shared" ref="F74:F77" si="9">D74*E74</f>
        <v>0</v>
      </c>
      <c r="G74" s="158"/>
    </row>
    <row r="75" spans="1:7" ht="14" x14ac:dyDescent="0.25">
      <c r="A75" s="157" t="s">
        <v>17</v>
      </c>
      <c r="B75" s="159" t="s">
        <v>48</v>
      </c>
      <c r="C75" s="149" t="s">
        <v>571</v>
      </c>
      <c r="D75" s="45">
        <f>(0.15*0.15*3)*8</f>
        <v>0.54</v>
      </c>
      <c r="E75" s="45"/>
      <c r="F75" s="139">
        <f t="shared" si="9"/>
        <v>0</v>
      </c>
    </row>
    <row r="76" spans="1:7" ht="14" x14ac:dyDescent="0.25">
      <c r="A76" s="160" t="s">
        <v>18</v>
      </c>
      <c r="B76" s="148" t="s">
        <v>49</v>
      </c>
      <c r="C76" s="149" t="s">
        <v>571</v>
      </c>
      <c r="D76" s="45">
        <f>29.2*0.15*0.1</f>
        <v>0.438</v>
      </c>
      <c r="E76" s="45"/>
      <c r="F76" s="139">
        <f t="shared" si="9"/>
        <v>0</v>
      </c>
    </row>
    <row r="77" spans="1:7" ht="14" x14ac:dyDescent="0.25">
      <c r="A77" s="160" t="s">
        <v>18</v>
      </c>
      <c r="B77" s="148" t="s">
        <v>50</v>
      </c>
      <c r="C77" s="149" t="s">
        <v>571</v>
      </c>
      <c r="D77" s="45">
        <f>29.2*0.15*0.22</f>
        <v>0.96360000000000001</v>
      </c>
      <c r="E77" s="45"/>
      <c r="F77" s="139">
        <f t="shared" si="9"/>
        <v>0</v>
      </c>
    </row>
    <row r="78" spans="1:7" ht="12" x14ac:dyDescent="0.25">
      <c r="A78" s="354" t="s">
        <v>6</v>
      </c>
      <c r="B78" s="355"/>
      <c r="C78" s="355"/>
      <c r="D78" s="355"/>
      <c r="E78" s="119"/>
      <c r="F78" s="189">
        <f>SUM(F74:F77)</f>
        <v>0</v>
      </c>
    </row>
    <row r="79" spans="1:7" ht="12" x14ac:dyDescent="0.25">
      <c r="A79" s="144" t="s">
        <v>10</v>
      </c>
      <c r="B79" s="161" t="s">
        <v>556</v>
      </c>
      <c r="C79" s="162"/>
      <c r="D79" s="162"/>
      <c r="E79" s="162"/>
      <c r="F79" s="163"/>
    </row>
    <row r="80" spans="1:7" s="152" customFormat="1" ht="23" x14ac:dyDescent="0.25">
      <c r="A80" s="160" t="s">
        <v>19</v>
      </c>
      <c r="B80" s="48" t="s">
        <v>299</v>
      </c>
      <c r="C80" s="43" t="s">
        <v>94</v>
      </c>
      <c r="D80" s="45">
        <f>(15*0.05*0.1)*4</f>
        <v>0.30000000000000004</v>
      </c>
      <c r="E80" s="45"/>
      <c r="F80" s="139">
        <f t="shared" ref="F80:F85" si="10">D80*E80</f>
        <v>0</v>
      </c>
    </row>
    <row r="81" spans="1:6" s="152" customFormat="1" x14ac:dyDescent="0.25">
      <c r="A81" s="160" t="s">
        <v>330</v>
      </c>
      <c r="B81" s="48" t="s">
        <v>186</v>
      </c>
      <c r="C81" s="43" t="s">
        <v>94</v>
      </c>
      <c r="D81" s="45">
        <f>(10*0.05*0.05)*16</f>
        <v>0.4</v>
      </c>
      <c r="E81" s="45"/>
      <c r="F81" s="139">
        <f t="shared" si="10"/>
        <v>0</v>
      </c>
    </row>
    <row r="82" spans="1:6" s="152" customFormat="1" ht="23" x14ac:dyDescent="0.25">
      <c r="A82" s="160" t="s">
        <v>331</v>
      </c>
      <c r="B82" s="48" t="s">
        <v>300</v>
      </c>
      <c r="C82" s="43" t="s">
        <v>20</v>
      </c>
      <c r="D82" s="45">
        <f>(10*5.5)</f>
        <v>55</v>
      </c>
      <c r="E82" s="45"/>
      <c r="F82" s="139">
        <f t="shared" si="10"/>
        <v>0</v>
      </c>
    </row>
    <row r="83" spans="1:6" s="152" customFormat="1" ht="23" x14ac:dyDescent="0.25">
      <c r="A83" s="160" t="s">
        <v>332</v>
      </c>
      <c r="B83" s="48" t="s">
        <v>190</v>
      </c>
      <c r="C83" s="43" t="s">
        <v>124</v>
      </c>
      <c r="D83" s="45">
        <f>(14*2)+(13*2)</f>
        <v>54</v>
      </c>
      <c r="E83" s="45"/>
      <c r="F83" s="139">
        <f t="shared" si="10"/>
        <v>0</v>
      </c>
    </row>
    <row r="84" spans="1:6" s="152" customFormat="1" ht="23" x14ac:dyDescent="0.25">
      <c r="A84" s="160" t="s">
        <v>333</v>
      </c>
      <c r="B84" s="48" t="s">
        <v>303</v>
      </c>
      <c r="C84" s="43" t="s">
        <v>30</v>
      </c>
      <c r="D84" s="45">
        <v>1</v>
      </c>
      <c r="E84" s="45"/>
      <c r="F84" s="139">
        <f t="shared" si="10"/>
        <v>0</v>
      </c>
    </row>
    <row r="85" spans="1:6" s="152" customFormat="1" ht="34.5" x14ac:dyDescent="0.25">
      <c r="A85" s="160" t="s">
        <v>334</v>
      </c>
      <c r="B85" s="48" t="s">
        <v>302</v>
      </c>
      <c r="C85" s="43" t="s">
        <v>20</v>
      </c>
      <c r="D85" s="45">
        <f>(8.7*5.8)</f>
        <v>50.459999999999994</v>
      </c>
      <c r="E85" s="45"/>
      <c r="F85" s="139">
        <f t="shared" si="10"/>
        <v>0</v>
      </c>
    </row>
    <row r="86" spans="1:6" ht="12" x14ac:dyDescent="0.25">
      <c r="A86" s="354" t="s">
        <v>6</v>
      </c>
      <c r="B86" s="355"/>
      <c r="C86" s="355"/>
      <c r="D86" s="355"/>
      <c r="E86" s="119"/>
      <c r="F86" s="189">
        <f>SUM(F80:F85)</f>
        <v>0</v>
      </c>
    </row>
    <row r="87" spans="1:6" x14ac:dyDescent="0.25">
      <c r="A87" s="169">
        <v>2</v>
      </c>
      <c r="B87" s="170" t="s">
        <v>21</v>
      </c>
      <c r="C87" s="370"/>
      <c r="D87" s="370"/>
      <c r="F87" s="156"/>
    </row>
    <row r="88" spans="1:6" x14ac:dyDescent="0.25">
      <c r="A88" s="144" t="s">
        <v>22</v>
      </c>
      <c r="B88" s="145" t="s">
        <v>23</v>
      </c>
      <c r="C88" s="171"/>
      <c r="D88" s="172"/>
      <c r="E88" s="172"/>
      <c r="F88" s="173"/>
    </row>
    <row r="89" spans="1:6" x14ac:dyDescent="0.25">
      <c r="A89" s="160" t="s">
        <v>24</v>
      </c>
      <c r="B89" s="148" t="s">
        <v>52</v>
      </c>
      <c r="C89" s="171" t="s">
        <v>20</v>
      </c>
      <c r="D89" s="45">
        <f>(7.7*3.8)+10</f>
        <v>39.26</v>
      </c>
      <c r="E89" s="45"/>
      <c r="F89" s="139">
        <f t="shared" ref="F89:F92" si="11">D89*E89</f>
        <v>0</v>
      </c>
    </row>
    <row r="90" spans="1:6" x14ac:dyDescent="0.25">
      <c r="A90" s="160" t="s">
        <v>38</v>
      </c>
      <c r="B90" s="148" t="s">
        <v>55</v>
      </c>
      <c r="C90" s="171" t="s">
        <v>20</v>
      </c>
      <c r="D90" s="45">
        <f>(30.2*3)*2</f>
        <v>181.2</v>
      </c>
      <c r="E90" s="45"/>
      <c r="F90" s="139">
        <f t="shared" si="11"/>
        <v>0</v>
      </c>
    </row>
    <row r="91" spans="1:6" x14ac:dyDescent="0.25">
      <c r="A91" s="160" t="s">
        <v>39</v>
      </c>
      <c r="B91" s="148" t="s">
        <v>53</v>
      </c>
      <c r="C91" s="171" t="s">
        <v>20</v>
      </c>
      <c r="D91" s="45">
        <f>(25*3)/2</f>
        <v>37.5</v>
      </c>
      <c r="E91" s="45"/>
      <c r="F91" s="139">
        <f t="shared" si="11"/>
        <v>0</v>
      </c>
    </row>
    <row r="92" spans="1:6" x14ac:dyDescent="0.25">
      <c r="A92" s="160" t="s">
        <v>25</v>
      </c>
      <c r="B92" s="148" t="s">
        <v>54</v>
      </c>
      <c r="C92" s="171" t="s">
        <v>20</v>
      </c>
      <c r="D92" s="45">
        <f>(23*3)/2-5</f>
        <v>29.5</v>
      </c>
      <c r="E92" s="45"/>
      <c r="F92" s="139">
        <f t="shared" si="11"/>
        <v>0</v>
      </c>
    </row>
    <row r="93" spans="1:6" ht="12" x14ac:dyDescent="0.25">
      <c r="A93" s="366" t="s">
        <v>6</v>
      </c>
      <c r="B93" s="367"/>
      <c r="C93" s="367"/>
      <c r="D93" s="367"/>
      <c r="E93" s="193"/>
      <c r="F93" s="194">
        <f>SUM(F89:F92)</f>
        <v>0</v>
      </c>
    </row>
    <row r="94" spans="1:6" x14ac:dyDescent="0.25">
      <c r="A94" s="144" t="s">
        <v>26</v>
      </c>
      <c r="B94" s="145" t="s">
        <v>27</v>
      </c>
      <c r="C94" s="171"/>
      <c r="D94" s="172"/>
      <c r="E94" s="172"/>
      <c r="F94" s="173"/>
    </row>
    <row r="95" spans="1:6" ht="23" x14ac:dyDescent="0.25">
      <c r="A95" s="160" t="s">
        <v>28</v>
      </c>
      <c r="B95" s="148" t="s">
        <v>56</v>
      </c>
      <c r="C95" s="171" t="s">
        <v>29</v>
      </c>
      <c r="D95" s="172">
        <v>1</v>
      </c>
      <c r="E95" s="172"/>
      <c r="F95" s="139">
        <f t="shared" ref="F95:F98" si="12">D95*E95</f>
        <v>0</v>
      </c>
    </row>
    <row r="96" spans="1:6" ht="23" x14ac:dyDescent="0.25">
      <c r="A96" s="160" t="s">
        <v>37</v>
      </c>
      <c r="B96" s="148" t="s">
        <v>339</v>
      </c>
      <c r="C96" s="171" t="s">
        <v>29</v>
      </c>
      <c r="D96" s="172">
        <v>1</v>
      </c>
      <c r="E96" s="172"/>
      <c r="F96" s="139">
        <f t="shared" si="12"/>
        <v>0</v>
      </c>
    </row>
    <row r="97" spans="1:6" ht="23" x14ac:dyDescent="0.25">
      <c r="A97" s="160" t="s">
        <v>340</v>
      </c>
      <c r="B97" s="148" t="s">
        <v>57</v>
      </c>
      <c r="C97" s="171" t="s">
        <v>29</v>
      </c>
      <c r="D97" s="172">
        <v>4</v>
      </c>
      <c r="E97" s="172"/>
      <c r="F97" s="139">
        <f t="shared" si="12"/>
        <v>0</v>
      </c>
    </row>
    <row r="98" spans="1:6" ht="23" x14ac:dyDescent="0.25">
      <c r="A98" s="160" t="s">
        <v>341</v>
      </c>
      <c r="B98" s="148" t="s">
        <v>58</v>
      </c>
      <c r="C98" s="171" t="s">
        <v>29</v>
      </c>
      <c r="D98" s="172">
        <v>5</v>
      </c>
      <c r="E98" s="172"/>
      <c r="F98" s="139">
        <f t="shared" si="12"/>
        <v>0</v>
      </c>
    </row>
    <row r="99" spans="1:6" ht="12" x14ac:dyDescent="0.25">
      <c r="A99" s="366" t="s">
        <v>6</v>
      </c>
      <c r="B99" s="367"/>
      <c r="C99" s="367"/>
      <c r="D99" s="367"/>
      <c r="E99" s="193"/>
      <c r="F99" s="194">
        <f>SUM(F95:F98)</f>
        <v>0</v>
      </c>
    </row>
    <row r="100" spans="1:6" x14ac:dyDescent="0.25">
      <c r="A100" s="144" t="s">
        <v>31</v>
      </c>
      <c r="B100" s="145" t="s">
        <v>32</v>
      </c>
      <c r="C100" s="374"/>
      <c r="D100" s="374"/>
      <c r="F100" s="156"/>
    </row>
    <row r="101" spans="1:6" x14ac:dyDescent="0.25">
      <c r="A101" s="160" t="s">
        <v>33</v>
      </c>
      <c r="B101" s="148" t="s">
        <v>59</v>
      </c>
      <c r="C101" s="171" t="s">
        <v>20</v>
      </c>
      <c r="D101" s="172">
        <f>+D85+D91</f>
        <v>87.96</v>
      </c>
      <c r="E101" s="172"/>
      <c r="F101" s="139">
        <f t="shared" ref="F101:F103" si="13">D101*E101</f>
        <v>0</v>
      </c>
    </row>
    <row r="102" spans="1:6" x14ac:dyDescent="0.25">
      <c r="A102" s="160" t="s">
        <v>34</v>
      </c>
      <c r="B102" s="148" t="s">
        <v>60</v>
      </c>
      <c r="C102" s="171" t="s">
        <v>20</v>
      </c>
      <c r="D102" s="172">
        <f>+D91</f>
        <v>37.5</v>
      </c>
      <c r="E102" s="172"/>
      <c r="F102" s="139">
        <f t="shared" si="13"/>
        <v>0</v>
      </c>
    </row>
    <row r="103" spans="1:6" x14ac:dyDescent="0.25">
      <c r="A103" s="160" t="s">
        <v>35</v>
      </c>
      <c r="B103" s="148" t="s">
        <v>36</v>
      </c>
      <c r="C103" s="171" t="s">
        <v>20</v>
      </c>
      <c r="D103" s="172">
        <v>20</v>
      </c>
      <c r="E103" s="172"/>
      <c r="F103" s="139">
        <f t="shared" si="13"/>
        <v>0</v>
      </c>
    </row>
    <row r="104" spans="1:6" ht="12" x14ac:dyDescent="0.25">
      <c r="A104" s="366" t="s">
        <v>6</v>
      </c>
      <c r="B104" s="367"/>
      <c r="C104" s="367"/>
      <c r="D104" s="367"/>
      <c r="E104" s="193"/>
      <c r="F104" s="194">
        <f>SUM(F101:F103)</f>
        <v>0</v>
      </c>
    </row>
    <row r="105" spans="1:6" x14ac:dyDescent="0.25">
      <c r="A105" s="144" t="s">
        <v>63</v>
      </c>
      <c r="B105" s="145" t="s">
        <v>71</v>
      </c>
      <c r="C105" s="374"/>
      <c r="D105" s="374"/>
      <c r="F105" s="156"/>
    </row>
    <row r="106" spans="1:6" s="152" customFormat="1" ht="23" x14ac:dyDescent="0.25">
      <c r="A106" s="160" t="s">
        <v>64</v>
      </c>
      <c r="B106" s="174" t="s">
        <v>248</v>
      </c>
      <c r="C106" s="175" t="s">
        <v>124</v>
      </c>
      <c r="D106" s="44">
        <v>10</v>
      </c>
      <c r="E106" s="176"/>
      <c r="F106" s="139">
        <f t="shared" ref="F106:F112" si="14">D106*E106</f>
        <v>0</v>
      </c>
    </row>
    <row r="107" spans="1:6" s="152" customFormat="1" x14ac:dyDescent="0.25">
      <c r="A107" s="160" t="s">
        <v>550</v>
      </c>
      <c r="B107" s="174" t="s">
        <v>314</v>
      </c>
      <c r="C107" s="175" t="s">
        <v>124</v>
      </c>
      <c r="D107" s="44">
        <v>20</v>
      </c>
      <c r="E107" s="176"/>
      <c r="F107" s="139">
        <f t="shared" si="14"/>
        <v>0</v>
      </c>
    </row>
    <row r="108" spans="1:6" x14ac:dyDescent="0.25">
      <c r="A108" s="160" t="s">
        <v>65</v>
      </c>
      <c r="B108" s="148" t="s">
        <v>62</v>
      </c>
      <c r="C108" s="171" t="s">
        <v>30</v>
      </c>
      <c r="D108" s="172">
        <v>10</v>
      </c>
      <c r="E108" s="172"/>
      <c r="F108" s="139">
        <f t="shared" si="14"/>
        <v>0</v>
      </c>
    </row>
    <row r="109" spans="1:6" x14ac:dyDescent="0.25">
      <c r="A109" s="160" t="s">
        <v>66</v>
      </c>
      <c r="B109" s="148" t="s">
        <v>69</v>
      </c>
      <c r="C109" s="171" t="s">
        <v>70</v>
      </c>
      <c r="D109" s="172">
        <v>5</v>
      </c>
      <c r="E109" s="172"/>
      <c r="F109" s="139">
        <f t="shared" si="14"/>
        <v>0</v>
      </c>
    </row>
    <row r="110" spans="1:6" x14ac:dyDescent="0.25">
      <c r="A110" s="160" t="s">
        <v>67</v>
      </c>
      <c r="B110" s="148" t="s">
        <v>79</v>
      </c>
      <c r="C110" s="171" t="s">
        <v>70</v>
      </c>
      <c r="D110" s="172">
        <v>1</v>
      </c>
      <c r="E110" s="172"/>
      <c r="F110" s="139">
        <f t="shared" si="14"/>
        <v>0</v>
      </c>
    </row>
    <row r="111" spans="1:6" x14ac:dyDescent="0.25">
      <c r="A111" s="160" t="s">
        <v>68</v>
      </c>
      <c r="B111" s="177" t="s">
        <v>80</v>
      </c>
      <c r="C111" s="68" t="s">
        <v>30</v>
      </c>
      <c r="D111" s="88">
        <v>1</v>
      </c>
      <c r="E111" s="88"/>
      <c r="F111" s="139">
        <f t="shared" si="14"/>
        <v>0</v>
      </c>
    </row>
    <row r="112" spans="1:6" x14ac:dyDescent="0.25">
      <c r="A112" s="160" t="s">
        <v>551</v>
      </c>
      <c r="B112" s="177" t="s">
        <v>342</v>
      </c>
      <c r="C112" s="68" t="s">
        <v>30</v>
      </c>
      <c r="D112" s="88">
        <v>1</v>
      </c>
      <c r="E112" s="88"/>
      <c r="F112" s="139">
        <f t="shared" si="14"/>
        <v>0</v>
      </c>
    </row>
    <row r="113" spans="1:6" s="152" customFormat="1" x14ac:dyDescent="0.25">
      <c r="A113" s="195" t="s">
        <v>242</v>
      </c>
      <c r="B113" s="196" t="s">
        <v>243</v>
      </c>
      <c r="C113" s="175"/>
      <c r="D113" s="44"/>
      <c r="E113" s="176"/>
      <c r="F113" s="197"/>
    </row>
    <row r="114" spans="1:6" ht="12" x14ac:dyDescent="0.25">
      <c r="A114" s="366" t="s">
        <v>6</v>
      </c>
      <c r="B114" s="367"/>
      <c r="C114" s="367"/>
      <c r="D114" s="367"/>
      <c r="E114" s="193"/>
      <c r="F114" s="194">
        <f>SUM(F106:F112)</f>
        <v>0</v>
      </c>
    </row>
    <row r="115" spans="1:6" ht="12" x14ac:dyDescent="0.25">
      <c r="A115" s="198"/>
      <c r="B115" s="199"/>
      <c r="C115" s="199"/>
      <c r="D115" s="199"/>
      <c r="E115" s="199"/>
      <c r="F115" s="200"/>
    </row>
    <row r="116" spans="1:6" x14ac:dyDescent="0.25">
      <c r="A116" s="201"/>
      <c r="B116" s="202" t="s">
        <v>77</v>
      </c>
      <c r="C116" s="203"/>
      <c r="D116" s="203"/>
      <c r="E116" s="203"/>
      <c r="F116" s="204">
        <f>F114+F104+F99+F93+F86+F78+F72+F64</f>
        <v>0</v>
      </c>
    </row>
    <row r="117" spans="1:6" x14ac:dyDescent="0.25">
      <c r="A117" s="357"/>
      <c r="B117" s="358"/>
      <c r="C117" s="358"/>
      <c r="D117" s="358"/>
      <c r="E117" s="358"/>
      <c r="F117" s="359"/>
    </row>
    <row r="118" spans="1:6" x14ac:dyDescent="0.25">
      <c r="A118" s="184" t="s">
        <v>320</v>
      </c>
      <c r="B118" s="356" t="s">
        <v>336</v>
      </c>
      <c r="C118" s="356"/>
      <c r="D118" s="356"/>
      <c r="E118" s="205"/>
      <c r="F118" s="206"/>
    </row>
    <row r="119" spans="1:6" x14ac:dyDescent="0.25">
      <c r="A119" s="160" t="s">
        <v>337</v>
      </c>
      <c r="B119" s="207" t="s">
        <v>538</v>
      </c>
      <c r="C119" s="68" t="s">
        <v>30</v>
      </c>
      <c r="D119" s="88">
        <v>2</v>
      </c>
      <c r="E119" s="88"/>
      <c r="F119" s="139">
        <f t="shared" ref="F119:F121" si="15">D119*E119</f>
        <v>0</v>
      </c>
    </row>
    <row r="120" spans="1:6" x14ac:dyDescent="0.25">
      <c r="A120" s="160" t="s">
        <v>8</v>
      </c>
      <c r="B120" s="207" t="s">
        <v>72</v>
      </c>
      <c r="C120" s="68" t="s">
        <v>30</v>
      </c>
      <c r="D120" s="88">
        <v>2</v>
      </c>
      <c r="E120" s="88"/>
      <c r="F120" s="139">
        <f t="shared" si="15"/>
        <v>0</v>
      </c>
    </row>
    <row r="121" spans="1:6" x14ac:dyDescent="0.25">
      <c r="A121" s="160" t="s">
        <v>9</v>
      </c>
      <c r="B121" s="208" t="s">
        <v>73</v>
      </c>
      <c r="C121" s="68" t="s">
        <v>30</v>
      </c>
      <c r="D121" s="88">
        <v>1</v>
      </c>
      <c r="E121" s="88"/>
      <c r="F121" s="139">
        <f t="shared" si="15"/>
        <v>0</v>
      </c>
    </row>
    <row r="122" spans="1:6" ht="12" x14ac:dyDescent="0.25">
      <c r="A122" s="354" t="s">
        <v>6</v>
      </c>
      <c r="B122" s="355"/>
      <c r="C122" s="355"/>
      <c r="D122" s="355"/>
      <c r="E122" s="119"/>
      <c r="F122" s="189">
        <f>SUM(F119:F121)</f>
        <v>0</v>
      </c>
    </row>
    <row r="123" spans="1:6" x14ac:dyDescent="0.25">
      <c r="A123" s="209"/>
      <c r="B123" s="210" t="s">
        <v>338</v>
      </c>
      <c r="C123" s="211"/>
      <c r="D123" s="211"/>
      <c r="E123" s="211"/>
      <c r="F123" s="212">
        <f>+F122</f>
        <v>0</v>
      </c>
    </row>
    <row r="124" spans="1:6" x14ac:dyDescent="0.25">
      <c r="A124" s="178"/>
      <c r="B124" s="179"/>
      <c r="C124" s="179"/>
      <c r="D124" s="179"/>
      <c r="E124" s="179"/>
      <c r="F124" s="156"/>
    </row>
    <row r="125" spans="1:6" x14ac:dyDescent="0.25">
      <c r="A125" s="184" t="s">
        <v>321</v>
      </c>
      <c r="B125" s="356" t="s">
        <v>343</v>
      </c>
      <c r="C125" s="356"/>
      <c r="D125" s="356"/>
      <c r="E125" s="205"/>
      <c r="F125" s="206"/>
    </row>
    <row r="126" spans="1:6" x14ac:dyDescent="0.25">
      <c r="A126" s="160" t="s">
        <v>337</v>
      </c>
      <c r="B126" s="207" t="s">
        <v>344</v>
      </c>
      <c r="C126" s="68" t="s">
        <v>30</v>
      </c>
      <c r="D126" s="88">
        <v>0</v>
      </c>
      <c r="E126" s="88">
        <v>0</v>
      </c>
      <c r="F126" s="139">
        <f t="shared" ref="F126:F127" si="16">D126*E126</f>
        <v>0</v>
      </c>
    </row>
    <row r="127" spans="1:6" ht="23" x14ac:dyDescent="0.25">
      <c r="A127" s="160" t="s">
        <v>8</v>
      </c>
      <c r="B127" s="213" t="s">
        <v>552</v>
      </c>
      <c r="C127" s="137" t="s">
        <v>345</v>
      </c>
      <c r="D127" s="214">
        <v>2</v>
      </c>
      <c r="E127" s="214"/>
      <c r="F127" s="139">
        <f t="shared" si="16"/>
        <v>0</v>
      </c>
    </row>
    <row r="128" spans="1:6" ht="12" x14ac:dyDescent="0.25">
      <c r="A128" s="354" t="s">
        <v>6</v>
      </c>
      <c r="B128" s="355"/>
      <c r="C128" s="355"/>
      <c r="D128" s="355"/>
      <c r="E128" s="215"/>
      <c r="F128" s="216">
        <f>SUM(F126:F127)</f>
        <v>0</v>
      </c>
    </row>
    <row r="129" spans="1:6" ht="12" thickBot="1" x14ac:dyDescent="0.3">
      <c r="A129" s="123"/>
      <c r="B129" s="217" t="s">
        <v>351</v>
      </c>
      <c r="C129" s="218"/>
      <c r="D129" s="218"/>
      <c r="E129" s="218"/>
      <c r="F129" s="219">
        <f>+F128</f>
        <v>0</v>
      </c>
    </row>
    <row r="130" spans="1:6" ht="15" customHeight="1" thickBot="1" x14ac:dyDescent="0.3">
      <c r="A130" s="360"/>
      <c r="B130" s="361"/>
      <c r="C130" s="361"/>
      <c r="D130" s="361"/>
      <c r="E130" s="361"/>
      <c r="F130" s="362"/>
    </row>
    <row r="131" spans="1:6" ht="12" thickBot="1" x14ac:dyDescent="0.3">
      <c r="A131" s="220"/>
      <c r="B131" s="221" t="s">
        <v>270</v>
      </c>
      <c r="C131" s="222"/>
      <c r="D131" s="222"/>
      <c r="E131" s="222"/>
      <c r="F131" s="223">
        <f>F129+F123+F116+F58</f>
        <v>0</v>
      </c>
    </row>
    <row r="132" spans="1:6" x14ac:dyDescent="0.25">
      <c r="A132" s="179"/>
      <c r="B132" s="179"/>
      <c r="C132" s="179"/>
      <c r="D132" s="179"/>
      <c r="E132" s="179"/>
    </row>
  </sheetData>
  <mergeCells count="39">
    <mergeCell ref="C30:D30"/>
    <mergeCell ref="C43:D43"/>
    <mergeCell ref="A29:E29"/>
    <mergeCell ref="A36:E36"/>
    <mergeCell ref="A42:E42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</mergeCells>
  <pageMargins left="0.7" right="0.7" top="0.75" bottom="0.75" header="0.3" footer="0.3"/>
  <pageSetup paperSize="9" scale="92" orientation="portrait" horizontalDpi="4294967292" verticalDpi="1200" r:id="rId1"/>
  <rowBreaks count="1" manualBreakCount="1">
    <brk id="4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112" zoomScaleNormal="112" zoomScaleSheetLayoutView="112" workbookViewId="0">
      <selection sqref="A1:F59"/>
    </sheetView>
  </sheetViews>
  <sheetFormatPr baseColWidth="10" defaultColWidth="8" defaultRowHeight="11.5" x14ac:dyDescent="0.35"/>
  <cols>
    <col min="1" max="1" width="7.1796875" style="125" customWidth="1"/>
    <col min="2" max="2" width="54.54296875" style="53" customWidth="1"/>
    <col min="3" max="3" width="9.453125" style="125" customWidth="1"/>
    <col min="4" max="5" width="9.81640625" style="125" customWidth="1"/>
    <col min="6" max="6" width="9.81640625" style="126" customWidth="1"/>
    <col min="7" max="16384" width="8" style="53"/>
  </cols>
  <sheetData>
    <row r="1" spans="1:6" ht="18" customHeight="1" x14ac:dyDescent="0.35">
      <c r="A1" s="384" t="s">
        <v>548</v>
      </c>
      <c r="B1" s="385"/>
      <c r="C1" s="385"/>
      <c r="D1" s="385"/>
      <c r="E1" s="385"/>
      <c r="F1" s="386"/>
    </row>
    <row r="2" spans="1:6" ht="25.5" customHeight="1" thickBot="1" x14ac:dyDescent="0.4">
      <c r="A2" s="387"/>
      <c r="B2" s="388"/>
      <c r="C2" s="388"/>
      <c r="D2" s="388"/>
      <c r="E2" s="388"/>
      <c r="F2" s="389"/>
    </row>
    <row r="3" spans="1:6" ht="25" customHeight="1" x14ac:dyDescent="0.35">
      <c r="A3" s="390" t="s">
        <v>547</v>
      </c>
      <c r="B3" s="391"/>
      <c r="C3" s="391"/>
      <c r="D3" s="391"/>
      <c r="E3" s="391"/>
      <c r="F3" s="392"/>
    </row>
    <row r="4" spans="1:6" ht="13" customHeight="1" thickBot="1" x14ac:dyDescent="0.3">
      <c r="A4" s="54" t="s">
        <v>0</v>
      </c>
      <c r="B4" s="55" t="s">
        <v>352</v>
      </c>
      <c r="C4" s="55" t="s">
        <v>353</v>
      </c>
      <c r="D4" s="55" t="s">
        <v>354</v>
      </c>
      <c r="E4" s="55" t="s">
        <v>355</v>
      </c>
      <c r="F4" s="56" t="s">
        <v>356</v>
      </c>
    </row>
    <row r="5" spans="1:6" ht="12" thickBot="1" x14ac:dyDescent="0.3">
      <c r="A5" s="57">
        <v>2</v>
      </c>
      <c r="B5" s="58" t="s">
        <v>357</v>
      </c>
      <c r="C5" s="59"/>
      <c r="D5" s="60"/>
      <c r="E5" s="60"/>
      <c r="F5" s="61"/>
    </row>
    <row r="6" spans="1:6" x14ac:dyDescent="0.25">
      <c r="A6" s="62"/>
      <c r="B6" s="63" t="s">
        <v>358</v>
      </c>
      <c r="C6" s="64"/>
      <c r="D6" s="65"/>
      <c r="E6" s="65"/>
      <c r="F6" s="66"/>
    </row>
    <row r="7" spans="1:6" ht="13" customHeight="1" x14ac:dyDescent="0.25">
      <c r="A7" s="15" t="s">
        <v>22</v>
      </c>
      <c r="B7" s="16" t="s">
        <v>359</v>
      </c>
      <c r="C7" s="67" t="s">
        <v>360</v>
      </c>
      <c r="D7" s="68">
        <v>20</v>
      </c>
      <c r="E7" s="67"/>
      <c r="F7" s="66">
        <f>D7*E7</f>
        <v>0</v>
      </c>
    </row>
    <row r="8" spans="1:6" x14ac:dyDescent="0.25">
      <c r="A8" s="15" t="s">
        <v>26</v>
      </c>
      <c r="B8" s="16" t="s">
        <v>361</v>
      </c>
      <c r="C8" s="68" t="s">
        <v>124</v>
      </c>
      <c r="D8" s="68">
        <v>90</v>
      </c>
      <c r="E8" s="69"/>
      <c r="F8" s="66">
        <f t="shared" ref="F8:F52" si="0">D8*E8</f>
        <v>0</v>
      </c>
    </row>
    <row r="9" spans="1:6" x14ac:dyDescent="0.25">
      <c r="A9" s="15" t="s">
        <v>418</v>
      </c>
      <c r="B9" s="16" t="s">
        <v>362</v>
      </c>
      <c r="C9" s="68" t="s">
        <v>124</v>
      </c>
      <c r="D9" s="68">
        <v>30</v>
      </c>
      <c r="E9" s="69"/>
      <c r="F9" s="66">
        <f t="shared" si="0"/>
        <v>0</v>
      </c>
    </row>
    <row r="10" spans="1:6" x14ac:dyDescent="0.25">
      <c r="A10" s="15" t="s">
        <v>419</v>
      </c>
      <c r="B10" s="16" t="s">
        <v>363</v>
      </c>
      <c r="C10" s="68" t="s">
        <v>207</v>
      </c>
      <c r="D10" s="68">
        <v>2</v>
      </c>
      <c r="E10" s="69"/>
      <c r="F10" s="66">
        <f t="shared" si="0"/>
        <v>0</v>
      </c>
    </row>
    <row r="11" spans="1:6" x14ac:dyDescent="0.25">
      <c r="A11" s="15" t="s">
        <v>31</v>
      </c>
      <c r="B11" s="16" t="s">
        <v>364</v>
      </c>
      <c r="C11" s="68" t="s">
        <v>365</v>
      </c>
      <c r="D11" s="68">
        <v>6</v>
      </c>
      <c r="E11" s="69"/>
      <c r="F11" s="66">
        <f t="shared" si="0"/>
        <v>0</v>
      </c>
    </row>
    <row r="12" spans="1:6" x14ac:dyDescent="0.25">
      <c r="A12" s="15" t="s">
        <v>420</v>
      </c>
      <c r="B12" s="16" t="s">
        <v>366</v>
      </c>
      <c r="C12" s="68" t="s">
        <v>367</v>
      </c>
      <c r="D12" s="68">
        <v>6</v>
      </c>
      <c r="E12" s="69"/>
      <c r="F12" s="66">
        <f t="shared" si="0"/>
        <v>0</v>
      </c>
    </row>
    <row r="13" spans="1:6" x14ac:dyDescent="0.25">
      <c r="A13" s="70"/>
      <c r="B13" s="71" t="s">
        <v>368</v>
      </c>
      <c r="C13" s="72"/>
      <c r="D13" s="72"/>
      <c r="E13" s="73"/>
      <c r="F13" s="74">
        <f>F7+F8+F9+F10+F12+F11</f>
        <v>0</v>
      </c>
    </row>
    <row r="14" spans="1:6" x14ac:dyDescent="0.25">
      <c r="A14" s="75">
        <v>3</v>
      </c>
      <c r="B14" s="76" t="s">
        <v>369</v>
      </c>
      <c r="C14" s="77"/>
      <c r="D14" s="77"/>
      <c r="E14" s="78"/>
      <c r="F14" s="66"/>
    </row>
    <row r="15" spans="1:6" ht="13" customHeight="1" x14ac:dyDescent="0.25">
      <c r="A15" s="62" t="s">
        <v>421</v>
      </c>
      <c r="B15" s="64" t="s">
        <v>570</v>
      </c>
      <c r="C15" s="79" t="s">
        <v>124</v>
      </c>
      <c r="D15" s="79">
        <v>20</v>
      </c>
      <c r="E15" s="80"/>
      <c r="F15" s="66">
        <f t="shared" si="0"/>
        <v>0</v>
      </c>
    </row>
    <row r="16" spans="1:6" x14ac:dyDescent="0.25">
      <c r="A16" s="15" t="s">
        <v>422</v>
      </c>
      <c r="B16" s="16" t="s">
        <v>370</v>
      </c>
      <c r="C16" s="68" t="s">
        <v>124</v>
      </c>
      <c r="D16" s="68">
        <v>100</v>
      </c>
      <c r="E16" s="69"/>
      <c r="F16" s="66">
        <f t="shared" si="0"/>
        <v>0</v>
      </c>
    </row>
    <row r="17" spans="1:6" ht="13" customHeight="1" x14ac:dyDescent="0.25">
      <c r="A17" s="15" t="s">
        <v>423</v>
      </c>
      <c r="B17" s="16" t="s">
        <v>371</v>
      </c>
      <c r="C17" s="68" t="s">
        <v>124</v>
      </c>
      <c r="D17" s="68">
        <v>20</v>
      </c>
      <c r="E17" s="69"/>
      <c r="F17" s="66">
        <f t="shared" si="0"/>
        <v>0</v>
      </c>
    </row>
    <row r="18" spans="1:6" ht="12" thickBot="1" x14ac:dyDescent="0.3">
      <c r="A18" s="81"/>
      <c r="B18" s="82" t="s">
        <v>372</v>
      </c>
      <c r="C18" s="83"/>
      <c r="D18" s="83"/>
      <c r="E18" s="84"/>
      <c r="F18" s="85">
        <f>F15+F16+F17</f>
        <v>0</v>
      </c>
    </row>
    <row r="19" spans="1:6" x14ac:dyDescent="0.25">
      <c r="A19" s="86">
        <v>4</v>
      </c>
      <c r="B19" s="76" t="s">
        <v>373</v>
      </c>
      <c r="C19" s="87"/>
      <c r="D19" s="68"/>
      <c r="E19" s="16"/>
      <c r="F19" s="88"/>
    </row>
    <row r="20" spans="1:6" x14ac:dyDescent="0.25">
      <c r="A20" s="89" t="s">
        <v>424</v>
      </c>
      <c r="B20" s="90" t="s">
        <v>374</v>
      </c>
      <c r="C20" s="91" t="s">
        <v>124</v>
      </c>
      <c r="D20" s="91">
        <v>20</v>
      </c>
      <c r="E20" s="92"/>
      <c r="F20" s="66">
        <f t="shared" si="0"/>
        <v>0</v>
      </c>
    </row>
    <row r="21" spans="1:6" x14ac:dyDescent="0.25">
      <c r="A21" s="15" t="s">
        <v>425</v>
      </c>
      <c r="B21" s="64" t="s">
        <v>375</v>
      </c>
      <c r="C21" s="79" t="s">
        <v>124</v>
      </c>
      <c r="D21" s="91">
        <v>90</v>
      </c>
      <c r="E21" s="93"/>
      <c r="F21" s="66">
        <f t="shared" si="0"/>
        <v>0</v>
      </c>
    </row>
    <row r="22" spans="1:6" x14ac:dyDescent="0.25">
      <c r="A22" s="15" t="s">
        <v>426</v>
      </c>
      <c r="B22" s="64" t="s">
        <v>376</v>
      </c>
      <c r="C22" s="79" t="s">
        <v>124</v>
      </c>
      <c r="D22" s="79">
        <v>30</v>
      </c>
      <c r="E22" s="93"/>
      <c r="F22" s="66">
        <f t="shared" si="0"/>
        <v>0</v>
      </c>
    </row>
    <row r="23" spans="1:6" x14ac:dyDescent="0.25">
      <c r="A23" s="15" t="s">
        <v>427</v>
      </c>
      <c r="B23" s="64" t="s">
        <v>377</v>
      </c>
      <c r="C23" s="79" t="s">
        <v>378</v>
      </c>
      <c r="D23" s="79">
        <v>1</v>
      </c>
      <c r="E23" s="93"/>
      <c r="F23" s="66">
        <f t="shared" si="0"/>
        <v>0</v>
      </c>
    </row>
    <row r="24" spans="1:6" ht="13" customHeight="1" x14ac:dyDescent="0.25">
      <c r="A24" s="15" t="s">
        <v>428</v>
      </c>
      <c r="B24" s="64" t="s">
        <v>379</v>
      </c>
      <c r="C24" s="79" t="s">
        <v>367</v>
      </c>
      <c r="D24" s="79">
        <v>6</v>
      </c>
      <c r="E24" s="93"/>
      <c r="F24" s="66">
        <f t="shared" si="0"/>
        <v>0</v>
      </c>
    </row>
    <row r="25" spans="1:6" x14ac:dyDescent="0.25">
      <c r="A25" s="15" t="s">
        <v>429</v>
      </c>
      <c r="B25" s="16" t="s">
        <v>380</v>
      </c>
      <c r="C25" s="68" t="s">
        <v>367</v>
      </c>
      <c r="D25" s="68">
        <v>5</v>
      </c>
      <c r="E25" s="94"/>
      <c r="F25" s="66">
        <f t="shared" si="0"/>
        <v>0</v>
      </c>
    </row>
    <row r="26" spans="1:6" ht="13" customHeight="1" x14ac:dyDescent="0.25">
      <c r="A26" s="15" t="s">
        <v>430</v>
      </c>
      <c r="B26" s="19" t="s">
        <v>381</v>
      </c>
      <c r="C26" s="95" t="s">
        <v>322</v>
      </c>
      <c r="D26" s="95">
        <v>1</v>
      </c>
      <c r="E26" s="96"/>
      <c r="F26" s="66">
        <f t="shared" si="0"/>
        <v>0</v>
      </c>
    </row>
    <row r="27" spans="1:6" x14ac:dyDescent="0.25">
      <c r="A27" s="81"/>
      <c r="B27" s="97" t="s">
        <v>382</v>
      </c>
      <c r="C27" s="98"/>
      <c r="D27" s="98"/>
      <c r="E27" s="99"/>
      <c r="F27" s="74">
        <f>F20+F21+F22+F23+F24+F25+F26</f>
        <v>0</v>
      </c>
    </row>
    <row r="28" spans="1:6" x14ac:dyDescent="0.25">
      <c r="A28" s="75">
        <v>5</v>
      </c>
      <c r="B28" s="100" t="s">
        <v>383</v>
      </c>
      <c r="C28" s="101"/>
      <c r="D28" s="101"/>
      <c r="E28" s="102"/>
      <c r="F28" s="66"/>
    </row>
    <row r="29" spans="1:6" x14ac:dyDescent="0.25">
      <c r="A29" s="15" t="s">
        <v>431</v>
      </c>
      <c r="B29" s="16" t="s">
        <v>384</v>
      </c>
      <c r="C29" s="68" t="s">
        <v>385</v>
      </c>
      <c r="D29" s="68">
        <v>1</v>
      </c>
      <c r="E29" s="94"/>
      <c r="F29" s="66">
        <f t="shared" si="0"/>
        <v>0</v>
      </c>
    </row>
    <row r="30" spans="1:6" x14ac:dyDescent="0.25">
      <c r="A30" s="15" t="s">
        <v>432</v>
      </c>
      <c r="B30" s="16" t="s">
        <v>386</v>
      </c>
      <c r="C30" s="68" t="s">
        <v>385</v>
      </c>
      <c r="D30" s="68">
        <v>6</v>
      </c>
      <c r="E30" s="94"/>
      <c r="F30" s="66">
        <f t="shared" si="0"/>
        <v>0</v>
      </c>
    </row>
    <row r="31" spans="1:6" ht="13" customHeight="1" x14ac:dyDescent="0.25">
      <c r="A31" s="15" t="s">
        <v>433</v>
      </c>
      <c r="B31" s="16" t="s">
        <v>387</v>
      </c>
      <c r="C31" s="68" t="s">
        <v>385</v>
      </c>
      <c r="D31" s="68">
        <v>6</v>
      </c>
      <c r="E31" s="94"/>
      <c r="F31" s="66">
        <f t="shared" si="0"/>
        <v>0</v>
      </c>
    </row>
    <row r="32" spans="1:6" x14ac:dyDescent="0.25">
      <c r="A32" s="15" t="s">
        <v>434</v>
      </c>
      <c r="B32" s="16" t="s">
        <v>388</v>
      </c>
      <c r="C32" s="68" t="s">
        <v>385</v>
      </c>
      <c r="D32" s="68">
        <v>6</v>
      </c>
      <c r="E32" s="94"/>
      <c r="F32" s="66">
        <f t="shared" si="0"/>
        <v>0</v>
      </c>
    </row>
    <row r="33" spans="1:6" ht="13" customHeight="1" x14ac:dyDescent="0.25">
      <c r="A33" s="15" t="s">
        <v>435</v>
      </c>
      <c r="B33" s="16" t="s">
        <v>389</v>
      </c>
      <c r="C33" s="68" t="s">
        <v>385</v>
      </c>
      <c r="D33" s="68">
        <v>6</v>
      </c>
      <c r="E33" s="94"/>
      <c r="F33" s="66">
        <f t="shared" si="0"/>
        <v>0</v>
      </c>
    </row>
    <row r="34" spans="1:6" x14ac:dyDescent="0.25">
      <c r="A34" s="15" t="s">
        <v>436</v>
      </c>
      <c r="B34" s="16" t="s">
        <v>390</v>
      </c>
      <c r="C34" s="68" t="s">
        <v>391</v>
      </c>
      <c r="D34" s="68">
        <v>1</v>
      </c>
      <c r="E34" s="94"/>
      <c r="F34" s="66">
        <f t="shared" si="0"/>
        <v>0</v>
      </c>
    </row>
    <row r="35" spans="1:6" ht="13" customHeight="1" x14ac:dyDescent="0.25">
      <c r="A35" s="81"/>
      <c r="B35" s="103" t="s">
        <v>392</v>
      </c>
      <c r="C35" s="98"/>
      <c r="D35" s="98"/>
      <c r="E35" s="99"/>
      <c r="F35" s="74">
        <f>F29+F30+F31+F32+F33+F34</f>
        <v>0</v>
      </c>
    </row>
    <row r="36" spans="1:6" ht="13" customHeight="1" x14ac:dyDescent="0.25">
      <c r="A36" s="75">
        <v>6</v>
      </c>
      <c r="B36" s="76" t="s">
        <v>393</v>
      </c>
      <c r="C36" s="68"/>
      <c r="D36" s="68"/>
      <c r="E36" s="94"/>
      <c r="F36" s="66"/>
    </row>
    <row r="37" spans="1:6" x14ac:dyDescent="0.25">
      <c r="A37" s="89" t="s">
        <v>437</v>
      </c>
      <c r="B37" s="104" t="s">
        <v>394</v>
      </c>
      <c r="C37" s="105" t="s">
        <v>391</v>
      </c>
      <c r="D37" s="105">
        <v>1</v>
      </c>
      <c r="E37" s="106"/>
      <c r="F37" s="66">
        <f t="shared" si="0"/>
        <v>0</v>
      </c>
    </row>
    <row r="38" spans="1:6" x14ac:dyDescent="0.25">
      <c r="A38" s="107" t="s">
        <v>438</v>
      </c>
      <c r="B38" s="108" t="s">
        <v>395</v>
      </c>
      <c r="C38" s="109" t="s">
        <v>391</v>
      </c>
      <c r="D38" s="109">
        <v>1</v>
      </c>
      <c r="E38" s="110"/>
      <c r="F38" s="66">
        <f t="shared" si="0"/>
        <v>0</v>
      </c>
    </row>
    <row r="39" spans="1:6" x14ac:dyDescent="0.25">
      <c r="A39" s="111" t="s">
        <v>439</v>
      </c>
      <c r="B39" s="104" t="s">
        <v>396</v>
      </c>
      <c r="C39" s="105" t="s">
        <v>391</v>
      </c>
      <c r="D39" s="105">
        <v>1</v>
      </c>
      <c r="E39" s="106"/>
      <c r="F39" s="66">
        <f t="shared" si="0"/>
        <v>0</v>
      </c>
    </row>
    <row r="40" spans="1:6" x14ac:dyDescent="0.25">
      <c r="A40" s="81"/>
      <c r="B40" s="112" t="s">
        <v>397</v>
      </c>
      <c r="C40" s="83"/>
      <c r="D40" s="83"/>
      <c r="E40" s="113"/>
      <c r="F40" s="74">
        <f>F37+F38+F39</f>
        <v>0</v>
      </c>
    </row>
    <row r="41" spans="1:6" ht="13" customHeight="1" x14ac:dyDescent="0.25">
      <c r="A41" s="75">
        <v>7</v>
      </c>
      <c r="B41" s="114" t="s">
        <v>398</v>
      </c>
      <c r="C41" s="101"/>
      <c r="D41" s="101"/>
      <c r="E41" s="102"/>
      <c r="F41" s="66"/>
    </row>
    <row r="42" spans="1:6" x14ac:dyDescent="0.25">
      <c r="A42" s="111" t="s">
        <v>440</v>
      </c>
      <c r="B42" s="104" t="s">
        <v>399</v>
      </c>
      <c r="C42" s="105" t="s">
        <v>207</v>
      </c>
      <c r="D42" s="105">
        <v>1</v>
      </c>
      <c r="E42" s="106"/>
      <c r="F42" s="66">
        <f t="shared" si="0"/>
        <v>0</v>
      </c>
    </row>
    <row r="43" spans="1:6" x14ac:dyDescent="0.25">
      <c r="A43" s="111" t="s">
        <v>441</v>
      </c>
      <c r="B43" s="104" t="s">
        <v>400</v>
      </c>
      <c r="C43" s="105" t="s">
        <v>207</v>
      </c>
      <c r="D43" s="105">
        <v>1</v>
      </c>
      <c r="E43" s="106"/>
      <c r="F43" s="66">
        <f t="shared" si="0"/>
        <v>0</v>
      </c>
    </row>
    <row r="44" spans="1:6" x14ac:dyDescent="0.25">
      <c r="A44" s="111" t="s">
        <v>442</v>
      </c>
      <c r="B44" s="104" t="s">
        <v>401</v>
      </c>
      <c r="C44" s="105" t="s">
        <v>391</v>
      </c>
      <c r="D44" s="105">
        <v>1</v>
      </c>
      <c r="E44" s="106"/>
      <c r="F44" s="66">
        <f t="shared" si="0"/>
        <v>0</v>
      </c>
    </row>
    <row r="45" spans="1:6" ht="13" customHeight="1" x14ac:dyDescent="0.25">
      <c r="A45" s="111" t="s">
        <v>443</v>
      </c>
      <c r="B45" s="104" t="s">
        <v>402</v>
      </c>
      <c r="C45" s="105" t="s">
        <v>391</v>
      </c>
      <c r="D45" s="105">
        <v>1</v>
      </c>
      <c r="E45" s="106"/>
      <c r="F45" s="66">
        <f t="shared" si="0"/>
        <v>0</v>
      </c>
    </row>
    <row r="46" spans="1:6" ht="13" customHeight="1" x14ac:dyDescent="0.25">
      <c r="A46" s="70"/>
      <c r="B46" s="71" t="s">
        <v>403</v>
      </c>
      <c r="C46" s="98"/>
      <c r="D46" s="98"/>
      <c r="E46" s="99"/>
      <c r="F46" s="74">
        <f>F42+F43+F44+F45</f>
        <v>0</v>
      </c>
    </row>
    <row r="47" spans="1:6" x14ac:dyDescent="0.25">
      <c r="A47" s="75">
        <v>8</v>
      </c>
      <c r="B47" s="114" t="s">
        <v>404</v>
      </c>
      <c r="C47" s="115"/>
      <c r="D47" s="116"/>
      <c r="E47" s="102"/>
      <c r="F47" s="66"/>
    </row>
    <row r="48" spans="1:6" ht="13" customHeight="1" x14ac:dyDescent="0.25">
      <c r="A48" s="111" t="s">
        <v>444</v>
      </c>
      <c r="B48" s="104" t="s">
        <v>405</v>
      </c>
      <c r="C48" s="105" t="s">
        <v>207</v>
      </c>
      <c r="D48" s="105">
        <v>1</v>
      </c>
      <c r="E48" s="106"/>
      <c r="F48" s="66">
        <f t="shared" si="0"/>
        <v>0</v>
      </c>
    </row>
    <row r="49" spans="1:6" x14ac:dyDescent="0.25">
      <c r="A49" s="107" t="s">
        <v>445</v>
      </c>
      <c r="B49" s="108" t="s">
        <v>406</v>
      </c>
      <c r="C49" s="109" t="s">
        <v>124</v>
      </c>
      <c r="D49" s="109">
        <v>120</v>
      </c>
      <c r="E49" s="110"/>
      <c r="F49" s="66">
        <f t="shared" si="0"/>
        <v>0</v>
      </c>
    </row>
    <row r="50" spans="1:6" ht="13" customHeight="1" x14ac:dyDescent="0.25">
      <c r="A50" s="111" t="s">
        <v>446</v>
      </c>
      <c r="B50" s="104" t="s">
        <v>407</v>
      </c>
      <c r="C50" s="105" t="s">
        <v>391</v>
      </c>
      <c r="D50" s="105">
        <v>1</v>
      </c>
      <c r="E50" s="106"/>
      <c r="F50" s="66">
        <f t="shared" si="0"/>
        <v>0</v>
      </c>
    </row>
    <row r="51" spans="1:6" x14ac:dyDescent="0.25">
      <c r="A51" s="111" t="s">
        <v>447</v>
      </c>
      <c r="B51" s="104" t="s">
        <v>408</v>
      </c>
      <c r="C51" s="105" t="s">
        <v>124</v>
      </c>
      <c r="D51" s="105">
        <v>130</v>
      </c>
      <c r="E51" s="106"/>
      <c r="F51" s="66">
        <f t="shared" si="0"/>
        <v>0</v>
      </c>
    </row>
    <row r="52" spans="1:6" x14ac:dyDescent="0.25">
      <c r="A52" s="111" t="s">
        <v>448</v>
      </c>
      <c r="B52" s="104" t="s">
        <v>409</v>
      </c>
      <c r="C52" s="105" t="s">
        <v>391</v>
      </c>
      <c r="D52" s="105">
        <v>1</v>
      </c>
      <c r="E52" s="106"/>
      <c r="F52" s="66">
        <f t="shared" si="0"/>
        <v>0</v>
      </c>
    </row>
    <row r="53" spans="1:6" x14ac:dyDescent="0.25">
      <c r="A53" s="117"/>
      <c r="B53" s="97" t="s">
        <v>410</v>
      </c>
      <c r="C53" s="118"/>
      <c r="D53" s="119"/>
      <c r="E53" s="120"/>
      <c r="F53" s="121">
        <f>F48+F49+F50+F51+F52</f>
        <v>0</v>
      </c>
    </row>
    <row r="54" spans="1:6" ht="23" x14ac:dyDescent="0.25">
      <c r="A54" s="75">
        <v>9</v>
      </c>
      <c r="B54" s="122" t="s">
        <v>411</v>
      </c>
      <c r="C54" s="115"/>
      <c r="D54" s="116"/>
      <c r="E54" s="102"/>
      <c r="F54" s="66"/>
    </row>
    <row r="55" spans="1:6" x14ac:dyDescent="0.25">
      <c r="A55" s="111" t="s">
        <v>449</v>
      </c>
      <c r="B55" s="104" t="s">
        <v>412</v>
      </c>
      <c r="C55" s="105" t="s">
        <v>413</v>
      </c>
      <c r="D55" s="105">
        <v>1</v>
      </c>
      <c r="E55" s="106"/>
      <c r="F55" s="66">
        <f>D55*E55</f>
        <v>0</v>
      </c>
    </row>
    <row r="56" spans="1:6" x14ac:dyDescent="0.25">
      <c r="A56" s="107" t="s">
        <v>450</v>
      </c>
      <c r="B56" s="108" t="s">
        <v>414</v>
      </c>
      <c r="C56" s="109" t="s">
        <v>413</v>
      </c>
      <c r="D56" s="109">
        <v>1</v>
      </c>
      <c r="E56" s="110"/>
      <c r="F56" s="66">
        <f>D56*E56</f>
        <v>0</v>
      </c>
    </row>
    <row r="57" spans="1:6" x14ac:dyDescent="0.25">
      <c r="A57" s="111" t="s">
        <v>451</v>
      </c>
      <c r="B57" s="104" t="s">
        <v>415</v>
      </c>
      <c r="C57" s="105" t="s">
        <v>416</v>
      </c>
      <c r="D57" s="105">
        <v>1</v>
      </c>
      <c r="E57" s="106"/>
      <c r="F57" s="66">
        <f>D57*E57</f>
        <v>0</v>
      </c>
    </row>
    <row r="58" spans="1:6" x14ac:dyDescent="0.25">
      <c r="A58" s="117"/>
      <c r="B58" s="97" t="s">
        <v>417</v>
      </c>
      <c r="C58" s="118"/>
      <c r="D58" s="119"/>
      <c r="E58" s="120"/>
      <c r="F58" s="121">
        <f>F55+F56+F57</f>
        <v>0</v>
      </c>
    </row>
    <row r="59" spans="1:6" ht="17.5" customHeight="1" thickBot="1" x14ac:dyDescent="0.3">
      <c r="A59" s="123"/>
      <c r="B59" s="383" t="s">
        <v>554</v>
      </c>
      <c r="C59" s="383"/>
      <c r="D59" s="383"/>
      <c r="E59" s="383"/>
      <c r="F59" s="124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activeCell="B3" sqref="B3"/>
    </sheetView>
  </sheetViews>
  <sheetFormatPr baseColWidth="10" defaultColWidth="10.90625" defaultRowHeight="11.5" x14ac:dyDescent="0.25"/>
  <cols>
    <col min="1" max="1" width="5.36328125" style="1" bestFit="1" customWidth="1"/>
    <col min="2" max="2" width="43.81640625" style="1" customWidth="1"/>
    <col min="3" max="5" width="10.90625" style="1"/>
    <col min="6" max="6" width="12.90625" style="1" customWidth="1"/>
    <col min="7" max="16384" width="10.90625" style="1"/>
  </cols>
  <sheetData>
    <row r="1" spans="1:6" ht="12" thickTop="1" x14ac:dyDescent="0.25">
      <c r="A1" s="33" t="s">
        <v>0</v>
      </c>
      <c r="B1" s="34" t="s">
        <v>1</v>
      </c>
      <c r="C1" s="34" t="s">
        <v>40</v>
      </c>
      <c r="D1" s="35" t="s">
        <v>81</v>
      </c>
      <c r="E1" s="35" t="s">
        <v>349</v>
      </c>
      <c r="F1" s="36" t="s">
        <v>350</v>
      </c>
    </row>
    <row r="2" spans="1:6" ht="12" thickBot="1" x14ac:dyDescent="0.3">
      <c r="A2" s="37" t="s">
        <v>3</v>
      </c>
      <c r="B2" s="38" t="s">
        <v>572</v>
      </c>
      <c r="C2" s="39"/>
      <c r="D2" s="40"/>
      <c r="E2" s="40"/>
      <c r="F2" s="40"/>
    </row>
    <row r="3" spans="1:6" ht="12" thickBot="1" x14ac:dyDescent="0.3">
      <c r="A3" s="41" t="s">
        <v>324</v>
      </c>
      <c r="B3" s="42" t="s">
        <v>557</v>
      </c>
      <c r="C3" s="43" t="s">
        <v>323</v>
      </c>
      <c r="D3" s="44">
        <v>1</v>
      </c>
      <c r="E3" s="45"/>
      <c r="F3" s="46">
        <f>E3*D3</f>
        <v>0</v>
      </c>
    </row>
    <row r="4" spans="1:6" ht="23" x14ac:dyDescent="0.25">
      <c r="A4" s="41" t="s">
        <v>558</v>
      </c>
      <c r="B4" s="47" t="s">
        <v>559</v>
      </c>
      <c r="C4" s="43" t="s">
        <v>323</v>
      </c>
      <c r="D4" s="44">
        <v>2.5</v>
      </c>
      <c r="E4" s="45"/>
      <c r="F4" s="46">
        <f t="shared" ref="F4:F8" si="0">E4*D4</f>
        <v>0</v>
      </c>
    </row>
    <row r="5" spans="1:6" x14ac:dyDescent="0.25">
      <c r="A5" s="41" t="s">
        <v>325</v>
      </c>
      <c r="B5" s="48" t="s">
        <v>560</v>
      </c>
      <c r="C5" s="43" t="s">
        <v>323</v>
      </c>
      <c r="D5" s="44">
        <v>0.2</v>
      </c>
      <c r="E5" s="45"/>
      <c r="F5" s="46">
        <f t="shared" si="0"/>
        <v>0</v>
      </c>
    </row>
    <row r="6" spans="1:6" ht="34.5" x14ac:dyDescent="0.25">
      <c r="A6" s="41" t="s">
        <v>561</v>
      </c>
      <c r="B6" s="48" t="s">
        <v>562</v>
      </c>
      <c r="C6" s="43" t="s">
        <v>124</v>
      </c>
      <c r="D6" s="44">
        <v>14</v>
      </c>
      <c r="E6" s="45"/>
      <c r="F6" s="46">
        <f t="shared" si="0"/>
        <v>0</v>
      </c>
    </row>
    <row r="7" spans="1:6" x14ac:dyDescent="0.25">
      <c r="A7" s="41" t="s">
        <v>563</v>
      </c>
      <c r="B7" s="48" t="s">
        <v>564</v>
      </c>
      <c r="C7" s="43" t="s">
        <v>20</v>
      </c>
      <c r="D7" s="44">
        <v>4</v>
      </c>
      <c r="E7" s="45"/>
      <c r="F7" s="46">
        <f t="shared" si="0"/>
        <v>0</v>
      </c>
    </row>
    <row r="8" spans="1:6" ht="23" x14ac:dyDescent="0.25">
      <c r="A8" s="41" t="s">
        <v>565</v>
      </c>
      <c r="B8" s="48" t="s">
        <v>566</v>
      </c>
      <c r="C8" s="43" t="s">
        <v>124</v>
      </c>
      <c r="D8" s="44">
        <v>14</v>
      </c>
      <c r="E8" s="45"/>
      <c r="F8" s="46">
        <f t="shared" si="0"/>
        <v>0</v>
      </c>
    </row>
    <row r="9" spans="1:6" x14ac:dyDescent="0.25">
      <c r="A9" s="49"/>
      <c r="B9" s="50" t="s">
        <v>555</v>
      </c>
      <c r="C9" s="49"/>
      <c r="D9" s="49"/>
      <c r="E9" s="51"/>
      <c r="F9" s="52">
        <f>SUM(F3:F8)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ATP INFO</cp:lastModifiedBy>
  <dcterms:created xsi:type="dcterms:W3CDTF">2025-11-10T14:35:00Z</dcterms:created>
  <dcterms:modified xsi:type="dcterms:W3CDTF">2026-04-06T09:06:30Z</dcterms:modified>
</cp:coreProperties>
</file>