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EQIP\PM\Travaux\Ecoles\Kasai central\4e Groupe\EP BAKUA TSHIBASU\"/>
    </mc:Choice>
  </mc:AlternateContent>
  <xr:revisionPtr revIDLastSave="0" documentId="8_{93AE6C02-49F1-44E0-91BD-24E7EC3CD9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80" i="2" l="1"/>
  <c r="F25" i="2"/>
  <c r="F9" i="4"/>
  <c r="F8" i="4"/>
  <c r="F7" i="4"/>
  <c r="F6" i="4"/>
  <c r="F5" i="4"/>
  <c r="F4" i="4"/>
  <c r="F10" i="4" s="1"/>
  <c r="D22" i="7" l="1"/>
  <c r="B19" i="7"/>
  <c r="D85" i="2"/>
  <c r="D79" i="2"/>
  <c r="D77" i="2"/>
  <c r="D44" i="2"/>
  <c r="D31" i="2"/>
  <c r="D30" i="2"/>
  <c r="D24" i="2"/>
  <c r="D13" i="2"/>
  <c r="D10" i="2"/>
  <c r="D6" i="2"/>
  <c r="D22" i="2"/>
  <c r="D21" i="2"/>
  <c r="B22" i="7"/>
  <c r="D12" i="3" l="1"/>
  <c r="D13" i="3"/>
  <c r="D14" i="3"/>
  <c r="D16" i="3"/>
  <c r="D17" i="3"/>
  <c r="D18" i="3"/>
  <c r="D19" i="3"/>
  <c r="D22" i="3"/>
  <c r="D23" i="3"/>
  <c r="D25" i="3"/>
  <c r="D26" i="3"/>
  <c r="D30" i="3"/>
  <c r="D31" i="3"/>
  <c r="D32" i="3"/>
  <c r="D33" i="3"/>
  <c r="D73" i="3"/>
  <c r="D75" i="3"/>
  <c r="D83" i="3"/>
  <c r="D111" i="3" s="1"/>
  <c r="D85" i="3"/>
  <c r="D86" i="3"/>
  <c r="D90" i="3"/>
  <c r="D91" i="3"/>
  <c r="D92" i="3"/>
  <c r="D93" i="3"/>
  <c r="D109" i="3"/>
  <c r="D145" i="3" l="1"/>
  <c r="D84" i="2" l="1"/>
  <c r="F101" i="2" l="1"/>
  <c r="F102" i="2"/>
  <c r="F47" i="2"/>
  <c r="F48" i="2"/>
  <c r="F53" i="2"/>
  <c r="F52" i="2"/>
  <c r="F51" i="2"/>
  <c r="F50" i="2"/>
  <c r="F49" i="2"/>
  <c r="B11" i="7"/>
  <c r="B17" i="7" s="1"/>
  <c r="B16" i="7"/>
  <c r="B15" i="7"/>
  <c r="B14" i="7"/>
  <c r="B13" i="7"/>
  <c r="B10" i="7"/>
  <c r="B9" i="7"/>
  <c r="B8" i="7"/>
  <c r="B7" i="7"/>
  <c r="F64" i="3"/>
  <c r="F63" i="3"/>
  <c r="F62" i="3"/>
  <c r="F61" i="3"/>
  <c r="F73" i="3"/>
  <c r="D74" i="3"/>
  <c r="F74" i="3" s="1"/>
  <c r="F75" i="3"/>
  <c r="D76" i="3"/>
  <c r="F76" i="3" s="1"/>
  <c r="D77" i="3"/>
  <c r="F77" i="3" s="1"/>
  <c r="D78" i="3"/>
  <c r="F78" i="3" s="1"/>
  <c r="D79" i="3"/>
  <c r="F79" i="3" s="1"/>
  <c r="D80" i="3"/>
  <c r="F80" i="3"/>
  <c r="F83" i="3"/>
  <c r="D84" i="3"/>
  <c r="F84" i="3" s="1"/>
  <c r="F85" i="3"/>
  <c r="F86" i="3"/>
  <c r="D87" i="3"/>
  <c r="F87" i="3" s="1"/>
  <c r="F90" i="3"/>
  <c r="F91" i="3"/>
  <c r="F92" i="3"/>
  <c r="F93" i="3"/>
  <c r="D94" i="3"/>
  <c r="F94" i="3" s="1"/>
  <c r="D95" i="3"/>
  <c r="F95" i="3" s="1"/>
  <c r="F96" i="3"/>
  <c r="F100" i="3"/>
  <c r="F127" i="3"/>
  <c r="F126" i="3"/>
  <c r="F125" i="3"/>
  <c r="F124" i="3"/>
  <c r="F128" i="3" s="1"/>
  <c r="F129" i="3" s="1"/>
  <c r="F131" i="3"/>
  <c r="F132" i="3"/>
  <c r="B23" i="7" l="1"/>
  <c r="B20" i="7"/>
  <c r="F54" i="2"/>
  <c r="F81" i="3"/>
  <c r="F97" i="3"/>
  <c r="F65" i="3"/>
  <c r="F66" i="3" s="1"/>
  <c r="F88" i="3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2" i="2"/>
  <c r="F121" i="2"/>
  <c r="F116" i="2"/>
  <c r="F115" i="2"/>
  <c r="F114" i="2"/>
  <c r="F107" i="2"/>
  <c r="F106" i="2"/>
  <c r="F105" i="2"/>
  <c r="F104" i="2"/>
  <c r="F103" i="2"/>
  <c r="F98" i="2"/>
  <c r="F93" i="2"/>
  <c r="F92" i="2"/>
  <c r="F91" i="2"/>
  <c r="F90" i="2"/>
  <c r="F78" i="2"/>
  <c r="F44" i="2"/>
  <c r="F37" i="2"/>
  <c r="F38" i="2"/>
  <c r="F39" i="2"/>
  <c r="F36" i="2"/>
  <c r="F23" i="2"/>
  <c r="F153" i="3"/>
  <c r="F152" i="3"/>
  <c r="F151" i="3"/>
  <c r="F150" i="3"/>
  <c r="F143" i="3"/>
  <c r="F144" i="3"/>
  <c r="F145" i="3"/>
  <c r="F146" i="3"/>
  <c r="F142" i="3"/>
  <c r="F135" i="3"/>
  <c r="F134" i="3"/>
  <c r="F133" i="3"/>
  <c r="F105" i="3"/>
  <c r="F104" i="3"/>
  <c r="F103" i="3"/>
  <c r="F102" i="3"/>
  <c r="F101" i="3"/>
  <c r="F56" i="3"/>
  <c r="F42" i="3"/>
  <c r="F41" i="3"/>
  <c r="F40" i="3"/>
  <c r="F39" i="3"/>
  <c r="F38" i="3"/>
  <c r="F35" i="3"/>
  <c r="F21" i="3"/>
  <c r="F7" i="3"/>
  <c r="F6" i="3"/>
  <c r="F13" i="3"/>
  <c r="F12" i="3"/>
  <c r="F94" i="2" l="1"/>
  <c r="D23" i="7"/>
  <c r="F109" i="2"/>
  <c r="F123" i="2"/>
  <c r="F124" i="2" s="1"/>
  <c r="D16" i="7" s="1"/>
  <c r="F8" i="3"/>
  <c r="D4" i="7" s="1"/>
  <c r="D5" i="7" s="1"/>
  <c r="F117" i="2"/>
  <c r="F118" i="2" s="1"/>
  <c r="D15" i="7" s="1"/>
  <c r="F106" i="3"/>
  <c r="F154" i="3"/>
  <c r="F147" i="3"/>
  <c r="D9" i="7" s="1"/>
  <c r="F136" i="3"/>
  <c r="F40" i="6"/>
  <c r="F58" i="6"/>
  <c r="F53" i="6"/>
  <c r="F46" i="6"/>
  <c r="F35" i="6"/>
  <c r="F27" i="6"/>
  <c r="F18" i="6"/>
  <c r="F13" i="6"/>
  <c r="F40" i="2"/>
  <c r="F43" i="3"/>
  <c r="D120" i="3"/>
  <c r="F120" i="3" s="1"/>
  <c r="F59" i="6" l="1"/>
  <c r="D19" i="7" s="1"/>
  <c r="D20" i="7" s="1"/>
  <c r="D10" i="7"/>
  <c r="D113" i="3"/>
  <c r="F113" i="3" s="1"/>
  <c r="D112" i="3"/>
  <c r="F112" i="3" s="1"/>
  <c r="F109" i="3"/>
  <c r="D110" i="3"/>
  <c r="F110" i="3" s="1"/>
  <c r="D108" i="3"/>
  <c r="F108" i="3" s="1"/>
  <c r="F14" i="3"/>
  <c r="D49" i="3"/>
  <c r="F49" i="3" s="1"/>
  <c r="D48" i="3"/>
  <c r="F48" i="3" s="1"/>
  <c r="D47" i="3"/>
  <c r="F47" i="3" s="1"/>
  <c r="D46" i="3"/>
  <c r="F46" i="3" s="1"/>
  <c r="F18" i="3"/>
  <c r="D34" i="3"/>
  <c r="F34" i="3" s="1"/>
  <c r="F30" i="3"/>
  <c r="F31" i="3"/>
  <c r="F111" i="3" l="1"/>
  <c r="F114" i="3" s="1"/>
  <c r="D52" i="3"/>
  <c r="F52" i="3" s="1"/>
  <c r="F33" i="3"/>
  <c r="F32" i="3"/>
  <c r="D29" i="3"/>
  <c r="F29" i="3" s="1"/>
  <c r="F26" i="3"/>
  <c r="D24" i="3"/>
  <c r="F24" i="3" s="1"/>
  <c r="F23" i="3"/>
  <c r="F22" i="3"/>
  <c r="F19" i="3"/>
  <c r="F17" i="3"/>
  <c r="F16" i="3"/>
  <c r="D15" i="3"/>
  <c r="F15" i="3" s="1"/>
  <c r="F20" i="3" l="1"/>
  <c r="F36" i="3"/>
  <c r="D116" i="3"/>
  <c r="F116" i="3" s="1"/>
  <c r="D86" i="2" l="1"/>
  <c r="F86" i="2" s="1"/>
  <c r="F85" i="2"/>
  <c r="F79" i="2"/>
  <c r="D87" i="2"/>
  <c r="F87" i="2" s="1"/>
  <c r="F84" i="2"/>
  <c r="F77" i="2"/>
  <c r="D76" i="2"/>
  <c r="F76" i="2" s="1"/>
  <c r="D75" i="2"/>
  <c r="F75" i="2" s="1"/>
  <c r="D74" i="2"/>
  <c r="F74" i="2" s="1"/>
  <c r="F81" i="2" s="1"/>
  <c r="D69" i="2"/>
  <c r="F69" i="2" s="1"/>
  <c r="D68" i="2"/>
  <c r="F68" i="2" s="1"/>
  <c r="D71" i="2"/>
  <c r="F71" i="2" s="1"/>
  <c r="D70" i="2"/>
  <c r="F70" i="2" s="1"/>
  <c r="D62" i="2"/>
  <c r="F62" i="2" s="1"/>
  <c r="F13" i="2"/>
  <c r="D8" i="2"/>
  <c r="F8" i="2" s="1"/>
  <c r="D7" i="2"/>
  <c r="F7" i="2" s="1"/>
  <c r="F6" i="2"/>
  <c r="D63" i="2"/>
  <c r="F63" i="2" s="1"/>
  <c r="D61" i="2"/>
  <c r="F61" i="2" s="1"/>
  <c r="D65" i="2"/>
  <c r="F65" i="2" s="1"/>
  <c r="D64" i="2"/>
  <c r="F64" i="2" s="1"/>
  <c r="F30" i="2"/>
  <c r="F24" i="2"/>
  <c r="D33" i="2"/>
  <c r="F33" i="2" s="1"/>
  <c r="D32" i="2"/>
  <c r="F31" i="2"/>
  <c r="F21" i="2"/>
  <c r="D20" i="2"/>
  <c r="F20" i="2" s="1"/>
  <c r="D19" i="2"/>
  <c r="F19" i="2" s="1"/>
  <c r="F22" i="2"/>
  <c r="D15" i="2"/>
  <c r="F15" i="2" s="1"/>
  <c r="D16" i="2"/>
  <c r="F16" i="2" s="1"/>
  <c r="D14" i="2"/>
  <c r="F14" i="2" s="1"/>
  <c r="F10" i="2"/>
  <c r="D9" i="2"/>
  <c r="F9" i="2" s="1"/>
  <c r="D119" i="3"/>
  <c r="F119" i="3" s="1"/>
  <c r="D118" i="3"/>
  <c r="F118" i="3" s="1"/>
  <c r="D117" i="3"/>
  <c r="F117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88" i="2" l="1"/>
  <c r="F72" i="2"/>
  <c r="F121" i="3"/>
  <c r="F138" i="3" s="1"/>
  <c r="F66" i="2"/>
  <c r="F17" i="2"/>
  <c r="F27" i="2"/>
  <c r="D43" i="2"/>
  <c r="F43" i="2" s="1"/>
  <c r="F32" i="2"/>
  <c r="F34" i="2" s="1"/>
  <c r="F11" i="2"/>
  <c r="D96" i="2"/>
  <c r="F96" i="2" s="1"/>
  <c r="F58" i="3"/>
  <c r="F67" i="3" s="1"/>
  <c r="F68" i="3" s="1"/>
  <c r="D97" i="2"/>
  <c r="F97" i="2" s="1"/>
  <c r="D42" i="2"/>
  <c r="F42" i="2" s="1"/>
  <c r="D7" i="7" l="1"/>
  <c r="F156" i="3"/>
  <c r="F99" i="2"/>
  <c r="F111" i="2" s="1"/>
  <c r="D8" i="7"/>
  <c r="D11" i="7" s="1"/>
  <c r="F45" i="2"/>
  <c r="F56" i="2" l="1"/>
  <c r="F126" i="2" s="1"/>
  <c r="D14" i="7"/>
  <c r="D13" i="7" l="1"/>
  <c r="D17" i="7" s="1"/>
  <c r="D2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Devis détaillé cfr dossier PASEA avec ingenieur Fidel
</t>
        </r>
      </text>
    </comment>
  </commentList>
</comments>
</file>

<file path=xl/sharedStrings.xml><?xml version="1.0" encoding="utf-8"?>
<sst xmlns="http://schemas.openxmlformats.org/spreadsheetml/2006/main" count="844" uniqueCount="489">
  <si>
    <t>N°</t>
  </si>
  <si>
    <t>Désignation</t>
  </si>
  <si>
    <t>I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</si>
  <si>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</si>
  <si>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</si>
  <si>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</si>
  <si>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</si>
  <si>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</si>
  <si>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</si>
  <si>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</si>
  <si>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</si>
  <si>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</si>
  <si>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</si>
  <si>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</si>
  <si>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</si>
  <si>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</si>
  <si>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</si>
  <si>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</si>
  <si>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</si>
  <si>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</si>
  <si>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</si>
  <si>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</si>
  <si>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</si>
  <si>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</si>
  <si>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</si>
  <si>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</si>
  <si>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</si>
  <si>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</si>
  <si>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</si>
  <si>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</si>
  <si>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</si>
  <si>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</si>
  <si>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</si>
  <si>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</si>
  <si>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</si>
  <si>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</si>
  <si>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</si>
  <si>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</si>
  <si>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</si>
  <si>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</si>
  <si>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</si>
  <si>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</si>
  <si>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</si>
  <si>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</si>
  <si>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</si>
  <si>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</si>
  <si>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</si>
  <si>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</si>
  <si>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</si>
  <si>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>Toiture en Béton armé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</si>
  <si>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</si>
  <si>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</si>
  <si>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</si>
  <si>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</si>
  <si>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</si>
  <si>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</si>
  <si>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</si>
  <si>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</si>
  <si>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</si>
  <si>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</si>
  <si>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</si>
  <si>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</si>
  <si>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</si>
  <si>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</si>
  <si>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</si>
  <si>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</si>
  <si>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</si>
  <si>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</si>
  <si>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</si>
  <si>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</si>
  <si>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</si>
  <si>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</si>
  <si>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</si>
  <si>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</si>
  <si>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</si>
  <si>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</si>
  <si>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</si>
  <si>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</si>
  <si>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</si>
  <si>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</si>
  <si>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</si>
  <si>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</si>
  <si>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</si>
  <si>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</si>
  <si>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</si>
  <si>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</si>
  <si>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</si>
  <si>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</si>
  <si>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</si>
  <si>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</si>
  <si>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</si>
  <si>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</si>
  <si>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</si>
  <si>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</si>
  <si>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</si>
  <si>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</si>
  <si>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</si>
  <si>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</si>
  <si>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</si>
  <si>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</si>
  <si>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</si>
  <si>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</si>
  <si>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</si>
  <si>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</si>
  <si>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</si>
  <si>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</si>
  <si>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</si>
  <si>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</si>
  <si>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</si>
  <si>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</si>
  <si>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</si>
  <si>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</si>
  <si>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</si>
  <si>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</si>
  <si>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</si>
  <si>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</si>
  <si>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</si>
  <si>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</si>
  <si>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</si>
  <si>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</si>
  <si>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</si>
  <si>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</si>
  <si>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</si>
  <si>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</si>
  <si>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</si>
  <si>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</si>
  <si>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</si>
  <si>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</si>
  <si>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</si>
  <si>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</si>
  <si>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</si>
  <si>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</si>
  <si>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</si>
  <si>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</si>
  <si>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</si>
  <si>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</si>
  <si>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</si>
  <si>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</si>
  <si>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</si>
  <si>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</si>
  <si>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</si>
  <si>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</si>
  <si>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</si>
  <si>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</si>
  <si>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</si>
  <si>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</si>
  <si>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</si>
  <si>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</si>
  <si>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</si>
  <si>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</si>
  <si>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</si>
  <si>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</si>
  <si>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</si>
  <si>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</si>
  <si>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</si>
  <si>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</si>
  <si>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</si>
  <si>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</si>
  <si>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</si>
  <si>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</si>
  <si>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</si>
  <si>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</si>
  <si>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</si>
  <si>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</si>
  <si>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</si>
  <si>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</si>
  <si>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</si>
  <si>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</si>
  <si>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</si>
  <si>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</si>
  <si>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</si>
  <si>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</si>
  <si>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</si>
  <si>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</si>
  <si>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</si>
  <si>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</si>
  <si>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</si>
  <si>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</si>
  <si>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</si>
  <si>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</si>
  <si>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</si>
  <si>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</si>
  <si>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</si>
  <si>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</si>
  <si>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</si>
  <si>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</si>
  <si>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</si>
  <si>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</si>
  <si>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</si>
  <si>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</si>
  <si>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</si>
  <si>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</si>
  <si>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</si>
  <si>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</si>
  <si>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</si>
  <si>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</si>
  <si>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</si>
  <si>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</si>
  <si>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</si>
  <si>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</si>
  <si>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</si>
  <si>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</si>
  <si>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</si>
  <si>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</si>
  <si>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</si>
  <si>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</si>
  <si>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</si>
  <si>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</si>
  <si>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</si>
  <si>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</si>
  <si>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</si>
  <si>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</si>
  <si>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</si>
  <si>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</si>
  <si>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</si>
  <si>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</si>
  <si>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</si>
  <si>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</si>
  <si>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</si>
  <si>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</si>
  <si>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</si>
  <si>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</si>
  <si>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</si>
  <si>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</si>
  <si>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</si>
  <si>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</si>
  <si>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</si>
  <si>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</si>
  <si>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</si>
  <si>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</si>
  <si>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</si>
  <si>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</si>
  <si>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</si>
  <si>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</si>
  <si>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</si>
  <si>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</si>
  <si>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</si>
  <si>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</si>
  <si>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</si>
  <si>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</si>
  <si>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</si>
  <si>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</si>
  <si>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</si>
  <si>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</si>
  <si>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</si>
  <si>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</si>
  <si>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</si>
  <si>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</si>
  <si>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</si>
  <si>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</si>
  <si>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</si>
  <si>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600.4</t>
  </si>
  <si>
    <t>Cunette de drainage des eaux pluviales vers le puits absorbant</t>
  </si>
  <si>
    <t>600.5</t>
  </si>
  <si>
    <t xml:space="preserve">Fo &amp; Po gazons naturels  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</si>
  <si>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</si>
  <si>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</si>
  <si>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</si>
  <si>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</si>
  <si>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</si>
  <si>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</si>
  <si>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</si>
  <si>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</si>
  <si>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</si>
  <si>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</si>
  <si>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</si>
  <si>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</si>
  <si>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</si>
  <si>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</si>
  <si>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</si>
  <si>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</si>
  <si>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</si>
  <si>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</si>
  <si>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</si>
  <si>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</si>
  <si>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</si>
  <si>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</si>
  <si>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</si>
  <si>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</si>
  <si>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</si>
  <si>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</si>
  <si>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</si>
  <si>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</si>
  <si>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</si>
  <si>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</si>
  <si>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</si>
  <si>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</si>
  <si>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</si>
  <si>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</si>
  <si>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</si>
  <si>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</si>
  <si>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</si>
  <si>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</si>
  <si>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</si>
  <si>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</si>
  <si>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</si>
  <si>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</si>
  <si>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</si>
  <si>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</si>
  <si>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</si>
  <si>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</si>
  <si>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</si>
  <si>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</si>
  <si>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</si>
  <si>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C</t>
  </si>
  <si>
    <t>D</t>
  </si>
  <si>
    <t>ff</t>
  </si>
  <si>
    <t xml:space="preserve">m³ </t>
  </si>
  <si>
    <t>I.2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</si>
  <si>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</si>
  <si>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</si>
  <si>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</si>
  <si>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</si>
  <si>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</si>
  <si>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</si>
  <si>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</si>
  <si>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</si>
  <si>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</si>
  <si>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</si>
  <si>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</si>
  <si>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</si>
  <si>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</si>
  <si>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</si>
  <si>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</si>
  <si>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</si>
  <si>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</si>
  <si>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</si>
  <si>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</si>
  <si>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</si>
  <si>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</si>
  <si>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</si>
  <si>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</si>
  <si>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</si>
  <si>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</si>
  <si>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</si>
  <si>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</si>
  <si>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 xml:space="preserve">TOTAL CONSTRUCTION D'UN CLOTURE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</si>
  <si>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</si>
  <si>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</si>
  <si>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</si>
  <si>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</si>
  <si>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</si>
  <si>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</si>
  <si>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</si>
  <si>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</si>
  <si>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</si>
  <si>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</si>
  <si>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</si>
  <si>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</si>
  <si>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</si>
  <si>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</si>
  <si>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</si>
  <si>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</si>
  <si>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</si>
  <si>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</si>
  <si>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</si>
  <si>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</si>
  <si>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</si>
  <si>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</si>
  <si>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</si>
  <si>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</si>
  <si>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</si>
  <si>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</si>
  <si>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</si>
  <si>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</si>
  <si>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</si>
  <si>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</si>
  <si>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</si>
  <si>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</si>
  <si>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</si>
  <si>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</si>
  <si>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</si>
  <si>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</si>
  <si>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</si>
  <si>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</si>
  <si>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</si>
  <si>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</si>
  <si>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</si>
  <si>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</si>
  <si>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</si>
  <si>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</si>
  <si>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</si>
  <si>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</si>
  <si>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</si>
  <si>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</si>
  <si>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</si>
  <si>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</si>
  <si>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</si>
  <si>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</si>
  <si>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</si>
  <si>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</si>
  <si>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</si>
  <si>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</si>
  <si>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</si>
  <si>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</si>
  <si>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</si>
  <si>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</si>
  <si>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</si>
  <si>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</si>
  <si>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</si>
  <si>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</si>
  <si>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</si>
  <si>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</si>
  <si>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TOTAL GENERAL 1+2+3+4+5+6+7+8+9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</si>
  <si>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</si>
  <si>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</si>
  <si>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</si>
  <si>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</si>
  <si>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</si>
  <si>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</si>
  <si>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</si>
  <si>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</si>
  <si>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</si>
  <si>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</si>
  <si>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</si>
  <si>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</si>
  <si>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</si>
  <si>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</si>
  <si>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</si>
  <si>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</si>
  <si>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</si>
  <si>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</si>
  <si>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</si>
  <si>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</si>
  <si>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</si>
  <si>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</si>
  <si>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</si>
  <si>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</si>
  <si>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</si>
  <si>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</si>
  <si>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</si>
  <si>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</si>
  <si>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</si>
  <si>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</si>
  <si>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</si>
  <si>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</si>
  <si>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</si>
  <si>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</si>
  <si>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 xml:space="preserve">Gaine flexible 32mm </t>
  </si>
  <si>
    <t xml:space="preserve">Gaine flexible 20mm </t>
  </si>
  <si>
    <t xml:space="preserve">Gaine flexible 16mm </t>
  </si>
  <si>
    <t>Accessoires de pose</t>
  </si>
  <si>
    <t>FFT</t>
  </si>
  <si>
    <t xml:space="preserve">TUBAGE </t>
  </si>
  <si>
    <t>300.2.4.1.13</t>
  </si>
  <si>
    <t>Sous-total Poste 3300.2.4.1 - Tubage</t>
  </si>
  <si>
    <t>200.4.1.1</t>
  </si>
  <si>
    <t>200.4.1.2</t>
  </si>
  <si>
    <t>200.4.1.3</t>
  </si>
  <si>
    <t>200.4.1.13</t>
  </si>
  <si>
    <t>Sous-total Poste 200.4.1 - Tubage</t>
  </si>
  <si>
    <t>BATIMENT ADMINISTRATIF ET SALLE DE CLASSE</t>
  </si>
  <si>
    <t>SANITAIRES</t>
  </si>
  <si>
    <t>FORAGE</t>
  </si>
  <si>
    <t>CLOTURE</t>
  </si>
  <si>
    <t>TOTAL A+B+C+D</t>
  </si>
  <si>
    <t>RECAPITULATIF</t>
  </si>
  <si>
    <t>COUT TOTAL</t>
  </si>
  <si>
    <t xml:space="preserve">TYPE : Forage Rotary avec pompe immergée hybride </t>
  </si>
  <si>
    <t>2.7.2</t>
  </si>
  <si>
    <t>2.7.7</t>
  </si>
  <si>
    <t>Construction marches d'accès et 2 rampes d'accès</t>
  </si>
  <si>
    <t>Béton armé (7cm*40cm) d'égalisation au-dessus de la maçonnerie filante en moellon et de fut de colonne dosée à 250kg ∕ m³</t>
  </si>
  <si>
    <t>Citerne alimentaire circulaire d'eau en matiere thermo plastic de 2500L au dessus de la dalle en beton armé de saniatire</t>
  </si>
  <si>
    <t>Revêtement carreaux sol en gré cérame</t>
  </si>
  <si>
    <t xml:space="preserve"> FORAGE  DE 130 METRES                      </t>
  </si>
  <si>
    <t>Construction fosse septique type A pour 500 Usagers</t>
  </si>
  <si>
    <t>Construction d'une  clôture pour forage de 14 ml</t>
  </si>
  <si>
    <t xml:space="preserve">Betons d'encrage pour colonne </t>
  </si>
  <si>
    <t xml:space="preserve">Fondation en bloc plein de 20 d'une profondeur de 0.88 m y compris tout suggestions de pose </t>
  </si>
  <si>
    <t>m3</t>
  </si>
  <si>
    <t>I.4</t>
  </si>
  <si>
    <t>Chape pour fondation</t>
  </si>
  <si>
    <t>I.5</t>
  </si>
  <si>
    <t xml:space="preserve">cloture en tube metallique  de 0.20  hauteur 2.2 avec colonne metallique de 0.40 * 0.60 hauteur 2.20 y compris tout suggestions de pose </t>
  </si>
  <si>
    <t>I.6</t>
  </si>
  <si>
    <t>Fo et Po portail en tube metallique  2 * 2</t>
  </si>
  <si>
    <t>I.7</t>
  </si>
  <si>
    <t xml:space="preserve">Fo et Po de concertina de 0.25 sur toute la cloture y compris tout suggestions de pose </t>
  </si>
  <si>
    <t>1.4.7</t>
  </si>
  <si>
    <t>Dalle en béton armé dosé à 350kg/m³ (3,65x4,95x0,15)</t>
  </si>
  <si>
    <t>INSTALLATION DE CHANTIER</t>
  </si>
  <si>
    <t xml:space="preserve">INSTALLATION (BUREAUX DE CHANTIER, IMPLANTATION DES OUVRAGES, MAGASINS, CLOTURE PROVISOIRE, TOILETTES PERSONNEL, KITS SANITAIRE) ET REPLI DU CHANTIER </t>
  </si>
  <si>
    <t>Nombre d'ouvrage</t>
  </si>
  <si>
    <t>I.1</t>
  </si>
  <si>
    <t>Fouilles</t>
  </si>
  <si>
    <r>
      <t>m</t>
    </r>
    <r>
      <rPr>
        <vertAlign val="superscript"/>
        <sz val="9"/>
        <rFont val="Times New Roman"/>
        <family val="1"/>
      </rPr>
      <t>2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</si>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</sst>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vertAlign val="superscript"/>
      <sz val="9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vertAlign val="superscript"/>
      <sz val="9"/>
      <color theme="1"/>
      <name val="Times New Roman"/>
      <family val="1"/>
    </font>
    <font>
      <b/>
      <i/>
      <sz val="9"/>
      <name val="Times New Roman"/>
      <family val="1"/>
    </font>
    <font>
      <b/>
      <sz val="9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371">
    <xf numFmtId="0" fontId="0" fillId="0" borderId="0" xfId="0"/>
    <xf numFmtId="0" fontId="9" fillId="4" borderId="1" xfId="3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3" applyFont="1" applyBorder="1" applyAlignment="1">
      <alignment horizontal="right" vertical="center" wrapText="1"/>
    </xf>
    <xf numFmtId="2" fontId="11" fillId="0" borderId="15" xfId="0" applyNumberFormat="1" applyFont="1" applyBorder="1" applyAlignment="1">
      <alignment vertical="center"/>
    </xf>
    <xf numFmtId="0" fontId="10" fillId="25" borderId="1" xfId="0" applyFont="1" applyFill="1" applyBorder="1"/>
    <xf numFmtId="0" fontId="12" fillId="25" borderId="1" xfId="0" applyFont="1" applyFill="1" applyBorder="1" applyAlignment="1">
      <alignment horizontal="center" vertical="center"/>
    </xf>
    <xf numFmtId="2" fontId="11" fillId="33" borderId="15" xfId="0" applyNumberFormat="1" applyFont="1" applyFill="1" applyBorder="1" applyAlignment="1">
      <alignment vertical="center"/>
    </xf>
    <xf numFmtId="0" fontId="10" fillId="0" borderId="0" xfId="0" applyFont="1"/>
    <xf numFmtId="0" fontId="9" fillId="7" borderId="44" xfId="3" applyFont="1" applyFill="1" applyBorder="1" applyAlignment="1">
      <alignment horizontal="center" vertical="center" wrapText="1"/>
    </xf>
    <xf numFmtId="0" fontId="9" fillId="7" borderId="45" xfId="3" applyFont="1" applyFill="1" applyBorder="1" applyAlignment="1">
      <alignment horizontal="center" vertical="center" wrapText="1"/>
    </xf>
    <xf numFmtId="0" fontId="9" fillId="7" borderId="46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0" borderId="14" xfId="0" applyFont="1" applyBorder="1"/>
    <xf numFmtId="0" fontId="10" fillId="0" borderId="1" xfId="0" applyFont="1" applyBorder="1"/>
    <xf numFmtId="2" fontId="10" fillId="0" borderId="15" xfId="0" applyNumberFormat="1" applyFont="1" applyBorder="1"/>
    <xf numFmtId="0" fontId="10" fillId="0" borderId="39" xfId="0" applyFont="1" applyBorder="1"/>
    <xf numFmtId="0" fontId="10" fillId="0" borderId="23" xfId="0" applyFont="1" applyBorder="1"/>
    <xf numFmtId="2" fontId="10" fillId="0" borderId="40" xfId="0" applyNumberFormat="1" applyFont="1" applyBorder="1"/>
    <xf numFmtId="0" fontId="10" fillId="25" borderId="14" xfId="0" applyFont="1" applyFill="1" applyBorder="1"/>
    <xf numFmtId="0" fontId="10" fillId="25" borderId="34" xfId="0" applyFont="1" applyFill="1" applyBorder="1"/>
    <xf numFmtId="0" fontId="10" fillId="25" borderId="7" xfId="0" applyFont="1" applyFill="1" applyBorder="1"/>
    <xf numFmtId="2" fontId="10" fillId="25" borderId="15" xfId="0" applyNumberFormat="1" applyFont="1" applyFill="1" applyBorder="1"/>
    <xf numFmtId="0" fontId="9" fillId="4" borderId="32" xfId="3" applyFont="1" applyFill="1" applyBorder="1" applyAlignment="1">
      <alignment horizontal="center" vertical="center" wrapText="1"/>
    </xf>
    <xf numFmtId="0" fontId="9" fillId="4" borderId="24" xfId="3" applyFont="1" applyFill="1" applyBorder="1" applyAlignment="1">
      <alignment horizontal="center" vertical="center" wrapText="1"/>
    </xf>
    <xf numFmtId="0" fontId="9" fillId="4" borderId="41" xfId="3" applyFont="1" applyFill="1" applyBorder="1" applyAlignment="1">
      <alignment horizontal="center" vertical="center" wrapText="1"/>
    </xf>
    <xf numFmtId="0" fontId="10" fillId="0" borderId="12" xfId="0" applyFont="1" applyBorder="1"/>
    <xf numFmtId="0" fontId="10" fillId="0" borderId="13" xfId="0" applyFont="1" applyBorder="1"/>
    <xf numFmtId="0" fontId="12" fillId="24" borderId="26" xfId="0" applyFont="1" applyFill="1" applyBorder="1"/>
    <xf numFmtId="0" fontId="12" fillId="24" borderId="27" xfId="0" applyFont="1" applyFill="1" applyBorder="1"/>
    <xf numFmtId="2" fontId="12" fillId="24" borderId="28" xfId="0" applyNumberFormat="1" applyFont="1" applyFill="1" applyBorder="1"/>
    <xf numFmtId="4" fontId="10" fillId="0" borderId="0" xfId="0" applyNumberFormat="1" applyFont="1"/>
    <xf numFmtId="0" fontId="9" fillId="22" borderId="3" xfId="3" applyFont="1" applyFill="1" applyBorder="1" applyAlignment="1">
      <alignment horizontal="center" vertical="center" wrapText="1"/>
    </xf>
    <xf numFmtId="0" fontId="9" fillId="22" borderId="4" xfId="3" applyFont="1" applyFill="1" applyBorder="1" applyAlignment="1">
      <alignment horizontal="center" vertical="center" wrapText="1"/>
    </xf>
    <xf numFmtId="0" fontId="9" fillId="22" borderId="1" xfId="3" applyFont="1" applyFill="1" applyBorder="1" applyAlignment="1">
      <alignment horizontal="center" vertical="center" wrapText="1"/>
    </xf>
    <xf numFmtId="0" fontId="9" fillId="22" borderId="15" xfId="3" applyFont="1" applyFill="1" applyBorder="1" applyAlignment="1">
      <alignment horizontal="center" vertical="center" wrapText="1"/>
    </xf>
    <xf numFmtId="0" fontId="9" fillId="8" borderId="2" xfId="3" applyFont="1" applyFill="1" applyBorder="1" applyAlignment="1">
      <alignment horizontal="center" vertical="center"/>
    </xf>
    <xf numFmtId="0" fontId="9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center" vertical="center"/>
    </xf>
    <xf numFmtId="164" fontId="11" fillId="8" borderId="1" xfId="4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wrapText="1"/>
    </xf>
    <xf numFmtId="164" fontId="11" fillId="0" borderId="1" xfId="4" applyFont="1" applyFill="1" applyBorder="1" applyAlignment="1">
      <alignment horizontal="center" vertical="center" wrapText="1"/>
    </xf>
    <xf numFmtId="164" fontId="11" fillId="3" borderId="1" xfId="4" applyFont="1" applyFill="1" applyBorder="1" applyAlignment="1">
      <alignment horizontal="center" vertical="center"/>
    </xf>
    <xf numFmtId="164" fontId="11" fillId="3" borderId="15" xfId="4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164" fontId="11" fillId="3" borderId="1" xfId="4" applyFont="1" applyFill="1" applyBorder="1" applyAlignment="1">
      <alignment horizontal="center" vertical="center" wrapText="1"/>
    </xf>
    <xf numFmtId="2" fontId="11" fillId="3" borderId="1" xfId="3" applyNumberFormat="1" applyFont="1" applyFill="1" applyBorder="1" applyAlignment="1">
      <alignment horizontal="center" vertical="center" wrapText="1"/>
    </xf>
    <xf numFmtId="0" fontId="10" fillId="5" borderId="0" xfId="0" applyFont="1" applyFill="1"/>
    <xf numFmtId="0" fontId="12" fillId="5" borderId="0" xfId="0" applyFont="1" applyFill="1" applyAlignment="1">
      <alignment vertical="center"/>
    </xf>
    <xf numFmtId="0" fontId="10" fillId="5" borderId="1" xfId="0" applyFont="1" applyFill="1" applyBorder="1"/>
    <xf numFmtId="164" fontId="10" fillId="5" borderId="0" xfId="0" applyNumberFormat="1" applyFont="1" applyFill="1"/>
    <xf numFmtId="0" fontId="14" fillId="0" borderId="0" xfId="10" applyFont="1" applyAlignment="1">
      <alignment horizontal="left" vertical="top"/>
    </xf>
    <xf numFmtId="0" fontId="12" fillId="0" borderId="39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2" fontId="10" fillId="0" borderId="40" xfId="0" applyNumberFormat="1" applyFont="1" applyBorder="1" applyAlignment="1">
      <alignment horizontal="center"/>
    </xf>
    <xf numFmtId="0" fontId="12" fillId="5" borderId="8" xfId="0" applyFont="1" applyFill="1" applyBorder="1"/>
    <xf numFmtId="0" fontId="12" fillId="5" borderId="26" xfId="0" applyFont="1" applyFill="1" applyBorder="1" applyAlignment="1">
      <alignment horizontal="center"/>
    </xf>
    <xf numFmtId="0" fontId="10" fillId="5" borderId="27" xfId="0" applyFont="1" applyFill="1" applyBorder="1"/>
    <xf numFmtId="0" fontId="10" fillId="5" borderId="27" xfId="0" applyFont="1" applyFill="1" applyBorder="1" applyAlignment="1">
      <alignment horizontal="right"/>
    </xf>
    <xf numFmtId="2" fontId="10" fillId="5" borderId="31" xfId="0" applyNumberFormat="1" applyFont="1" applyFill="1" applyBorder="1" applyAlignment="1">
      <alignment horizontal="right"/>
    </xf>
    <xf numFmtId="0" fontId="10" fillId="0" borderId="32" xfId="0" applyFont="1" applyBorder="1"/>
    <xf numFmtId="0" fontId="10" fillId="0" borderId="24" xfId="0" applyFont="1" applyBorder="1" applyAlignment="1">
      <alignment horizontal="left"/>
    </xf>
    <xf numFmtId="0" fontId="10" fillId="0" borderId="24" xfId="0" applyFont="1" applyBorder="1"/>
    <xf numFmtId="0" fontId="10" fillId="0" borderId="24" xfId="0" applyFont="1" applyBorder="1" applyAlignment="1">
      <alignment horizontal="right"/>
    </xf>
    <xf numFmtId="2" fontId="10" fillId="0" borderId="4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12" fillId="2" borderId="39" xfId="0" applyFont="1" applyFill="1" applyBorder="1"/>
    <xf numFmtId="0" fontId="12" fillId="2" borderId="22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center"/>
    </xf>
    <xf numFmtId="3" fontId="12" fillId="2" borderId="38" xfId="0" applyNumberFormat="1" applyFont="1" applyFill="1" applyBorder="1" applyAlignment="1">
      <alignment horizontal="right"/>
    </xf>
    <xf numFmtId="2" fontId="12" fillId="2" borderId="41" xfId="0" applyNumberFormat="1" applyFont="1" applyFill="1" applyBorder="1" applyAlignment="1">
      <alignment horizontal="right"/>
    </xf>
    <xf numFmtId="0" fontId="12" fillId="0" borderId="14" xfId="0" applyFont="1" applyBorder="1"/>
    <xf numFmtId="0" fontId="12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3" fontId="10" fillId="0" borderId="24" xfId="0" applyNumberFormat="1" applyFont="1" applyBorder="1" applyAlignment="1">
      <alignment horizontal="right"/>
    </xf>
    <xf numFmtId="0" fontId="10" fillId="2" borderId="14" xfId="0" applyFont="1" applyFill="1" applyBorder="1"/>
    <xf numFmtId="0" fontId="10" fillId="2" borderId="22" xfId="0" applyFont="1" applyFill="1" applyBorder="1" applyAlignment="1">
      <alignment horizontal="right"/>
    </xf>
    <xf numFmtId="0" fontId="10" fillId="2" borderId="23" xfId="0" applyFont="1" applyFill="1" applyBorder="1" applyAlignment="1">
      <alignment horizontal="center"/>
    </xf>
    <xf numFmtId="3" fontId="10" fillId="2" borderId="23" xfId="0" applyNumberFormat="1" applyFont="1" applyFill="1" applyBorder="1" applyAlignment="1">
      <alignment horizontal="right"/>
    </xf>
    <xf numFmtId="2" fontId="12" fillId="2" borderId="43" xfId="0" applyNumberFormat="1" applyFont="1" applyFill="1" applyBorder="1" applyAlignment="1">
      <alignment horizontal="right"/>
    </xf>
    <xf numFmtId="0" fontId="12" fillId="0" borderId="9" xfId="0" applyFont="1" applyBorder="1"/>
    <xf numFmtId="0" fontId="12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0" fontId="12" fillId="3" borderId="14" xfId="0" applyFont="1" applyFill="1" applyBorder="1"/>
    <xf numFmtId="0" fontId="10" fillId="3" borderId="24" xfId="0" applyFont="1" applyFill="1" applyBorder="1"/>
    <xf numFmtId="0" fontId="10" fillId="3" borderId="2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3" fontId="10" fillId="0" borderId="24" xfId="0" applyNumberFormat="1" applyFont="1" applyBorder="1"/>
    <xf numFmtId="3" fontId="10" fillId="0" borderId="1" xfId="0" applyNumberFormat="1" applyFont="1" applyBorder="1"/>
    <xf numFmtId="0" fontId="10" fillId="0" borderId="23" xfId="0" applyFont="1" applyBorder="1" applyAlignment="1">
      <alignment horizontal="center"/>
    </xf>
    <xf numFmtId="3" fontId="10" fillId="0" borderId="23" xfId="0" applyNumberFormat="1" applyFont="1" applyBorder="1"/>
    <xf numFmtId="0" fontId="12" fillId="2" borderId="5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/>
    </xf>
    <xf numFmtId="3" fontId="10" fillId="2" borderId="1" xfId="0" applyNumberFormat="1" applyFont="1" applyFill="1" applyBorder="1"/>
    <xf numFmtId="0" fontId="12" fillId="0" borderId="5" xfId="0" applyFont="1" applyBorder="1"/>
    <xf numFmtId="0" fontId="10" fillId="0" borderId="6" xfId="0" applyFont="1" applyBorder="1" applyAlignment="1">
      <alignment horizontal="center"/>
    </xf>
    <xf numFmtId="3" fontId="10" fillId="0" borderId="6" xfId="0" applyNumberFormat="1" applyFont="1" applyBorder="1"/>
    <xf numFmtId="0" fontId="12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left"/>
    </xf>
    <xf numFmtId="0" fontId="10" fillId="3" borderId="42" xfId="0" applyFont="1" applyFill="1" applyBorder="1"/>
    <xf numFmtId="0" fontId="10" fillId="3" borderId="22" xfId="0" applyFont="1" applyFill="1" applyBorder="1" applyAlignment="1">
      <alignment horizontal="left"/>
    </xf>
    <xf numFmtId="0" fontId="10" fillId="3" borderId="23" xfId="0" applyFont="1" applyFill="1" applyBorder="1" applyAlignment="1">
      <alignment horizontal="center"/>
    </xf>
    <xf numFmtId="3" fontId="10" fillId="3" borderId="23" xfId="0" applyNumberFormat="1" applyFont="1" applyFill="1" applyBorder="1"/>
    <xf numFmtId="0" fontId="10" fillId="3" borderId="14" xfId="0" applyFont="1" applyFill="1" applyBorder="1"/>
    <xf numFmtId="0" fontId="12" fillId="2" borderId="23" xfId="0" applyFont="1" applyFill="1" applyBorder="1" applyAlignment="1">
      <alignment horizontal="right"/>
    </xf>
    <xf numFmtId="3" fontId="10" fillId="2" borderId="23" xfId="0" applyNumberFormat="1" applyFont="1" applyFill="1" applyBorder="1"/>
    <xf numFmtId="0" fontId="12" fillId="0" borderId="5" xfId="0" applyFont="1" applyBorder="1" applyAlignment="1">
      <alignment horizontal="left"/>
    </xf>
    <xf numFmtId="0" fontId="10" fillId="0" borderId="6" xfId="0" applyFont="1" applyBorder="1" applyAlignment="1">
      <alignment horizontal="right"/>
    </xf>
    <xf numFmtId="0" fontId="10" fillId="0" borderId="6" xfId="0" applyFont="1" applyBorder="1"/>
    <xf numFmtId="0" fontId="12" fillId="2" borderId="14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/>
    <xf numFmtId="3" fontId="10" fillId="2" borderId="7" xfId="0" applyNumberFormat="1" applyFont="1" applyFill="1" applyBorder="1"/>
    <xf numFmtId="2" fontId="12" fillId="2" borderId="15" xfId="0" applyNumberFormat="1" applyFont="1" applyFill="1" applyBorder="1"/>
    <xf numFmtId="0" fontId="12" fillId="0" borderId="5" xfId="0" applyFont="1" applyBorder="1" applyAlignment="1">
      <alignment horizontal="left" wrapText="1"/>
    </xf>
    <xf numFmtId="0" fontId="10" fillId="24" borderId="35" xfId="0" applyFont="1" applyFill="1" applyBorder="1"/>
    <xf numFmtId="2" fontId="11" fillId="24" borderId="37" xfId="0" applyNumberFormat="1" applyFont="1" applyFill="1" applyBorder="1"/>
    <xf numFmtId="0" fontId="14" fillId="0" borderId="0" xfId="10" applyFont="1" applyAlignment="1">
      <alignment horizontal="center" vertical="center"/>
    </xf>
    <xf numFmtId="2" fontId="14" fillId="0" borderId="0" xfId="10" applyNumberFormat="1" applyFont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9" fillId="21" borderId="14" xfId="0" applyFont="1" applyFill="1" applyBorder="1" applyAlignment="1">
      <alignment horizontal="center" vertical="top" wrapText="1"/>
    </xf>
    <xf numFmtId="0" fontId="9" fillId="21" borderId="1" xfId="0" applyFont="1" applyFill="1" applyBorder="1" applyAlignment="1">
      <alignment horizontal="center" vertical="center" wrapText="1"/>
    </xf>
    <xf numFmtId="2" fontId="9" fillId="22" borderId="15" xfId="3" applyNumberFormat="1" applyFont="1" applyFill="1" applyBorder="1" applyAlignment="1">
      <alignment horizontal="right" vertical="center" wrapText="1"/>
    </xf>
    <xf numFmtId="0" fontId="9" fillId="4" borderId="14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vertical="center"/>
    </xf>
    <xf numFmtId="0" fontId="10" fillId="4" borderId="1" xfId="0" applyFont="1" applyFill="1" applyBorder="1"/>
    <xf numFmtId="2" fontId="10" fillId="4" borderId="15" xfId="0" applyNumberFormat="1" applyFont="1" applyFill="1" applyBorder="1" applyAlignment="1">
      <alignment horizontal="right"/>
    </xf>
    <xf numFmtId="0" fontId="9" fillId="3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2" fontId="10" fillId="0" borderId="15" xfId="0" applyNumberFormat="1" applyFont="1" applyBorder="1" applyAlignment="1">
      <alignment horizontal="right"/>
    </xf>
    <xf numFmtId="0" fontId="11" fillId="3" borderId="14" xfId="0" applyFont="1" applyFill="1" applyBorder="1" applyAlignment="1">
      <alignment horizontal="center"/>
    </xf>
    <xf numFmtId="0" fontId="11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2" fontId="11" fillId="3" borderId="15" xfId="4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vertical="center" wrapText="1"/>
    </xf>
    <xf numFmtId="0" fontId="14" fillId="15" borderId="1" xfId="0" applyFont="1" applyFill="1" applyBorder="1" applyAlignment="1">
      <alignment vertical="center" wrapText="1"/>
    </xf>
    <xf numFmtId="0" fontId="10" fillId="0" borderId="0" xfId="3" applyFont="1"/>
    <xf numFmtId="2" fontId="18" fillId="2" borderId="34" xfId="0" applyNumberFormat="1" applyFont="1" applyFill="1" applyBorder="1" applyAlignment="1">
      <alignment horizontal="right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left" vertical="center" wrapText="1"/>
    </xf>
    <xf numFmtId="2" fontId="10" fillId="0" borderId="13" xfId="0" applyNumberFormat="1" applyFont="1" applyBorder="1" applyAlignment="1">
      <alignment horizontal="right"/>
    </xf>
    <xf numFmtId="0" fontId="10" fillId="3" borderId="14" xfId="0" applyFont="1" applyFill="1" applyBorder="1" applyAlignment="1">
      <alignment horizontal="center" vertical="center"/>
    </xf>
    <xf numFmtId="164" fontId="10" fillId="0" borderId="0" xfId="0" applyNumberFormat="1" applyFont="1"/>
    <xf numFmtId="0" fontId="10" fillId="3" borderId="1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2" fontId="18" fillId="3" borderId="15" xfId="0" applyNumberFormat="1" applyFont="1" applyFill="1" applyBorder="1" applyAlignment="1">
      <alignment horizontal="right" vertical="center"/>
    </xf>
    <xf numFmtId="0" fontId="9" fillId="9" borderId="14" xfId="3" applyFont="1" applyFill="1" applyBorder="1" applyAlignment="1">
      <alignment vertical="center" wrapText="1"/>
    </xf>
    <xf numFmtId="0" fontId="9" fillId="9" borderId="1" xfId="3" applyFont="1" applyFill="1" applyBorder="1" applyAlignment="1">
      <alignment vertical="center" wrapText="1"/>
    </xf>
    <xf numFmtId="164" fontId="9" fillId="9" borderId="1" xfId="4" applyFont="1" applyFill="1" applyBorder="1" applyAlignment="1">
      <alignment vertical="center" wrapText="1"/>
    </xf>
    <xf numFmtId="2" fontId="9" fillId="9" borderId="15" xfId="4" applyNumberFormat="1" applyFont="1" applyFill="1" applyBorder="1" applyAlignment="1">
      <alignment horizontal="right" vertical="center" wrapText="1"/>
    </xf>
    <xf numFmtId="2" fontId="18" fillId="2" borderId="15" xfId="0" applyNumberFormat="1" applyFont="1" applyFill="1" applyBorder="1" applyAlignment="1">
      <alignment horizontal="right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2" fontId="11" fillId="3" borderId="15" xfId="1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1" fillId="0" borderId="1" xfId="3" applyFont="1" applyBorder="1" applyAlignment="1">
      <alignment horizontal="center" vertical="center" wrapText="1"/>
    </xf>
    <xf numFmtId="2" fontId="11" fillId="0" borderId="1" xfId="4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4" borderId="26" xfId="0" applyFont="1" applyFill="1" applyBorder="1"/>
    <xf numFmtId="0" fontId="12" fillId="24" borderId="27" xfId="0" applyFont="1" applyFill="1" applyBorder="1" applyAlignment="1">
      <alignment vertical="center"/>
    </xf>
    <xf numFmtId="0" fontId="10" fillId="24" borderId="27" xfId="0" applyFont="1" applyFill="1" applyBorder="1"/>
    <xf numFmtId="2" fontId="10" fillId="24" borderId="28" xfId="0" applyNumberFormat="1" applyFont="1" applyFill="1" applyBorder="1" applyAlignment="1">
      <alignment horizontal="right"/>
    </xf>
    <xf numFmtId="0" fontId="12" fillId="8" borderId="14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top"/>
    </xf>
    <xf numFmtId="0" fontId="9" fillId="4" borderId="25" xfId="0" applyFont="1" applyFill="1" applyBorder="1" applyAlignment="1">
      <alignment vertical="center"/>
    </xf>
    <xf numFmtId="0" fontId="10" fillId="4" borderId="0" xfId="0" applyFont="1" applyFill="1"/>
    <xf numFmtId="2" fontId="10" fillId="4" borderId="13" xfId="0" applyNumberFormat="1" applyFont="1" applyFill="1" applyBorder="1" applyAlignment="1">
      <alignment horizontal="right"/>
    </xf>
    <xf numFmtId="0" fontId="11" fillId="0" borderId="14" xfId="0" applyFont="1" applyBorder="1" applyAlignment="1">
      <alignment horizontal="center"/>
    </xf>
    <xf numFmtId="2" fontId="10" fillId="2" borderId="15" xfId="0" applyNumberFormat="1" applyFont="1" applyFill="1" applyBorder="1" applyAlignment="1">
      <alignment horizontal="right"/>
    </xf>
    <xf numFmtId="0" fontId="10" fillId="23" borderId="0" xfId="0" applyFont="1" applyFill="1"/>
    <xf numFmtId="2" fontId="10" fillId="23" borderId="13" xfId="0" applyNumberFormat="1" applyFont="1" applyFill="1" applyBorder="1" applyAlignment="1">
      <alignment horizontal="right"/>
    </xf>
    <xf numFmtId="0" fontId="9" fillId="0" borderId="14" xfId="3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2" fontId="11" fillId="0" borderId="15" xfId="4" applyNumberFormat="1" applyFont="1" applyFill="1" applyBorder="1" applyAlignment="1">
      <alignment horizontal="right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right" vertical="center"/>
    </xf>
    <xf numFmtId="0" fontId="10" fillId="24" borderId="12" xfId="0" applyFont="1" applyFill="1" applyBorder="1"/>
    <xf numFmtId="0" fontId="12" fillId="24" borderId="0" xfId="0" applyFont="1" applyFill="1" applyAlignment="1">
      <alignment vertical="center"/>
    </xf>
    <xf numFmtId="0" fontId="10" fillId="24" borderId="0" xfId="0" applyFont="1" applyFill="1"/>
    <xf numFmtId="2" fontId="10" fillId="24" borderId="13" xfId="0" applyNumberFormat="1" applyFont="1" applyFill="1" applyBorder="1" applyAlignment="1">
      <alignment horizontal="right"/>
    </xf>
    <xf numFmtId="0" fontId="10" fillId="8" borderId="1" xfId="0" applyFont="1" applyFill="1" applyBorder="1"/>
    <xf numFmtId="2" fontId="10" fillId="8" borderId="15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24" borderId="14" xfId="0" applyFont="1" applyFill="1" applyBorder="1"/>
    <xf numFmtId="0" fontId="12" fillId="24" borderId="1" xfId="0" applyFont="1" applyFill="1" applyBorder="1" applyAlignment="1">
      <alignment vertical="center"/>
    </xf>
    <xf numFmtId="0" fontId="10" fillId="24" borderId="1" xfId="0" applyFont="1" applyFill="1" applyBorder="1"/>
    <xf numFmtId="2" fontId="10" fillId="24" borderId="15" xfId="0" applyNumberFormat="1" applyFont="1" applyFill="1" applyBorder="1" applyAlignment="1">
      <alignment horizontal="right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10" fillId="2" borderId="0" xfId="0" applyFont="1" applyFill="1"/>
    <xf numFmtId="2" fontId="10" fillId="2" borderId="13" xfId="0" applyNumberFormat="1" applyFont="1" applyFill="1" applyBorder="1" applyAlignment="1">
      <alignment horizontal="right"/>
    </xf>
    <xf numFmtId="0" fontId="12" fillId="24" borderId="36" xfId="0" applyFont="1" applyFill="1" applyBorder="1" applyAlignment="1">
      <alignment vertical="center"/>
    </xf>
    <xf numFmtId="0" fontId="10" fillId="24" borderId="36" xfId="0" applyFont="1" applyFill="1" applyBorder="1"/>
    <xf numFmtId="2" fontId="10" fillId="24" borderId="37" xfId="0" applyNumberFormat="1" applyFont="1" applyFill="1" applyBorder="1" applyAlignment="1">
      <alignment horizontal="right"/>
    </xf>
    <xf numFmtId="0" fontId="10" fillId="29" borderId="35" xfId="0" applyFont="1" applyFill="1" applyBorder="1"/>
    <xf numFmtId="0" fontId="9" fillId="32" borderId="1" xfId="3" applyFont="1" applyFill="1" applyBorder="1" applyAlignment="1">
      <alignment vertical="center"/>
    </xf>
    <xf numFmtId="0" fontId="10" fillId="29" borderId="36" xfId="0" applyFont="1" applyFill="1" applyBorder="1"/>
    <xf numFmtId="2" fontId="10" fillId="29" borderId="37" xfId="0" applyNumberFormat="1" applyFont="1" applyFill="1" applyBorder="1" applyAlignment="1">
      <alignment horizontal="right"/>
    </xf>
    <xf numFmtId="2" fontId="10" fillId="0" borderId="0" xfId="0" applyNumberFormat="1" applyFont="1" applyAlignment="1">
      <alignment horizontal="right"/>
    </xf>
    <xf numFmtId="0" fontId="10" fillId="0" borderId="0" xfId="3" applyFont="1" applyAlignment="1">
      <alignment horizontal="center"/>
    </xf>
    <xf numFmtId="2" fontId="10" fillId="0" borderId="0" xfId="3" applyNumberFormat="1" applyFont="1" applyAlignment="1">
      <alignment horizontal="right"/>
    </xf>
    <xf numFmtId="0" fontId="11" fillId="3" borderId="12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2" fontId="11" fillId="3" borderId="0" xfId="3" applyNumberFormat="1" applyFont="1" applyFill="1" applyAlignment="1">
      <alignment horizontal="right" vertical="center"/>
    </xf>
    <xf numFmtId="2" fontId="11" fillId="3" borderId="13" xfId="3" applyNumberFormat="1" applyFont="1" applyFill="1" applyBorder="1" applyAlignment="1">
      <alignment horizontal="right" vertical="center"/>
    </xf>
    <xf numFmtId="0" fontId="9" fillId="7" borderId="14" xfId="3" applyFont="1" applyFill="1" applyBorder="1" applyAlignment="1">
      <alignment horizontal="center" vertical="center" wrapText="1"/>
    </xf>
    <xf numFmtId="0" fontId="9" fillId="7" borderId="1" xfId="3" applyFont="1" applyFill="1" applyBorder="1" applyAlignment="1">
      <alignment horizontal="center" vertical="center" wrapText="1"/>
    </xf>
    <xf numFmtId="2" fontId="9" fillId="7" borderId="1" xfId="3" applyNumberFormat="1" applyFont="1" applyFill="1" applyBorder="1" applyAlignment="1">
      <alignment horizontal="right" vertical="center" wrapText="1"/>
    </xf>
    <xf numFmtId="2" fontId="9" fillId="7" borderId="15" xfId="3" applyNumberFormat="1" applyFont="1" applyFill="1" applyBorder="1" applyAlignment="1">
      <alignment horizontal="right" vertical="center" wrapText="1"/>
    </xf>
    <xf numFmtId="0" fontId="9" fillId="8" borderId="14" xfId="3" applyFont="1" applyFill="1" applyBorder="1" applyAlignment="1">
      <alignment horizontal="center" vertical="center"/>
    </xf>
    <xf numFmtId="2" fontId="11" fillId="8" borderId="1" xfId="4" applyNumberFormat="1" applyFont="1" applyFill="1" applyBorder="1" applyAlignment="1">
      <alignment horizontal="right" vertical="center"/>
    </xf>
    <xf numFmtId="2" fontId="11" fillId="8" borderId="15" xfId="4" applyNumberFormat="1" applyFont="1" applyFill="1" applyBorder="1" applyAlignment="1">
      <alignment horizontal="right" vertical="center"/>
    </xf>
    <xf numFmtId="0" fontId="11" fillId="3" borderId="14" xfId="3" applyFont="1" applyFill="1" applyBorder="1" applyAlignment="1">
      <alignment horizontal="center" vertical="center" wrapText="1"/>
    </xf>
    <xf numFmtId="2" fontId="11" fillId="3" borderId="1" xfId="4" applyNumberFormat="1" applyFont="1" applyFill="1" applyBorder="1" applyAlignment="1">
      <alignment horizontal="right" vertical="center" wrapText="1"/>
    </xf>
    <xf numFmtId="0" fontId="9" fillId="18" borderId="14" xfId="3" applyFont="1" applyFill="1" applyBorder="1" applyAlignment="1">
      <alignment vertical="center" wrapText="1"/>
    </xf>
    <xf numFmtId="0" fontId="9" fillId="18" borderId="1" xfId="3" applyFont="1" applyFill="1" applyBorder="1" applyAlignment="1">
      <alignment vertical="center" wrapText="1"/>
    </xf>
    <xf numFmtId="0" fontId="9" fillId="18" borderId="1" xfId="3" applyFont="1" applyFill="1" applyBorder="1" applyAlignment="1">
      <alignment horizontal="center" vertical="center" wrapText="1"/>
    </xf>
    <xf numFmtId="164" fontId="9" fillId="18" borderId="1" xfId="4" applyFont="1" applyFill="1" applyBorder="1" applyAlignment="1">
      <alignment horizontal="center" vertical="center" wrapText="1"/>
    </xf>
    <xf numFmtId="2" fontId="9" fillId="18" borderId="1" xfId="4" applyNumberFormat="1" applyFont="1" applyFill="1" applyBorder="1" applyAlignment="1">
      <alignment horizontal="right" vertical="center" wrapText="1"/>
    </xf>
    <xf numFmtId="2" fontId="9" fillId="18" borderId="15" xfId="4" applyNumberFormat="1" applyFont="1" applyFill="1" applyBorder="1" applyAlignment="1">
      <alignment horizontal="right" vertical="center" wrapText="1"/>
    </xf>
    <xf numFmtId="0" fontId="9" fillId="10" borderId="14" xfId="3" applyFont="1" applyFill="1" applyBorder="1" applyAlignment="1">
      <alignment horizontal="center" vertical="center" wrapText="1"/>
    </xf>
    <xf numFmtId="0" fontId="9" fillId="10" borderId="1" xfId="3" applyFont="1" applyFill="1" applyBorder="1" applyAlignment="1">
      <alignment horizontal="left" vertical="center" wrapText="1"/>
    </xf>
    <xf numFmtId="0" fontId="11" fillId="11" borderId="1" xfId="3" applyFont="1" applyFill="1" applyBorder="1" applyAlignment="1">
      <alignment horizontal="center" vertical="center" wrapText="1"/>
    </xf>
    <xf numFmtId="164" fontId="11" fillId="11" borderId="1" xfId="4" applyFont="1" applyFill="1" applyBorder="1" applyAlignment="1">
      <alignment horizontal="center" vertical="center" wrapText="1"/>
    </xf>
    <xf numFmtId="2" fontId="11" fillId="11" borderId="1" xfId="4" applyNumberFormat="1" applyFont="1" applyFill="1" applyBorder="1" applyAlignment="1">
      <alignment horizontal="right" vertical="center" wrapText="1"/>
    </xf>
    <xf numFmtId="2" fontId="11" fillId="11" borderId="15" xfId="4" applyNumberFormat="1" applyFont="1" applyFill="1" applyBorder="1" applyAlignment="1">
      <alignment horizontal="right" vertical="center" wrapText="1"/>
    </xf>
    <xf numFmtId="0" fontId="9" fillId="12" borderId="14" xfId="3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left" vertical="center" wrapText="1"/>
    </xf>
    <xf numFmtId="2" fontId="11" fillId="3" borderId="14" xfId="3" applyNumberFormat="1" applyFont="1" applyFill="1" applyBorder="1" applyAlignment="1">
      <alignment horizontal="center" vertical="center" wrapText="1"/>
    </xf>
    <xf numFmtId="2" fontId="11" fillId="0" borderId="1" xfId="3" applyNumberFormat="1" applyFont="1" applyBorder="1" applyAlignment="1">
      <alignment horizontal="center" vertical="center" wrapText="1"/>
    </xf>
    <xf numFmtId="2" fontId="11" fillId="2" borderId="14" xfId="3" applyNumberFormat="1" applyFont="1" applyFill="1" applyBorder="1" applyAlignment="1">
      <alignment horizontal="center" vertical="center" wrapText="1"/>
    </xf>
    <xf numFmtId="2" fontId="9" fillId="3" borderId="14" xfId="3" applyNumberFormat="1" applyFont="1" applyFill="1" applyBorder="1" applyAlignment="1">
      <alignment horizontal="center" vertical="center" wrapText="1"/>
    </xf>
    <xf numFmtId="2" fontId="9" fillId="3" borderId="1" xfId="3" applyNumberFormat="1" applyFont="1" applyFill="1" applyBorder="1" applyAlignment="1">
      <alignment horizontal="left" vertical="center" wrapText="1"/>
    </xf>
    <xf numFmtId="2" fontId="9" fillId="3" borderId="1" xfId="3" applyNumberFormat="1" applyFont="1" applyFill="1" applyBorder="1" applyAlignment="1">
      <alignment horizontal="center" vertical="center" wrapText="1"/>
    </xf>
    <xf numFmtId="164" fontId="9" fillId="3" borderId="1" xfId="4" applyFont="1" applyFill="1" applyBorder="1" applyAlignment="1">
      <alignment horizontal="center" vertical="center" wrapText="1"/>
    </xf>
    <xf numFmtId="2" fontId="9" fillId="3" borderId="1" xfId="4" applyNumberFormat="1" applyFont="1" applyFill="1" applyBorder="1" applyAlignment="1">
      <alignment horizontal="right" vertical="center" wrapText="1"/>
    </xf>
    <xf numFmtId="0" fontId="19" fillId="15" borderId="1" xfId="0" applyFont="1" applyFill="1" applyBorder="1" applyAlignment="1">
      <alignment vertical="center" wrapText="1"/>
    </xf>
    <xf numFmtId="0" fontId="11" fillId="13" borderId="14" xfId="3" applyFont="1" applyFill="1" applyBorder="1" applyAlignment="1">
      <alignment horizontal="center" vertical="center" wrapText="1"/>
    </xf>
    <xf numFmtId="0" fontId="11" fillId="13" borderId="1" xfId="3" applyFont="1" applyFill="1" applyBorder="1" applyAlignment="1">
      <alignment horizontal="center" vertical="center" wrapText="1"/>
    </xf>
    <xf numFmtId="164" fontId="11" fillId="13" borderId="1" xfId="4" applyFont="1" applyFill="1" applyBorder="1" applyAlignment="1">
      <alignment horizontal="center" vertical="center" wrapText="1"/>
    </xf>
    <xf numFmtId="2" fontId="11" fillId="13" borderId="1" xfId="4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9" fillId="2" borderId="1" xfId="0" applyFont="1" applyFill="1" applyBorder="1" applyAlignment="1">
      <alignment vertical="center" wrapText="1"/>
    </xf>
    <xf numFmtId="0" fontId="19" fillId="16" borderId="1" xfId="0" applyFont="1" applyFill="1" applyBorder="1" applyAlignment="1">
      <alignment vertical="center" wrapText="1"/>
    </xf>
    <xf numFmtId="0" fontId="9" fillId="27" borderId="1" xfId="3" applyFont="1" applyFill="1" applyBorder="1" applyAlignment="1">
      <alignment horizontal="left" vertical="center" wrapText="1"/>
    </xf>
    <xf numFmtId="0" fontId="11" fillId="4" borderId="1" xfId="3" applyFont="1" applyFill="1" applyBorder="1" applyAlignment="1">
      <alignment horizontal="center" vertical="center" wrapText="1"/>
    </xf>
    <xf numFmtId="164" fontId="11" fillId="4" borderId="1" xfId="4" applyFont="1" applyFill="1" applyBorder="1" applyAlignment="1">
      <alignment horizontal="center" vertical="center" wrapText="1"/>
    </xf>
    <xf numFmtId="2" fontId="11" fillId="4" borderId="1" xfId="4" applyNumberFormat="1" applyFont="1" applyFill="1" applyBorder="1" applyAlignment="1">
      <alignment horizontal="right" vertical="center" wrapText="1"/>
    </xf>
    <xf numFmtId="2" fontId="11" fillId="4" borderId="15" xfId="4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0" fontId="11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vertical="center" wrapText="1"/>
    </xf>
    <xf numFmtId="164" fontId="9" fillId="0" borderId="1" xfId="4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2" fontId="9" fillId="0" borderId="15" xfId="4" applyNumberFormat="1" applyFont="1" applyFill="1" applyBorder="1" applyAlignment="1">
      <alignment horizontal="right" vertical="center" wrapText="1"/>
    </xf>
    <xf numFmtId="0" fontId="9" fillId="19" borderId="14" xfId="3" applyFont="1" applyFill="1" applyBorder="1" applyAlignment="1">
      <alignment vertical="center" wrapText="1"/>
    </xf>
    <xf numFmtId="0" fontId="9" fillId="19" borderId="1" xfId="3" applyFont="1" applyFill="1" applyBorder="1" applyAlignment="1">
      <alignment vertical="center" wrapText="1"/>
    </xf>
    <xf numFmtId="0" fontId="9" fillId="19" borderId="1" xfId="3" applyFont="1" applyFill="1" applyBorder="1" applyAlignment="1">
      <alignment horizontal="center" vertical="center" wrapText="1"/>
    </xf>
    <xf numFmtId="164" fontId="9" fillId="20" borderId="1" xfId="4" applyFont="1" applyFill="1" applyBorder="1" applyAlignment="1">
      <alignment horizontal="center" vertical="center"/>
    </xf>
    <xf numFmtId="2" fontId="9" fillId="20" borderId="1" xfId="4" applyNumberFormat="1" applyFont="1" applyFill="1" applyBorder="1" applyAlignment="1">
      <alignment horizontal="right" vertical="center"/>
    </xf>
    <xf numFmtId="2" fontId="9" fillId="20" borderId="15" xfId="4" applyNumberFormat="1" applyFont="1" applyFill="1" applyBorder="1" applyAlignment="1">
      <alignment horizontal="right" vertical="center"/>
    </xf>
    <xf numFmtId="164" fontId="9" fillId="19" borderId="1" xfId="4" applyFont="1" applyFill="1" applyBorder="1" applyAlignment="1">
      <alignment horizontal="center" vertical="center" wrapText="1"/>
    </xf>
    <xf numFmtId="2" fontId="9" fillId="19" borderId="1" xfId="4" applyNumberFormat="1" applyFont="1" applyFill="1" applyBorder="1" applyAlignment="1">
      <alignment horizontal="right" vertical="center" wrapText="1"/>
    </xf>
    <xf numFmtId="2" fontId="9" fillId="19" borderId="15" xfId="4" applyNumberFormat="1" applyFont="1" applyFill="1" applyBorder="1" applyAlignment="1">
      <alignment horizontal="right" vertical="center" wrapText="1"/>
    </xf>
    <xf numFmtId="0" fontId="9" fillId="9" borderId="16" xfId="3" applyFont="1" applyFill="1" applyBorder="1" applyAlignment="1">
      <alignment horizontal="center" vertical="center" wrapText="1"/>
    </xf>
    <xf numFmtId="0" fontId="9" fillId="9" borderId="6" xfId="3" applyFont="1" applyFill="1" applyBorder="1" applyAlignment="1">
      <alignment horizontal="center" vertical="center" wrapText="1"/>
    </xf>
    <xf numFmtId="0" fontId="9" fillId="9" borderId="7" xfId="3" applyFont="1" applyFill="1" applyBorder="1" applyAlignment="1">
      <alignment horizontal="center" vertical="center" wrapText="1"/>
    </xf>
    <xf numFmtId="2" fontId="9" fillId="9" borderId="0" xfId="3" applyNumberFormat="1" applyFont="1" applyFill="1" applyAlignment="1">
      <alignment horizontal="right" vertical="center" wrapText="1"/>
    </xf>
    <xf numFmtId="2" fontId="9" fillId="9" borderId="13" xfId="3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9" fillId="26" borderId="14" xfId="3" applyFont="1" applyFill="1" applyBorder="1" applyAlignment="1">
      <alignment horizontal="center" vertical="center" wrapText="1"/>
    </xf>
    <xf numFmtId="0" fontId="11" fillId="12" borderId="14" xfId="3" applyFont="1" applyFill="1" applyBorder="1" applyAlignment="1">
      <alignment horizontal="center" vertical="center" wrapText="1"/>
    </xf>
    <xf numFmtId="0" fontId="9" fillId="30" borderId="14" xfId="3" applyFont="1" applyFill="1" applyBorder="1" applyAlignment="1">
      <alignment vertical="center" wrapText="1"/>
    </xf>
    <xf numFmtId="0" fontId="19" fillId="24" borderId="1" xfId="0" applyFont="1" applyFill="1" applyBorder="1" applyAlignment="1">
      <alignment vertical="center" wrapText="1"/>
    </xf>
    <xf numFmtId="0" fontId="9" fillId="30" borderId="1" xfId="3" applyFont="1" applyFill="1" applyBorder="1" applyAlignment="1">
      <alignment horizontal="center" vertical="center" wrapText="1"/>
    </xf>
    <xf numFmtId="164" fontId="9" fillId="30" borderId="1" xfId="4" applyFont="1" applyFill="1" applyBorder="1" applyAlignment="1">
      <alignment horizontal="center" vertical="center" wrapText="1"/>
    </xf>
    <xf numFmtId="2" fontId="9" fillId="30" borderId="1" xfId="4" applyNumberFormat="1" applyFont="1" applyFill="1" applyBorder="1" applyAlignment="1">
      <alignment horizontal="right" vertical="center" wrapText="1"/>
    </xf>
    <xf numFmtId="2" fontId="9" fillId="30" borderId="15" xfId="4" applyNumberFormat="1" applyFont="1" applyFill="1" applyBorder="1" applyAlignment="1">
      <alignment horizontal="right" vertical="center" wrapText="1"/>
    </xf>
    <xf numFmtId="0" fontId="11" fillId="3" borderId="14" xfId="3" applyFont="1" applyFill="1" applyBorder="1" applyAlignment="1">
      <alignment horizontal="center" vertical="center"/>
    </xf>
    <xf numFmtId="0" fontId="9" fillId="31" borderId="14" xfId="3" applyFont="1" applyFill="1" applyBorder="1" applyAlignment="1">
      <alignment vertical="center"/>
    </xf>
    <xf numFmtId="0" fontId="19" fillId="24" borderId="1" xfId="0" applyFont="1" applyFill="1" applyBorder="1" applyAlignment="1">
      <alignment vertical="center"/>
    </xf>
    <xf numFmtId="0" fontId="9" fillId="30" borderId="1" xfId="3" applyFont="1" applyFill="1" applyBorder="1" applyAlignment="1">
      <alignment horizontal="center" vertical="center"/>
    </xf>
    <xf numFmtId="164" fontId="9" fillId="30" borderId="1" xfId="4" applyFont="1" applyFill="1" applyBorder="1" applyAlignment="1">
      <alignment horizontal="center" vertical="center"/>
    </xf>
    <xf numFmtId="2" fontId="9" fillId="30" borderId="1" xfId="4" applyNumberFormat="1" applyFont="1" applyFill="1" applyBorder="1" applyAlignment="1">
      <alignment horizontal="right" vertical="center"/>
    </xf>
    <xf numFmtId="2" fontId="9" fillId="30" borderId="15" xfId="4" applyNumberFormat="1" applyFont="1" applyFill="1" applyBorder="1" applyAlignment="1">
      <alignment horizontal="right" vertical="center"/>
    </xf>
    <xf numFmtId="0" fontId="19" fillId="17" borderId="1" xfId="0" applyFont="1" applyFill="1" applyBorder="1" applyAlignment="1">
      <alignment vertical="center" wrapText="1"/>
    </xf>
    <xf numFmtId="0" fontId="11" fillId="3" borderId="1" xfId="3" applyFont="1" applyFill="1" applyBorder="1" applyAlignment="1">
      <alignment horizontal="center" vertical="center"/>
    </xf>
    <xf numFmtId="0" fontId="9" fillId="30" borderId="1" xfId="3" applyFont="1" applyFill="1" applyBorder="1" applyAlignment="1">
      <alignment vertical="center" wrapText="1"/>
    </xf>
    <xf numFmtId="0" fontId="9" fillId="14" borderId="14" xfId="3" applyFont="1" applyFill="1" applyBorder="1" applyAlignment="1">
      <alignment vertical="center"/>
    </xf>
    <xf numFmtId="0" fontId="9" fillId="14" borderId="1" xfId="3" applyFont="1" applyFill="1" applyBorder="1" applyAlignment="1">
      <alignment vertical="center"/>
    </xf>
    <xf numFmtId="0" fontId="9" fillId="14" borderId="1" xfId="3" applyFont="1" applyFill="1" applyBorder="1" applyAlignment="1">
      <alignment horizontal="center" vertical="center" wrapText="1"/>
    </xf>
    <xf numFmtId="2" fontId="9" fillId="14" borderId="1" xfId="3" applyNumberFormat="1" applyFont="1" applyFill="1" applyBorder="1" applyAlignment="1">
      <alignment horizontal="right" vertical="center" wrapText="1"/>
    </xf>
    <xf numFmtId="2" fontId="9" fillId="14" borderId="15" xfId="3" applyNumberFormat="1" applyFont="1" applyFill="1" applyBorder="1" applyAlignment="1">
      <alignment horizontal="right" vertical="center" wrapText="1"/>
    </xf>
    <xf numFmtId="0" fontId="11" fillId="3" borderId="17" xfId="3" applyFont="1" applyFill="1" applyBorder="1" applyAlignment="1">
      <alignment horizontal="center" vertical="center"/>
    </xf>
    <xf numFmtId="0" fontId="11" fillId="3" borderId="18" xfId="3" applyFont="1" applyFill="1" applyBorder="1" applyAlignment="1">
      <alignment horizontal="left" vertical="center" wrapText="1"/>
    </xf>
    <xf numFmtId="0" fontId="11" fillId="3" borderId="18" xfId="3" applyFont="1" applyFill="1" applyBorder="1" applyAlignment="1">
      <alignment horizontal="center" vertical="center"/>
    </xf>
    <xf numFmtId="2" fontId="11" fillId="3" borderId="18" xfId="3" applyNumberFormat="1" applyFont="1" applyFill="1" applyBorder="1" applyAlignment="1">
      <alignment horizontal="right" vertical="center"/>
    </xf>
    <xf numFmtId="2" fontId="11" fillId="3" borderId="19" xfId="3" applyNumberFormat="1" applyFont="1" applyFill="1" applyBorder="1" applyAlignment="1">
      <alignment horizontal="right" vertical="center"/>
    </xf>
    <xf numFmtId="0" fontId="10" fillId="28" borderId="26" xfId="0" applyFont="1" applyFill="1" applyBorder="1" applyAlignment="1">
      <alignment horizontal="center" vertical="center"/>
    </xf>
    <xf numFmtId="0" fontId="10" fillId="28" borderId="27" xfId="0" applyFont="1" applyFill="1" applyBorder="1" applyAlignment="1">
      <alignment horizontal="center" vertical="center"/>
    </xf>
    <xf numFmtId="0" fontId="10" fillId="28" borderId="28" xfId="0" applyFont="1" applyFill="1" applyBorder="1" applyAlignment="1">
      <alignment horizontal="center" vertical="center"/>
    </xf>
    <xf numFmtId="0" fontId="9" fillId="0" borderId="16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9" fillId="9" borderId="16" xfId="3" applyFont="1" applyFill="1" applyBorder="1" applyAlignment="1">
      <alignment horizontal="center" vertical="center" wrapText="1"/>
    </xf>
    <xf numFmtId="0" fontId="9" fillId="9" borderId="6" xfId="3" applyFont="1" applyFill="1" applyBorder="1" applyAlignment="1">
      <alignment horizontal="center" vertical="center" wrapText="1"/>
    </xf>
    <xf numFmtId="0" fontId="9" fillId="9" borderId="34" xfId="3" applyFont="1" applyFill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34" xfId="3" applyFont="1" applyBorder="1" applyAlignment="1">
      <alignment horizontal="center" vertical="center"/>
    </xf>
    <xf numFmtId="0" fontId="9" fillId="6" borderId="9" xfId="3" applyFont="1" applyFill="1" applyBorder="1" applyAlignment="1">
      <alignment horizontal="center" vertical="center" wrapText="1"/>
    </xf>
    <xf numFmtId="0" fontId="9" fillId="6" borderId="10" xfId="3" applyFont="1" applyFill="1" applyBorder="1" applyAlignment="1">
      <alignment horizontal="center" vertical="center" wrapText="1"/>
    </xf>
    <xf numFmtId="0" fontId="9" fillId="6" borderId="11" xfId="3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top"/>
    </xf>
    <xf numFmtId="0" fontId="18" fillId="2" borderId="1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 vertical="top"/>
    </xf>
    <xf numFmtId="0" fontId="18" fillId="23" borderId="14" xfId="0" applyFont="1" applyFill="1" applyBorder="1" applyAlignment="1">
      <alignment horizontal="center" vertical="center"/>
    </xf>
    <xf numFmtId="0" fontId="18" fillId="2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2" fillId="8" borderId="15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top"/>
    </xf>
    <xf numFmtId="0" fontId="12" fillId="24" borderId="36" xfId="0" applyFont="1" applyFill="1" applyBorder="1" applyAlignment="1">
      <alignment horizontal="left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BreakPreview" zoomScaleNormal="100" zoomScaleSheetLayoutView="100" workbookViewId="0">
      <selection activeCell="H3" sqref="H3"/>
    </sheetView>
  </sheetViews>
  <sheetFormatPr baseColWidth="10" defaultColWidth="8.85546875" defaultRowHeight="12" x14ac:dyDescent="0.2"/>
  <cols>
    <col min="1" max="1" width="3.140625" style="9" customWidth="1"/>
    <col min="2" max="2" width="59.5703125" style="9" customWidth="1"/>
    <col min="3" max="3" width="16.42578125" style="9" customWidth="1"/>
    <col min="4" max="4" width="20.42578125" style="9" customWidth="1"/>
    <col min="5" max="5" width="8.85546875" style="9"/>
    <col min="6" max="6" width="9.7109375" style="9" bestFit="1" customWidth="1"/>
    <col min="7" max="16384" width="8.85546875" style="9"/>
  </cols>
  <sheetData>
    <row r="1" spans="1:4" ht="26.1" customHeight="1" thickBot="1" x14ac:dyDescent="0.25">
      <c r="A1" s="318" t="s">
        <v>456</v>
      </c>
      <c r="B1" s="319"/>
      <c r="C1" s="319"/>
      <c r="D1" s="320"/>
    </row>
    <row r="2" spans="1:4" x14ac:dyDescent="0.2">
      <c r="A2" s="10" t="s">
        <v>0</v>
      </c>
      <c r="B2" s="11" t="s">
        <v>1</v>
      </c>
      <c r="C2" s="11" t="s">
        <v>483</v>
      </c>
      <c r="D2" s="12" t="s">
        <v>457</v>
      </c>
    </row>
    <row r="3" spans="1:4" x14ac:dyDescent="0.2">
      <c r="A3" s="1" t="s">
        <v>59</v>
      </c>
      <c r="B3" s="1" t="s">
        <v>481</v>
      </c>
      <c r="C3" s="1"/>
      <c r="D3" s="1"/>
    </row>
    <row r="4" spans="1:4" ht="36" x14ac:dyDescent="0.2">
      <c r="A4" s="2">
        <v>1</v>
      </c>
      <c r="B4" s="3" t="s">
        <v>482</v>
      </c>
      <c r="C4" s="4" t="s">
        <v>249</v>
      </c>
      <c r="D4" s="5">
        <f>'Bâtiment salle de classe et adm'!F8</f>
        <v>0</v>
      </c>
    </row>
    <row r="5" spans="1:4" x14ac:dyDescent="0.2">
      <c r="A5" s="6"/>
      <c r="B5" s="7" t="s">
        <v>481</v>
      </c>
      <c r="C5" s="6"/>
      <c r="D5" s="8">
        <f>SUM(D4)</f>
        <v>0</v>
      </c>
    </row>
    <row r="6" spans="1:4" x14ac:dyDescent="0.2">
      <c r="A6" s="13" t="s">
        <v>59</v>
      </c>
      <c r="B6" s="1" t="s">
        <v>451</v>
      </c>
      <c r="C6" s="1"/>
      <c r="D6" s="14"/>
    </row>
    <row r="7" spans="1:4" x14ac:dyDescent="0.2">
      <c r="A7" s="15">
        <v>1</v>
      </c>
      <c r="B7" s="16" t="str">
        <f>+'Bâtiment salle de classe et adm'!B9</f>
        <v>BATIMENT PEDAGOGIQUE DE 03 SALLES DE CLASSES</v>
      </c>
      <c r="C7" s="16">
        <v>2</v>
      </c>
      <c r="D7" s="17">
        <f>'Bâtiment salle de classe et adm'!F68</f>
        <v>0</v>
      </c>
    </row>
    <row r="8" spans="1:4" x14ac:dyDescent="0.2">
      <c r="A8" s="15">
        <v>2</v>
      </c>
      <c r="B8" s="16" t="str">
        <f>+'Bâtiment salle de classe et adm'!B70</f>
        <v xml:space="preserve">BATIMENT ADMINISTRATIF </v>
      </c>
      <c r="C8" s="16">
        <v>1</v>
      </c>
      <c r="D8" s="17">
        <f>+'Bâtiment salle de classe et adm'!F138</f>
        <v>0</v>
      </c>
    </row>
    <row r="9" spans="1:4" x14ac:dyDescent="0.2">
      <c r="A9" s="15">
        <v>3</v>
      </c>
      <c r="B9" s="16" t="str">
        <f>+'Bâtiment salle de classe et adm'!B140</f>
        <v xml:space="preserve">OUVRAGES DE PROTECTION POUR TOUS LES BATIMENTS </v>
      </c>
      <c r="C9" s="16">
        <v>1</v>
      </c>
      <c r="D9" s="17">
        <f>+'Bâtiment salle de classe et adm'!F147</f>
        <v>0</v>
      </c>
    </row>
    <row r="10" spans="1:4" x14ac:dyDescent="0.2">
      <c r="A10" s="18">
        <v>4</v>
      </c>
      <c r="B10" s="19" t="str">
        <f>+'Bâtiment salle de classe et adm'!B149</f>
        <v>AMENAGEMENT EXTERIEUR</v>
      </c>
      <c r="C10" s="19">
        <v>1</v>
      </c>
      <c r="D10" s="20">
        <f>+'Bâtiment salle de classe et adm'!F154</f>
        <v>0</v>
      </c>
    </row>
    <row r="11" spans="1:4" x14ac:dyDescent="0.2">
      <c r="A11" s="21"/>
      <c r="B11" s="22" t="str">
        <f>+'Bâtiment salle de classe et adm'!B156</f>
        <v>MONTANT TOTAL HT</v>
      </c>
      <c r="C11" s="23"/>
      <c r="D11" s="24">
        <f>SUM(D7:D10)</f>
        <v>0</v>
      </c>
    </row>
    <row r="12" spans="1:4" x14ac:dyDescent="0.2">
      <c r="A12" s="25" t="s">
        <v>73</v>
      </c>
      <c r="B12" s="26" t="s">
        <v>452</v>
      </c>
      <c r="C12" s="26"/>
      <c r="D12" s="27"/>
    </row>
    <row r="13" spans="1:4" x14ac:dyDescent="0.2">
      <c r="A13" s="15">
        <v>1</v>
      </c>
      <c r="B13" s="16" t="str">
        <f>+Sanitaire!B2</f>
        <v>SANITAIRE DE GARCONS</v>
      </c>
      <c r="C13" s="16">
        <v>1</v>
      </c>
      <c r="D13" s="17">
        <f>+Sanitaire!F56</f>
        <v>0</v>
      </c>
    </row>
    <row r="14" spans="1:4" x14ac:dyDescent="0.2">
      <c r="A14" s="15">
        <v>2</v>
      </c>
      <c r="B14" s="16" t="str">
        <f>+Sanitaire!B58</f>
        <v>SANITAIRE DE FILLES</v>
      </c>
      <c r="C14" s="16">
        <v>1</v>
      </c>
      <c r="D14" s="17">
        <f>+Sanitaire!F111</f>
        <v>0</v>
      </c>
    </row>
    <row r="15" spans="1:4" x14ac:dyDescent="0.2">
      <c r="A15" s="15">
        <v>3</v>
      </c>
      <c r="B15" s="16" t="str">
        <f>+Sanitaire!B113</f>
        <v>FOSSE SEPTIQUE ET PUIT PERDANT</v>
      </c>
      <c r="C15" s="16">
        <v>1</v>
      </c>
      <c r="D15" s="17">
        <f>+Sanitaire!F118</f>
        <v>0</v>
      </c>
    </row>
    <row r="16" spans="1:4" x14ac:dyDescent="0.2">
      <c r="A16" s="15">
        <v>4</v>
      </c>
      <c r="B16" s="16" t="str">
        <f>+Sanitaire!B120</f>
        <v xml:space="preserve">TOUR EN BETON AVEC CITERNES </v>
      </c>
      <c r="C16" s="16">
        <v>1</v>
      </c>
      <c r="D16" s="17">
        <f>+Sanitaire!F124</f>
        <v>0</v>
      </c>
    </row>
    <row r="17" spans="1:6" x14ac:dyDescent="0.2">
      <c r="A17" s="21"/>
      <c r="B17" s="6" t="str">
        <f>+B11</f>
        <v>MONTANT TOTAL HT</v>
      </c>
      <c r="C17" s="6"/>
      <c r="D17" s="24">
        <f>SUM(D13:D16)</f>
        <v>0</v>
      </c>
    </row>
    <row r="18" spans="1:6" x14ac:dyDescent="0.2">
      <c r="A18" s="13" t="s">
        <v>304</v>
      </c>
      <c r="B18" s="1" t="s">
        <v>453</v>
      </c>
      <c r="C18" s="1"/>
      <c r="D18" s="14"/>
    </row>
    <row r="19" spans="1:6" x14ac:dyDescent="0.2">
      <c r="A19" s="15">
        <v>1</v>
      </c>
      <c r="B19" s="3" t="str">
        <f>+Forage!A1</f>
        <v xml:space="preserve"> FORAGE  DE 130 METRES                      </v>
      </c>
      <c r="C19" s="16">
        <v>1</v>
      </c>
      <c r="D19" s="17">
        <f>+Forage!F59</f>
        <v>0</v>
      </c>
    </row>
    <row r="20" spans="1:6" x14ac:dyDescent="0.2">
      <c r="A20" s="21"/>
      <c r="B20" s="6" t="str">
        <f>+B17</f>
        <v>MONTANT TOTAL HT</v>
      </c>
      <c r="C20" s="6"/>
      <c r="D20" s="24">
        <f>SUM(D19)</f>
        <v>0</v>
      </c>
    </row>
    <row r="21" spans="1:6" x14ac:dyDescent="0.2">
      <c r="A21" s="13" t="s">
        <v>305</v>
      </c>
      <c r="B21" s="1" t="s">
        <v>454</v>
      </c>
      <c r="C21" s="1"/>
      <c r="D21" s="14"/>
    </row>
    <row r="22" spans="1:6" x14ac:dyDescent="0.2">
      <c r="A22" s="15">
        <v>1</v>
      </c>
      <c r="B22" s="16" t="str">
        <f>+Clôture!B2</f>
        <v>Construction d'une  clôture pour forage de 14 ml</v>
      </c>
      <c r="C22" s="16">
        <v>1</v>
      </c>
      <c r="D22" s="17">
        <f>Clôture!F10</f>
        <v>0</v>
      </c>
    </row>
    <row r="23" spans="1:6" x14ac:dyDescent="0.2">
      <c r="A23" s="21"/>
      <c r="B23" s="6" t="str">
        <f>+B17</f>
        <v>MONTANT TOTAL HT</v>
      </c>
      <c r="C23" s="6"/>
      <c r="D23" s="24">
        <f>SUM(D22)</f>
        <v>0</v>
      </c>
    </row>
    <row r="24" spans="1:6" ht="12.75" thickBot="1" x14ac:dyDescent="0.25">
      <c r="A24" s="28"/>
      <c r="D24" s="29"/>
    </row>
    <row r="25" spans="1:6" ht="12.75" thickBot="1" x14ac:dyDescent="0.25">
      <c r="A25" s="30"/>
      <c r="B25" s="31" t="s">
        <v>455</v>
      </c>
      <c r="C25" s="31"/>
      <c r="D25" s="32">
        <f>+D23+D20+D17+D11+D5</f>
        <v>0</v>
      </c>
      <c r="F25" s="33"/>
    </row>
    <row r="27" spans="1:6" x14ac:dyDescent="0.2">
      <c r="F27" s="33"/>
    </row>
  </sheetData>
  <mergeCells count="1">
    <mergeCell ref="A1:D1"/>
  </mergeCells>
  <pageMargins left="0.7" right="0.7" top="0.75" bottom="0.75" header="0.3" footer="0.3"/>
  <pageSetup paperSize="9" scale="88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7"/>
  <sheetViews>
    <sheetView view="pageBreakPreview" topLeftCell="A142" zoomScale="85" zoomScaleNormal="100" zoomScaleSheetLayoutView="85" workbookViewId="0">
      <selection activeCell="H3" sqref="H3:H4"/>
    </sheetView>
  </sheetViews>
  <sheetFormatPr baseColWidth="10" defaultColWidth="11" defaultRowHeight="12" x14ac:dyDescent="0.2"/>
  <cols>
    <col min="1" max="1" width="11" style="145"/>
    <col min="2" max="2" width="71.42578125" style="145" customWidth="1"/>
    <col min="3" max="3" width="11" style="217"/>
    <col min="4" max="4" width="11" style="217" customWidth="1"/>
    <col min="5" max="5" width="11" style="218" customWidth="1"/>
    <col min="6" max="6" width="12.42578125" style="218" customWidth="1"/>
    <col min="7" max="16384" width="11" style="145"/>
  </cols>
  <sheetData>
    <row r="1" spans="1:6" ht="12.75" thickBot="1" x14ac:dyDescent="0.25"/>
    <row r="2" spans="1:6" ht="27" customHeight="1" x14ac:dyDescent="0.2">
      <c r="A2" s="330" t="s">
        <v>257</v>
      </c>
      <c r="B2" s="331"/>
      <c r="C2" s="331"/>
      <c r="D2" s="331"/>
      <c r="E2" s="331"/>
      <c r="F2" s="332"/>
    </row>
    <row r="3" spans="1:6" x14ac:dyDescent="0.2">
      <c r="A3" s="219"/>
      <c r="B3" s="220"/>
      <c r="C3" s="220"/>
      <c r="D3" s="220"/>
      <c r="E3" s="221"/>
      <c r="F3" s="222"/>
    </row>
    <row r="4" spans="1:6" x14ac:dyDescent="0.2">
      <c r="A4" s="223" t="s">
        <v>0</v>
      </c>
      <c r="B4" s="224" t="s">
        <v>1</v>
      </c>
      <c r="C4" s="224" t="s">
        <v>37</v>
      </c>
      <c r="D4" s="224" t="s">
        <v>79</v>
      </c>
      <c r="E4" s="225" t="s">
        <v>333</v>
      </c>
      <c r="F4" s="226" t="s">
        <v>334</v>
      </c>
    </row>
    <row r="5" spans="1:6" x14ac:dyDescent="0.2">
      <c r="A5" s="227">
        <v>100</v>
      </c>
      <c r="B5" s="39" t="s">
        <v>80</v>
      </c>
      <c r="C5" s="40"/>
      <c r="D5" s="41"/>
      <c r="E5" s="228"/>
      <c r="F5" s="229"/>
    </row>
    <row r="6" spans="1:6" ht="24" x14ac:dyDescent="0.2">
      <c r="A6" s="230" t="s">
        <v>81</v>
      </c>
      <c r="B6" s="144" t="s">
        <v>258</v>
      </c>
      <c r="C6" s="42" t="s">
        <v>27</v>
      </c>
      <c r="D6" s="48">
        <v>1</v>
      </c>
      <c r="E6" s="231"/>
      <c r="F6" s="142">
        <f>E6*D6</f>
        <v>0</v>
      </c>
    </row>
    <row r="7" spans="1:6" x14ac:dyDescent="0.2">
      <c r="A7" s="230" t="s">
        <v>82</v>
      </c>
      <c r="B7" s="43" t="s">
        <v>83</v>
      </c>
      <c r="C7" s="49" t="s">
        <v>17</v>
      </c>
      <c r="D7" s="44">
        <v>5190</v>
      </c>
      <c r="E7" s="169"/>
      <c r="F7" s="142">
        <f>E7*D7</f>
        <v>0</v>
      </c>
    </row>
    <row r="8" spans="1:6" x14ac:dyDescent="0.2">
      <c r="A8" s="232"/>
      <c r="B8" s="233" t="s">
        <v>84</v>
      </c>
      <c r="C8" s="234"/>
      <c r="D8" s="235"/>
      <c r="E8" s="236"/>
      <c r="F8" s="237">
        <f>SUM(F6:F7)</f>
        <v>0</v>
      </c>
    </row>
    <row r="9" spans="1:6" x14ac:dyDescent="0.2">
      <c r="A9" s="227">
        <v>200</v>
      </c>
      <c r="B9" s="39" t="s">
        <v>85</v>
      </c>
      <c r="C9" s="40"/>
      <c r="D9" s="41"/>
      <c r="E9" s="228"/>
      <c r="F9" s="229"/>
    </row>
    <row r="10" spans="1:6" x14ac:dyDescent="0.2">
      <c r="A10" s="238" t="s">
        <v>86</v>
      </c>
      <c r="B10" s="239" t="s">
        <v>87</v>
      </c>
      <c r="C10" s="240"/>
      <c r="D10" s="241"/>
      <c r="E10" s="242"/>
      <c r="F10" s="243"/>
    </row>
    <row r="11" spans="1:6" x14ac:dyDescent="0.2">
      <c r="A11" s="244" t="s">
        <v>88</v>
      </c>
      <c r="B11" s="245" t="s">
        <v>89</v>
      </c>
      <c r="C11" s="42"/>
      <c r="D11" s="48"/>
      <c r="E11" s="231"/>
      <c r="F11" s="142"/>
    </row>
    <row r="12" spans="1:6" x14ac:dyDescent="0.2">
      <c r="A12" s="246" t="s">
        <v>90</v>
      </c>
      <c r="B12" s="144" t="s">
        <v>91</v>
      </c>
      <c r="C12" s="49" t="s">
        <v>92</v>
      </c>
      <c r="D12" s="48">
        <f>(77.2*0.6*0.8)*1.15</f>
        <v>42.614400000000003</v>
      </c>
      <c r="E12" s="231"/>
      <c r="F12" s="142">
        <f t="shared" ref="F12:F26" si="0">E12*D12</f>
        <v>0</v>
      </c>
    </row>
    <row r="13" spans="1:6" x14ac:dyDescent="0.2">
      <c r="A13" s="246" t="s">
        <v>93</v>
      </c>
      <c r="B13" s="144" t="s">
        <v>94</v>
      </c>
      <c r="C13" s="49" t="s">
        <v>92</v>
      </c>
      <c r="D13" s="48">
        <f>77.2*0.6*0.05*1.15</f>
        <v>2.6634000000000002</v>
      </c>
      <c r="E13" s="231"/>
      <c r="F13" s="142">
        <f t="shared" si="0"/>
        <v>0</v>
      </c>
    </row>
    <row r="14" spans="1:6" x14ac:dyDescent="0.2">
      <c r="A14" s="246" t="s">
        <v>95</v>
      </c>
      <c r="B14" s="167" t="s">
        <v>310</v>
      </c>
      <c r="C14" s="247" t="s">
        <v>92</v>
      </c>
      <c r="D14" s="48">
        <f>68.2*0.4*0.8*1.15</f>
        <v>25.0976</v>
      </c>
      <c r="E14" s="231"/>
      <c r="F14" s="142">
        <f t="shared" si="0"/>
        <v>0</v>
      </c>
    </row>
    <row r="15" spans="1:6" x14ac:dyDescent="0.2">
      <c r="A15" s="246" t="s">
        <v>96</v>
      </c>
      <c r="B15" s="144" t="s">
        <v>259</v>
      </c>
      <c r="C15" s="49" t="s">
        <v>92</v>
      </c>
      <c r="D15" s="48">
        <f>(0.4*0.4*1.2)*18</f>
        <v>3.4560000000000004</v>
      </c>
      <c r="E15" s="231"/>
      <c r="F15" s="142">
        <f t="shared" si="0"/>
        <v>0</v>
      </c>
    </row>
    <row r="16" spans="1:6" ht="24" x14ac:dyDescent="0.2">
      <c r="A16" s="246" t="s">
        <v>97</v>
      </c>
      <c r="B16" s="144" t="s">
        <v>462</v>
      </c>
      <c r="C16" s="49" t="s">
        <v>92</v>
      </c>
      <c r="D16" s="48">
        <f>68.2*0.4*0.07*1.15</f>
        <v>2.19604</v>
      </c>
      <c r="E16" s="231"/>
      <c r="F16" s="142">
        <f t="shared" si="0"/>
        <v>0</v>
      </c>
    </row>
    <row r="17" spans="1:6" ht="24" x14ac:dyDescent="0.2">
      <c r="A17" s="246" t="s">
        <v>98</v>
      </c>
      <c r="B17" s="144" t="s">
        <v>260</v>
      </c>
      <c r="C17" s="49" t="s">
        <v>92</v>
      </c>
      <c r="D17" s="48">
        <f>170*0.4*1.15</f>
        <v>78.199999999999989</v>
      </c>
      <c r="E17" s="231"/>
      <c r="F17" s="142">
        <f t="shared" si="0"/>
        <v>0</v>
      </c>
    </row>
    <row r="18" spans="1:6" x14ac:dyDescent="0.2">
      <c r="A18" s="246" t="s">
        <v>99</v>
      </c>
      <c r="B18" s="144" t="s">
        <v>261</v>
      </c>
      <c r="C18" s="49" t="s">
        <v>17</v>
      </c>
      <c r="D18" s="48">
        <f>(24.6*7.3)*1.15</f>
        <v>206.517</v>
      </c>
      <c r="E18" s="231"/>
      <c r="F18" s="142">
        <f t="shared" si="0"/>
        <v>0</v>
      </c>
    </row>
    <row r="19" spans="1:6" x14ac:dyDescent="0.2">
      <c r="A19" s="246" t="s">
        <v>100</v>
      </c>
      <c r="B19" s="144" t="s">
        <v>262</v>
      </c>
      <c r="C19" s="49" t="s">
        <v>92</v>
      </c>
      <c r="D19" s="48">
        <f>170*0.07*1.15</f>
        <v>13.684999999999999</v>
      </c>
      <c r="E19" s="231"/>
      <c r="F19" s="142">
        <f t="shared" si="0"/>
        <v>0</v>
      </c>
    </row>
    <row r="20" spans="1:6" x14ac:dyDescent="0.2">
      <c r="A20" s="248"/>
      <c r="B20" s="233" t="s">
        <v>101</v>
      </c>
      <c r="C20" s="234"/>
      <c r="D20" s="235"/>
      <c r="E20" s="236"/>
      <c r="F20" s="237">
        <f>SUM(F12:F19)</f>
        <v>0</v>
      </c>
    </row>
    <row r="21" spans="1:6" x14ac:dyDescent="0.2">
      <c r="A21" s="249" t="s">
        <v>102</v>
      </c>
      <c r="B21" s="250" t="s">
        <v>103</v>
      </c>
      <c r="C21" s="251"/>
      <c r="D21" s="252"/>
      <c r="E21" s="253"/>
      <c r="F21" s="142">
        <f t="shared" si="0"/>
        <v>0</v>
      </c>
    </row>
    <row r="22" spans="1:6" x14ac:dyDescent="0.2">
      <c r="A22" s="246" t="s">
        <v>104</v>
      </c>
      <c r="B22" s="144" t="s">
        <v>105</v>
      </c>
      <c r="C22" s="49" t="s">
        <v>92</v>
      </c>
      <c r="D22" s="48">
        <f>((78.4*0.15*3)-6.7)*1.15</f>
        <v>32.866999999999997</v>
      </c>
      <c r="E22" s="231"/>
      <c r="F22" s="142">
        <f t="shared" si="0"/>
        <v>0</v>
      </c>
    </row>
    <row r="23" spans="1:6" x14ac:dyDescent="0.2">
      <c r="A23" s="246" t="s">
        <v>106</v>
      </c>
      <c r="B23" s="144" t="s">
        <v>107</v>
      </c>
      <c r="C23" s="49" t="s">
        <v>92</v>
      </c>
      <c r="D23" s="48">
        <f>(0.15*0.15*3)*18*1.15</f>
        <v>1.3972499999999999</v>
      </c>
      <c r="E23" s="231"/>
      <c r="F23" s="142">
        <f t="shared" si="0"/>
        <v>0</v>
      </c>
    </row>
    <row r="24" spans="1:6" x14ac:dyDescent="0.2">
      <c r="A24" s="246" t="s">
        <v>108</v>
      </c>
      <c r="B24" s="144" t="s">
        <v>263</v>
      </c>
      <c r="C24" s="49" t="s">
        <v>92</v>
      </c>
      <c r="D24" s="48">
        <f>78.4*0.15*0.1</f>
        <v>1.1759999999999999</v>
      </c>
      <c r="E24" s="231"/>
      <c r="F24" s="142">
        <f t="shared" si="0"/>
        <v>0</v>
      </c>
    </row>
    <row r="25" spans="1:6" x14ac:dyDescent="0.2">
      <c r="A25" s="246" t="s">
        <v>109</v>
      </c>
      <c r="B25" s="144" t="s">
        <v>110</v>
      </c>
      <c r="C25" s="49" t="s">
        <v>92</v>
      </c>
      <c r="D25" s="48">
        <f>68.2*0.15*0.15</f>
        <v>1.5345</v>
      </c>
      <c r="E25" s="231"/>
      <c r="F25" s="142">
        <f t="shared" si="0"/>
        <v>0</v>
      </c>
    </row>
    <row r="26" spans="1:6" x14ac:dyDescent="0.2">
      <c r="A26" s="246" t="s">
        <v>111</v>
      </c>
      <c r="B26" s="144" t="s">
        <v>264</v>
      </c>
      <c r="C26" s="49" t="s">
        <v>92</v>
      </c>
      <c r="D26" s="48">
        <f>(0.15*0.08*1.3)*30.3*1.15</f>
        <v>0.54358200000000001</v>
      </c>
      <c r="E26" s="231"/>
      <c r="F26" s="142">
        <f t="shared" si="0"/>
        <v>0</v>
      </c>
    </row>
    <row r="27" spans="1:6" x14ac:dyDescent="0.2">
      <c r="A27" s="232"/>
      <c r="B27" s="233" t="s">
        <v>112</v>
      </c>
      <c r="C27" s="234"/>
      <c r="D27" s="235"/>
      <c r="E27" s="236"/>
      <c r="F27" s="237">
        <f>SUM(F21:F26)</f>
        <v>0</v>
      </c>
    </row>
    <row r="28" spans="1:6" x14ac:dyDescent="0.2">
      <c r="A28" s="244" t="s">
        <v>113</v>
      </c>
      <c r="B28" s="245" t="s">
        <v>114</v>
      </c>
      <c r="C28" s="42"/>
      <c r="D28" s="48"/>
      <c r="E28" s="231"/>
      <c r="F28" s="142"/>
    </row>
    <row r="29" spans="1:6" ht="24" x14ac:dyDescent="0.2">
      <c r="A29" s="246" t="s">
        <v>115</v>
      </c>
      <c r="B29" s="144" t="s">
        <v>265</v>
      </c>
      <c r="C29" s="49" t="s">
        <v>17</v>
      </c>
      <c r="D29" s="48">
        <f>(10.97*25.4)</f>
        <v>278.63799999999998</v>
      </c>
      <c r="E29" s="231"/>
      <c r="F29" s="142">
        <f t="shared" ref="F29:F35" si="1">E29*D29</f>
        <v>0</v>
      </c>
    </row>
    <row r="30" spans="1:6" ht="24" x14ac:dyDescent="0.2">
      <c r="A30" s="246" t="s">
        <v>116</v>
      </c>
      <c r="B30" s="144" t="s">
        <v>266</v>
      </c>
      <c r="C30" s="49" t="s">
        <v>92</v>
      </c>
      <c r="D30" s="48">
        <f>(36.5*0.05*0.1)*13*1.15</f>
        <v>2.7283750000000002</v>
      </c>
      <c r="E30" s="231"/>
      <c r="F30" s="142">
        <f t="shared" si="1"/>
        <v>0</v>
      </c>
    </row>
    <row r="31" spans="1:6" x14ac:dyDescent="0.2">
      <c r="A31" s="246" t="s">
        <v>117</v>
      </c>
      <c r="B31" s="144" t="s">
        <v>118</v>
      </c>
      <c r="C31" s="49" t="s">
        <v>92</v>
      </c>
      <c r="D31" s="48">
        <f>(26*0.05*0.05)*16*1.15</f>
        <v>1.196</v>
      </c>
      <c r="E31" s="231"/>
      <c r="F31" s="142">
        <f t="shared" si="1"/>
        <v>0</v>
      </c>
    </row>
    <row r="32" spans="1:6" x14ac:dyDescent="0.2">
      <c r="A32" s="246" t="s">
        <v>119</v>
      </c>
      <c r="B32" s="144" t="s">
        <v>267</v>
      </c>
      <c r="C32" s="49" t="s">
        <v>17</v>
      </c>
      <c r="D32" s="48">
        <f>(26*12)*1.15</f>
        <v>358.79999999999995</v>
      </c>
      <c r="E32" s="231"/>
      <c r="F32" s="142">
        <f t="shared" si="1"/>
        <v>0</v>
      </c>
    </row>
    <row r="33" spans="1:6" x14ac:dyDescent="0.2">
      <c r="A33" s="246" t="s">
        <v>120</v>
      </c>
      <c r="B33" s="144" t="s">
        <v>121</v>
      </c>
      <c r="C33" s="49" t="s">
        <v>122</v>
      </c>
      <c r="D33" s="48">
        <f>(26*2)+(12*2)*1.15</f>
        <v>79.599999999999994</v>
      </c>
      <c r="E33" s="231"/>
      <c r="F33" s="142">
        <f t="shared" si="1"/>
        <v>0</v>
      </c>
    </row>
    <row r="34" spans="1:6" x14ac:dyDescent="0.2">
      <c r="A34" s="230" t="s">
        <v>123</v>
      </c>
      <c r="B34" s="144" t="s">
        <v>268</v>
      </c>
      <c r="C34" s="42" t="s">
        <v>122</v>
      </c>
      <c r="D34" s="48">
        <f>26*1.05</f>
        <v>27.3</v>
      </c>
      <c r="E34" s="231"/>
      <c r="F34" s="142">
        <f t="shared" si="1"/>
        <v>0</v>
      </c>
    </row>
    <row r="35" spans="1:6" x14ac:dyDescent="0.2">
      <c r="A35" s="230" t="s">
        <v>191</v>
      </c>
      <c r="B35" s="144" t="s">
        <v>288</v>
      </c>
      <c r="C35" s="42" t="s">
        <v>27</v>
      </c>
      <c r="D35" s="48">
        <v>1</v>
      </c>
      <c r="E35" s="231"/>
      <c r="F35" s="142">
        <f t="shared" si="1"/>
        <v>0</v>
      </c>
    </row>
    <row r="36" spans="1:6" x14ac:dyDescent="0.2">
      <c r="A36" s="232"/>
      <c r="B36" s="233" t="s">
        <v>124</v>
      </c>
      <c r="C36" s="234"/>
      <c r="D36" s="235"/>
      <c r="E36" s="236"/>
      <c r="F36" s="237">
        <f>SUM(F29:F35)</f>
        <v>0</v>
      </c>
    </row>
    <row r="37" spans="1:6" x14ac:dyDescent="0.2">
      <c r="A37" s="238" t="s">
        <v>125</v>
      </c>
      <c r="B37" s="239" t="s">
        <v>126</v>
      </c>
      <c r="C37" s="240"/>
      <c r="D37" s="241"/>
      <c r="E37" s="242"/>
      <c r="F37" s="243"/>
    </row>
    <row r="38" spans="1:6" x14ac:dyDescent="0.2">
      <c r="A38" s="244" t="s">
        <v>127</v>
      </c>
      <c r="B38" s="254" t="s">
        <v>24</v>
      </c>
      <c r="C38" s="42"/>
      <c r="D38" s="48"/>
      <c r="E38" s="231"/>
      <c r="F38" s="142">
        <f t="shared" ref="F38:F42" si="2">E38*D38</f>
        <v>0</v>
      </c>
    </row>
    <row r="39" spans="1:6" ht="24" x14ac:dyDescent="0.2">
      <c r="A39" s="255" t="s">
        <v>128</v>
      </c>
      <c r="B39" s="144" t="s">
        <v>269</v>
      </c>
      <c r="C39" s="256" t="s">
        <v>26</v>
      </c>
      <c r="D39" s="257">
        <v>3</v>
      </c>
      <c r="E39" s="258"/>
      <c r="F39" s="142">
        <f t="shared" si="2"/>
        <v>0</v>
      </c>
    </row>
    <row r="40" spans="1:6" ht="24" x14ac:dyDescent="0.2">
      <c r="A40" s="255" t="s">
        <v>129</v>
      </c>
      <c r="B40" s="144" t="s">
        <v>270</v>
      </c>
      <c r="C40" s="256" t="s">
        <v>26</v>
      </c>
      <c r="D40" s="257">
        <v>21</v>
      </c>
      <c r="E40" s="258"/>
      <c r="F40" s="142">
        <f t="shared" si="2"/>
        <v>0</v>
      </c>
    </row>
    <row r="41" spans="1:6" ht="24" x14ac:dyDescent="0.2">
      <c r="A41" s="255" t="s">
        <v>130</v>
      </c>
      <c r="B41" s="144" t="s">
        <v>131</v>
      </c>
      <c r="C41" s="256" t="s">
        <v>26</v>
      </c>
      <c r="D41" s="257">
        <v>21</v>
      </c>
      <c r="E41" s="258"/>
      <c r="F41" s="142">
        <f t="shared" si="2"/>
        <v>0</v>
      </c>
    </row>
    <row r="42" spans="1:6" ht="24" x14ac:dyDescent="0.2">
      <c r="A42" s="255" t="s">
        <v>132</v>
      </c>
      <c r="B42" s="144" t="s">
        <v>133</v>
      </c>
      <c r="C42" s="256" t="s">
        <v>26</v>
      </c>
      <c r="D42" s="257">
        <v>24</v>
      </c>
      <c r="E42" s="258"/>
      <c r="F42" s="142">
        <f t="shared" si="2"/>
        <v>0</v>
      </c>
    </row>
    <row r="43" spans="1:6" x14ac:dyDescent="0.2">
      <c r="A43" s="232"/>
      <c r="B43" s="233" t="s">
        <v>134</v>
      </c>
      <c r="C43" s="234"/>
      <c r="D43" s="235"/>
      <c r="E43" s="236"/>
      <c r="F43" s="237">
        <f>SUM(F38:F42)</f>
        <v>0</v>
      </c>
    </row>
    <row r="44" spans="1:6" x14ac:dyDescent="0.2">
      <c r="A44" s="238" t="s">
        <v>135</v>
      </c>
      <c r="B44" s="239" t="s">
        <v>136</v>
      </c>
      <c r="C44" s="240"/>
      <c r="D44" s="241"/>
      <c r="E44" s="242"/>
      <c r="F44" s="243"/>
    </row>
    <row r="45" spans="1:6" x14ac:dyDescent="0.2">
      <c r="A45" s="230" t="s">
        <v>137</v>
      </c>
      <c r="B45" s="144" t="s">
        <v>271</v>
      </c>
      <c r="C45" s="42" t="s">
        <v>17</v>
      </c>
      <c r="D45" s="48">
        <f>+D18</f>
        <v>206.517</v>
      </c>
      <c r="E45" s="259"/>
      <c r="F45" s="142">
        <f t="shared" ref="F45:F49" si="3">E45*D45</f>
        <v>0</v>
      </c>
    </row>
    <row r="46" spans="1:6" x14ac:dyDescent="0.2">
      <c r="A46" s="230" t="s">
        <v>138</v>
      </c>
      <c r="B46" s="144" t="s">
        <v>139</v>
      </c>
      <c r="C46" s="42" t="s">
        <v>17</v>
      </c>
      <c r="D46" s="48">
        <f>(77.2*3)-40*1.15</f>
        <v>185.60000000000002</v>
      </c>
      <c r="E46" s="259"/>
      <c r="F46" s="142">
        <f t="shared" si="3"/>
        <v>0</v>
      </c>
    </row>
    <row r="47" spans="1:6" x14ac:dyDescent="0.2">
      <c r="A47" s="230" t="s">
        <v>140</v>
      </c>
      <c r="B47" s="144" t="s">
        <v>141</v>
      </c>
      <c r="C47" s="42" t="s">
        <v>17</v>
      </c>
      <c r="D47" s="48">
        <f>(1.4*5)*3</f>
        <v>21</v>
      </c>
      <c r="E47" s="260"/>
      <c r="F47" s="142">
        <f t="shared" si="3"/>
        <v>0</v>
      </c>
    </row>
    <row r="48" spans="1:6" x14ac:dyDescent="0.2">
      <c r="A48" s="230" t="s">
        <v>142</v>
      </c>
      <c r="B48" s="144" t="s">
        <v>272</v>
      </c>
      <c r="C48" s="42" t="s">
        <v>17</v>
      </c>
      <c r="D48" s="48">
        <f>((66*3)/2)*1.1</f>
        <v>108.9</v>
      </c>
      <c r="E48" s="260"/>
      <c r="F48" s="142">
        <f t="shared" si="3"/>
        <v>0</v>
      </c>
    </row>
    <row r="49" spans="1:6" x14ac:dyDescent="0.2">
      <c r="A49" s="230" t="s">
        <v>143</v>
      </c>
      <c r="B49" s="144" t="s">
        <v>273</v>
      </c>
      <c r="C49" s="42" t="s">
        <v>17</v>
      </c>
      <c r="D49" s="48">
        <f>((66*3)/1.5)*1.1</f>
        <v>145.20000000000002</v>
      </c>
      <c r="E49" s="260"/>
      <c r="F49" s="142">
        <f t="shared" si="3"/>
        <v>0</v>
      </c>
    </row>
    <row r="50" spans="1:6" x14ac:dyDescent="0.2">
      <c r="A50" s="232"/>
      <c r="B50" s="261" t="s">
        <v>274</v>
      </c>
      <c r="C50" s="234"/>
      <c r="D50" s="235"/>
      <c r="E50" s="236"/>
      <c r="F50" s="237">
        <f>SUM(F45:F49)</f>
        <v>0</v>
      </c>
    </row>
    <row r="51" spans="1:6" x14ac:dyDescent="0.2">
      <c r="A51" s="238" t="s">
        <v>144</v>
      </c>
      <c r="B51" s="262" t="s">
        <v>145</v>
      </c>
      <c r="C51" s="240"/>
      <c r="D51" s="241"/>
      <c r="E51" s="242"/>
      <c r="F51" s="243"/>
    </row>
    <row r="52" spans="1:6" x14ac:dyDescent="0.2">
      <c r="A52" s="230" t="s">
        <v>146</v>
      </c>
      <c r="B52" s="144" t="s">
        <v>147</v>
      </c>
      <c r="C52" s="42" t="s">
        <v>17</v>
      </c>
      <c r="D52" s="48">
        <f>D49+D46</f>
        <v>330.80000000000007</v>
      </c>
      <c r="E52" s="231"/>
      <c r="F52" s="142">
        <f t="shared" ref="F52:F57" si="4">E52*D52</f>
        <v>0</v>
      </c>
    </row>
    <row r="53" spans="1:6" x14ac:dyDescent="0.2">
      <c r="A53" s="230" t="s">
        <v>148</v>
      </c>
      <c r="B53" s="144" t="s">
        <v>275</v>
      </c>
      <c r="C53" s="42" t="s">
        <v>17</v>
      </c>
      <c r="D53" s="48">
        <f>+D29</f>
        <v>278.63799999999998</v>
      </c>
      <c r="E53" s="231"/>
      <c r="F53" s="142">
        <f t="shared" si="4"/>
        <v>0</v>
      </c>
    </row>
    <row r="54" spans="1:6" x14ac:dyDescent="0.2">
      <c r="A54" s="230" t="s">
        <v>149</v>
      </c>
      <c r="B54" s="144" t="s">
        <v>150</v>
      </c>
      <c r="C54" s="42" t="s">
        <v>17</v>
      </c>
      <c r="D54" s="48">
        <f>+D46</f>
        <v>185.60000000000002</v>
      </c>
      <c r="E54" s="231"/>
      <c r="F54" s="142">
        <f t="shared" si="4"/>
        <v>0</v>
      </c>
    </row>
    <row r="55" spans="1:6" x14ac:dyDescent="0.2">
      <c r="A55" s="230" t="s">
        <v>151</v>
      </c>
      <c r="B55" s="144" t="s">
        <v>276</v>
      </c>
      <c r="C55" s="42" t="s">
        <v>17</v>
      </c>
      <c r="D55" s="48">
        <f>+D49</f>
        <v>145.20000000000002</v>
      </c>
      <c r="E55" s="231"/>
      <c r="F55" s="142">
        <f t="shared" si="4"/>
        <v>0</v>
      </c>
    </row>
    <row r="56" spans="1:6" x14ac:dyDescent="0.2">
      <c r="A56" s="230" t="s">
        <v>152</v>
      </c>
      <c r="B56" s="144" t="s">
        <v>277</v>
      </c>
      <c r="C56" s="42" t="s">
        <v>17</v>
      </c>
      <c r="D56" s="48">
        <v>50.4</v>
      </c>
      <c r="E56" s="231"/>
      <c r="F56" s="142">
        <f t="shared" si="4"/>
        <v>0</v>
      </c>
    </row>
    <row r="57" spans="1:6" x14ac:dyDescent="0.2">
      <c r="A57" s="230" t="s">
        <v>153</v>
      </c>
      <c r="B57" s="144" t="s">
        <v>154</v>
      </c>
      <c r="C57" s="42" t="s">
        <v>17</v>
      </c>
      <c r="D57" s="48">
        <f>+D47</f>
        <v>21</v>
      </c>
      <c r="E57" s="231"/>
      <c r="F57" s="142">
        <f t="shared" si="4"/>
        <v>0</v>
      </c>
    </row>
    <row r="58" spans="1:6" x14ac:dyDescent="0.2">
      <c r="A58" s="232"/>
      <c r="B58" s="233" t="s">
        <v>155</v>
      </c>
      <c r="C58" s="234"/>
      <c r="D58" s="235"/>
      <c r="E58" s="236"/>
      <c r="F58" s="237">
        <f>SUM(F52:F57)</f>
        <v>0</v>
      </c>
    </row>
    <row r="59" spans="1:6" x14ac:dyDescent="0.2">
      <c r="A59" s="238" t="s">
        <v>144</v>
      </c>
      <c r="B59" s="263" t="s">
        <v>224</v>
      </c>
      <c r="C59" s="264"/>
      <c r="D59" s="265"/>
      <c r="E59" s="266"/>
      <c r="F59" s="267"/>
    </row>
    <row r="60" spans="1:6" x14ac:dyDescent="0.2">
      <c r="A60" s="186" t="s">
        <v>146</v>
      </c>
      <c r="B60" s="187" t="s">
        <v>443</v>
      </c>
      <c r="C60" s="268"/>
      <c r="D60" s="268"/>
      <c r="E60" s="269"/>
      <c r="F60" s="269"/>
    </row>
    <row r="61" spans="1:6" x14ac:dyDescent="0.2">
      <c r="A61" s="270" t="s">
        <v>446</v>
      </c>
      <c r="B61" s="167" t="s">
        <v>438</v>
      </c>
      <c r="C61" s="268" t="s">
        <v>122</v>
      </c>
      <c r="D61" s="268">
        <v>50</v>
      </c>
      <c r="E61" s="269"/>
      <c r="F61" s="269">
        <f t="shared" ref="F61:F64" si="5">D61*E61</f>
        <v>0</v>
      </c>
    </row>
    <row r="62" spans="1:6" x14ac:dyDescent="0.2">
      <c r="A62" s="270" t="s">
        <v>447</v>
      </c>
      <c r="B62" s="167" t="s">
        <v>439</v>
      </c>
      <c r="C62" s="268" t="s">
        <v>122</v>
      </c>
      <c r="D62" s="268">
        <v>100</v>
      </c>
      <c r="E62" s="269"/>
      <c r="F62" s="269">
        <f t="shared" si="5"/>
        <v>0</v>
      </c>
    </row>
    <row r="63" spans="1:6" x14ac:dyDescent="0.2">
      <c r="A63" s="270" t="s">
        <v>448</v>
      </c>
      <c r="B63" s="167" t="s">
        <v>440</v>
      </c>
      <c r="C63" s="268" t="s">
        <v>122</v>
      </c>
      <c r="D63" s="268">
        <v>150</v>
      </c>
      <c r="E63" s="269"/>
      <c r="F63" s="269">
        <f t="shared" si="5"/>
        <v>0</v>
      </c>
    </row>
    <row r="64" spans="1:6" x14ac:dyDescent="0.2">
      <c r="A64" s="270" t="s">
        <v>449</v>
      </c>
      <c r="B64" s="167" t="s">
        <v>441</v>
      </c>
      <c r="C64" s="268" t="s">
        <v>442</v>
      </c>
      <c r="D64" s="268">
        <v>1</v>
      </c>
      <c r="E64" s="269"/>
      <c r="F64" s="269">
        <f t="shared" si="5"/>
        <v>0</v>
      </c>
    </row>
    <row r="65" spans="1:6" ht="14.45" customHeight="1" x14ac:dyDescent="0.2">
      <c r="A65" s="232"/>
      <c r="B65" s="233" t="s">
        <v>450</v>
      </c>
      <c r="C65" s="234"/>
      <c r="D65" s="235"/>
      <c r="E65" s="236"/>
      <c r="F65" s="237">
        <f>SUM(F61:F64)</f>
        <v>0</v>
      </c>
    </row>
    <row r="66" spans="1:6" x14ac:dyDescent="0.2">
      <c r="A66" s="271"/>
      <c r="B66" s="187" t="s">
        <v>229</v>
      </c>
      <c r="C66" s="2"/>
      <c r="D66" s="272"/>
      <c r="E66" s="273"/>
      <c r="F66" s="274">
        <f>F65</f>
        <v>0</v>
      </c>
    </row>
    <row r="67" spans="1:6" x14ac:dyDescent="0.2">
      <c r="A67" s="275"/>
      <c r="B67" s="276" t="s">
        <v>156</v>
      </c>
      <c r="C67" s="277"/>
      <c r="D67" s="278"/>
      <c r="E67" s="279"/>
      <c r="F67" s="280">
        <f>F20+F27+F36+F43+F50+F58+F66</f>
        <v>0</v>
      </c>
    </row>
    <row r="68" spans="1:6" x14ac:dyDescent="0.2">
      <c r="A68" s="275"/>
      <c r="B68" s="276" t="s">
        <v>157</v>
      </c>
      <c r="C68" s="277"/>
      <c r="D68" s="281"/>
      <c r="E68" s="282"/>
      <c r="F68" s="283">
        <f>+F67*2</f>
        <v>0</v>
      </c>
    </row>
    <row r="69" spans="1:6" x14ac:dyDescent="0.2">
      <c r="A69" s="284"/>
      <c r="B69" s="285"/>
      <c r="C69" s="285"/>
      <c r="D69" s="286"/>
      <c r="E69" s="287"/>
      <c r="F69" s="288"/>
    </row>
    <row r="70" spans="1:6" x14ac:dyDescent="0.2">
      <c r="A70" s="227">
        <v>300</v>
      </c>
      <c r="B70" s="39" t="s">
        <v>158</v>
      </c>
      <c r="C70" s="40"/>
      <c r="D70" s="41"/>
      <c r="E70" s="228"/>
      <c r="F70" s="229"/>
    </row>
    <row r="71" spans="1:6" x14ac:dyDescent="0.2">
      <c r="A71" s="238" t="s">
        <v>159</v>
      </c>
      <c r="B71" s="239" t="s">
        <v>87</v>
      </c>
      <c r="C71" s="240"/>
      <c r="D71" s="241"/>
      <c r="E71" s="242"/>
      <c r="F71" s="243"/>
    </row>
    <row r="72" spans="1:6" x14ac:dyDescent="0.2">
      <c r="A72" s="244" t="s">
        <v>160</v>
      </c>
      <c r="B72" s="245" t="s">
        <v>161</v>
      </c>
      <c r="C72" s="42"/>
      <c r="D72" s="48"/>
      <c r="E72" s="231"/>
      <c r="F72" s="142"/>
    </row>
    <row r="73" spans="1:6" x14ac:dyDescent="0.2">
      <c r="A73" s="230" t="s">
        <v>162</v>
      </c>
      <c r="B73" s="144" t="s">
        <v>91</v>
      </c>
      <c r="C73" s="42" t="s">
        <v>92</v>
      </c>
      <c r="D73" s="48">
        <f>(71.55*0.6*0.8)*1.15</f>
        <v>39.495599999999996</v>
      </c>
      <c r="E73" s="231"/>
      <c r="F73" s="142">
        <f t="shared" ref="F73:F80" si="6">E73*D73</f>
        <v>0</v>
      </c>
    </row>
    <row r="74" spans="1:6" x14ac:dyDescent="0.2">
      <c r="A74" s="230" t="s">
        <v>163</v>
      </c>
      <c r="B74" s="144" t="s">
        <v>94</v>
      </c>
      <c r="C74" s="42" t="s">
        <v>92</v>
      </c>
      <c r="D74" s="48">
        <f>71.55*0.6*0.05</f>
        <v>2.1465000000000001</v>
      </c>
      <c r="E74" s="231"/>
      <c r="F74" s="142">
        <f t="shared" si="6"/>
        <v>0</v>
      </c>
    </row>
    <row r="75" spans="1:6" x14ac:dyDescent="0.2">
      <c r="A75" s="230" t="s">
        <v>164</v>
      </c>
      <c r="B75" s="144" t="s">
        <v>165</v>
      </c>
      <c r="C75" s="42" t="s">
        <v>92</v>
      </c>
      <c r="D75" s="48">
        <f>71.5*0.4*1.2</f>
        <v>34.32</v>
      </c>
      <c r="E75" s="231"/>
      <c r="F75" s="142">
        <f t="shared" si="6"/>
        <v>0</v>
      </c>
    </row>
    <row r="76" spans="1:6" x14ac:dyDescent="0.2">
      <c r="A76" s="230" t="s">
        <v>166</v>
      </c>
      <c r="B76" s="144" t="s">
        <v>278</v>
      </c>
      <c r="C76" s="42" t="s">
        <v>92</v>
      </c>
      <c r="D76" s="48">
        <f>((0.4*0.4*1.2)*9)*1.1</f>
        <v>1.9008000000000003</v>
      </c>
      <c r="E76" s="231"/>
      <c r="F76" s="142">
        <f t="shared" si="6"/>
        <v>0</v>
      </c>
    </row>
    <row r="77" spans="1:6" ht="24" x14ac:dyDescent="0.2">
      <c r="A77" s="230" t="s">
        <v>167</v>
      </c>
      <c r="B77" s="144" t="s">
        <v>279</v>
      </c>
      <c r="C77" s="42" t="s">
        <v>92</v>
      </c>
      <c r="D77" s="48">
        <f>71.55*0.4*0.07</f>
        <v>2.0034000000000001</v>
      </c>
      <c r="E77" s="231"/>
      <c r="F77" s="142">
        <f t="shared" si="6"/>
        <v>0</v>
      </c>
    </row>
    <row r="78" spans="1:6" ht="24" x14ac:dyDescent="0.2">
      <c r="A78" s="230" t="s">
        <v>168</v>
      </c>
      <c r="B78" s="144" t="s">
        <v>260</v>
      </c>
      <c r="C78" s="256" t="s">
        <v>92</v>
      </c>
      <c r="D78" s="48">
        <f>11*8.3*0.4*1.1</f>
        <v>40.172000000000004</v>
      </c>
      <c r="E78" s="231"/>
      <c r="F78" s="142">
        <f t="shared" si="6"/>
        <v>0</v>
      </c>
    </row>
    <row r="79" spans="1:6" x14ac:dyDescent="0.2">
      <c r="A79" s="230" t="s">
        <v>169</v>
      </c>
      <c r="B79" s="144" t="s">
        <v>261</v>
      </c>
      <c r="C79" s="42" t="s">
        <v>17</v>
      </c>
      <c r="D79" s="48">
        <f>11*8.3*1.05</f>
        <v>95.865000000000009</v>
      </c>
      <c r="E79" s="231"/>
      <c r="F79" s="142">
        <f t="shared" si="6"/>
        <v>0</v>
      </c>
    </row>
    <row r="80" spans="1:6" x14ac:dyDescent="0.2">
      <c r="A80" s="230" t="s">
        <v>170</v>
      </c>
      <c r="B80" s="144" t="s">
        <v>280</v>
      </c>
      <c r="C80" s="42" t="s">
        <v>92</v>
      </c>
      <c r="D80" s="48">
        <f>11*8.3*0.07*1.05</f>
        <v>6.7105500000000022</v>
      </c>
      <c r="E80" s="231"/>
      <c r="F80" s="142">
        <f t="shared" si="6"/>
        <v>0</v>
      </c>
    </row>
    <row r="81" spans="1:6" x14ac:dyDescent="0.2">
      <c r="A81" s="232"/>
      <c r="B81" s="261" t="s">
        <v>171</v>
      </c>
      <c r="C81" s="234"/>
      <c r="D81" s="235"/>
      <c r="E81" s="236"/>
      <c r="F81" s="237">
        <f>SUM(F73:F80)</f>
        <v>0</v>
      </c>
    </row>
    <row r="82" spans="1:6" x14ac:dyDescent="0.2">
      <c r="A82" s="244" t="s">
        <v>172</v>
      </c>
      <c r="B82" s="254" t="s">
        <v>173</v>
      </c>
      <c r="C82" s="42"/>
      <c r="D82" s="48"/>
      <c r="E82" s="231"/>
      <c r="F82" s="142"/>
    </row>
    <row r="83" spans="1:6" x14ac:dyDescent="0.2">
      <c r="A83" s="230" t="s">
        <v>174</v>
      </c>
      <c r="B83" s="144" t="s">
        <v>105</v>
      </c>
      <c r="C83" s="42" t="s">
        <v>92</v>
      </c>
      <c r="D83" s="48">
        <f>(68*0.15*3)*1.15</f>
        <v>35.19</v>
      </c>
      <c r="E83" s="231"/>
      <c r="F83" s="142">
        <f t="shared" ref="F83:F87" si="7">E83*D83</f>
        <v>0</v>
      </c>
    </row>
    <row r="84" spans="1:6" x14ac:dyDescent="0.2">
      <c r="A84" s="230" t="s">
        <v>175</v>
      </c>
      <c r="B84" s="144" t="s">
        <v>281</v>
      </c>
      <c r="C84" s="42" t="s">
        <v>92</v>
      </c>
      <c r="D84" s="48">
        <f>(0.15*0.15*3)*9*1.05</f>
        <v>0.63787500000000008</v>
      </c>
      <c r="E84" s="231"/>
      <c r="F84" s="142">
        <f t="shared" si="7"/>
        <v>0</v>
      </c>
    </row>
    <row r="85" spans="1:6" x14ac:dyDescent="0.2">
      <c r="A85" s="230" t="s">
        <v>176</v>
      </c>
      <c r="B85" s="144" t="s">
        <v>282</v>
      </c>
      <c r="C85" s="42" t="s">
        <v>92</v>
      </c>
      <c r="D85" s="48">
        <f>71.5*0.15*0.1*1.15</f>
        <v>1.2333749999999999</v>
      </c>
      <c r="E85" s="231"/>
      <c r="F85" s="142">
        <f t="shared" si="7"/>
        <v>0</v>
      </c>
    </row>
    <row r="86" spans="1:6" x14ac:dyDescent="0.2">
      <c r="A86" s="230" t="s">
        <v>177</v>
      </c>
      <c r="B86" s="144" t="s">
        <v>178</v>
      </c>
      <c r="C86" s="42" t="s">
        <v>92</v>
      </c>
      <c r="D86" s="48">
        <f>35.75*0.15*0.15*1.25</f>
        <v>1.0054687499999999</v>
      </c>
      <c r="E86" s="231"/>
      <c r="F86" s="142">
        <f t="shared" si="7"/>
        <v>0</v>
      </c>
    </row>
    <row r="87" spans="1:6" x14ac:dyDescent="0.2">
      <c r="A87" s="230" t="s">
        <v>179</v>
      </c>
      <c r="B87" s="144" t="s">
        <v>283</v>
      </c>
      <c r="C87" s="42" t="s">
        <v>92</v>
      </c>
      <c r="D87" s="48">
        <f>(0.15*0.08*1.3)*10*1.1</f>
        <v>0.1716</v>
      </c>
      <c r="E87" s="231"/>
      <c r="F87" s="142">
        <f t="shared" si="7"/>
        <v>0</v>
      </c>
    </row>
    <row r="88" spans="1:6" x14ac:dyDescent="0.2">
      <c r="A88" s="232"/>
      <c r="B88" s="233" t="s">
        <v>180</v>
      </c>
      <c r="C88" s="234"/>
      <c r="D88" s="235"/>
      <c r="E88" s="236"/>
      <c r="F88" s="237">
        <f>SUM(F83:F87)</f>
        <v>0</v>
      </c>
    </row>
    <row r="89" spans="1:6" x14ac:dyDescent="0.2">
      <c r="A89" s="244" t="s">
        <v>181</v>
      </c>
      <c r="B89" s="245" t="s">
        <v>182</v>
      </c>
      <c r="C89" s="42"/>
      <c r="D89" s="48"/>
      <c r="E89" s="231"/>
      <c r="F89" s="142"/>
    </row>
    <row r="90" spans="1:6" ht="24" x14ac:dyDescent="0.2">
      <c r="A90" s="230" t="s">
        <v>183</v>
      </c>
      <c r="B90" s="144" t="s">
        <v>284</v>
      </c>
      <c r="C90" s="42" t="s">
        <v>92</v>
      </c>
      <c r="D90" s="48">
        <f>(39.5*0.05*0.1)*4*1.15</f>
        <v>0.90849999999999997</v>
      </c>
      <c r="E90" s="231"/>
      <c r="F90" s="142">
        <f t="shared" ref="F90:F96" si="8">E90*D90</f>
        <v>0</v>
      </c>
    </row>
    <row r="91" spans="1:6" x14ac:dyDescent="0.2">
      <c r="A91" s="230" t="s">
        <v>184</v>
      </c>
      <c r="B91" s="144" t="s">
        <v>185</v>
      </c>
      <c r="C91" s="42" t="s">
        <v>92</v>
      </c>
      <c r="D91" s="48">
        <f>(14*0.05*0.05)*16*1.25</f>
        <v>0.70000000000000007</v>
      </c>
      <c r="E91" s="231"/>
      <c r="F91" s="142">
        <f t="shared" si="8"/>
        <v>0</v>
      </c>
    </row>
    <row r="92" spans="1:6" x14ac:dyDescent="0.2">
      <c r="A92" s="230" t="s">
        <v>186</v>
      </c>
      <c r="B92" s="144" t="s">
        <v>285</v>
      </c>
      <c r="C92" s="42" t="s">
        <v>17</v>
      </c>
      <c r="D92" s="48">
        <f>(14*11.3)*1.1</f>
        <v>174.02000000000004</v>
      </c>
      <c r="E92" s="231"/>
      <c r="F92" s="142">
        <f t="shared" si="8"/>
        <v>0</v>
      </c>
    </row>
    <row r="93" spans="1:6" x14ac:dyDescent="0.2">
      <c r="A93" s="230" t="s">
        <v>187</v>
      </c>
      <c r="B93" s="144" t="s">
        <v>286</v>
      </c>
      <c r="C93" s="42" t="s">
        <v>122</v>
      </c>
      <c r="D93" s="48">
        <f>(26*2)+(12*2)*1.15</f>
        <v>79.599999999999994</v>
      </c>
      <c r="E93" s="231"/>
      <c r="F93" s="142">
        <f>E93*D93</f>
        <v>0</v>
      </c>
    </row>
    <row r="94" spans="1:6" x14ac:dyDescent="0.2">
      <c r="A94" s="230" t="s">
        <v>188</v>
      </c>
      <c r="B94" s="144" t="s">
        <v>189</v>
      </c>
      <c r="C94" s="42" t="s">
        <v>122</v>
      </c>
      <c r="D94" s="48">
        <f>(14*2)+(13*2)</f>
        <v>54</v>
      </c>
      <c r="E94" s="231"/>
      <c r="F94" s="142">
        <f t="shared" si="8"/>
        <v>0</v>
      </c>
    </row>
    <row r="95" spans="1:6" ht="24" x14ac:dyDescent="0.2">
      <c r="A95" s="230" t="s">
        <v>190</v>
      </c>
      <c r="B95" s="144" t="s">
        <v>287</v>
      </c>
      <c r="C95" s="42" t="s">
        <v>17</v>
      </c>
      <c r="D95" s="48">
        <f>(11.3*14)*1.1</f>
        <v>174.02000000000004</v>
      </c>
      <c r="E95" s="231"/>
      <c r="F95" s="142">
        <f t="shared" si="8"/>
        <v>0</v>
      </c>
    </row>
    <row r="96" spans="1:6" x14ac:dyDescent="0.2">
      <c r="A96" s="230" t="s">
        <v>191</v>
      </c>
      <c r="B96" s="144" t="s">
        <v>288</v>
      </c>
      <c r="C96" s="42" t="s">
        <v>27</v>
      </c>
      <c r="D96" s="48">
        <v>1</v>
      </c>
      <c r="E96" s="231"/>
      <c r="F96" s="142">
        <f t="shared" si="8"/>
        <v>0</v>
      </c>
    </row>
    <row r="97" spans="1:6" x14ac:dyDescent="0.2">
      <c r="A97" s="232"/>
      <c r="B97" s="233" t="s">
        <v>192</v>
      </c>
      <c r="C97" s="234"/>
      <c r="D97" s="235"/>
      <c r="E97" s="236"/>
      <c r="F97" s="237">
        <f>SUM(F90:F96)</f>
        <v>0</v>
      </c>
    </row>
    <row r="98" spans="1:6" x14ac:dyDescent="0.2">
      <c r="A98" s="238" t="s">
        <v>193</v>
      </c>
      <c r="B98" s="239" t="s">
        <v>194</v>
      </c>
      <c r="C98" s="240"/>
      <c r="D98" s="241"/>
      <c r="E98" s="242"/>
      <c r="F98" s="243"/>
    </row>
    <row r="99" spans="1:6" x14ac:dyDescent="0.2">
      <c r="A99" s="244" t="s">
        <v>195</v>
      </c>
      <c r="B99" s="245" t="s">
        <v>196</v>
      </c>
      <c r="C99" s="42"/>
      <c r="D99" s="48"/>
      <c r="E99" s="231"/>
      <c r="F99" s="142"/>
    </row>
    <row r="100" spans="1:6" ht="24" x14ac:dyDescent="0.2">
      <c r="A100" s="255" t="s">
        <v>197</v>
      </c>
      <c r="B100" s="144" t="s">
        <v>289</v>
      </c>
      <c r="C100" s="256" t="s">
        <v>26</v>
      </c>
      <c r="D100" s="257">
        <v>1</v>
      </c>
      <c r="E100" s="231"/>
      <c r="F100" s="142">
        <f t="shared" ref="F100:F105" si="9">E100*D100</f>
        <v>0</v>
      </c>
    </row>
    <row r="101" spans="1:6" ht="24" x14ac:dyDescent="0.2">
      <c r="A101" s="255" t="s">
        <v>198</v>
      </c>
      <c r="B101" s="144" t="s">
        <v>290</v>
      </c>
      <c r="C101" s="256" t="s">
        <v>26</v>
      </c>
      <c r="D101" s="257">
        <v>5</v>
      </c>
      <c r="E101" s="231"/>
      <c r="F101" s="142">
        <f t="shared" si="9"/>
        <v>0</v>
      </c>
    </row>
    <row r="102" spans="1:6" ht="24" x14ac:dyDescent="0.2">
      <c r="A102" s="255" t="s">
        <v>199</v>
      </c>
      <c r="B102" s="144" t="s">
        <v>200</v>
      </c>
      <c r="C102" s="256" t="s">
        <v>26</v>
      </c>
      <c r="D102" s="257">
        <v>5</v>
      </c>
      <c r="E102" s="231"/>
      <c r="F102" s="142">
        <f t="shared" si="9"/>
        <v>0</v>
      </c>
    </row>
    <row r="103" spans="1:6" x14ac:dyDescent="0.2">
      <c r="A103" s="255" t="s">
        <v>201</v>
      </c>
      <c r="B103" s="144" t="s">
        <v>202</v>
      </c>
      <c r="C103" s="256" t="s">
        <v>26</v>
      </c>
      <c r="D103" s="257">
        <v>5</v>
      </c>
      <c r="E103" s="231"/>
      <c r="F103" s="142">
        <f t="shared" si="9"/>
        <v>0</v>
      </c>
    </row>
    <row r="104" spans="1:6" x14ac:dyDescent="0.2">
      <c r="A104" s="255" t="s">
        <v>203</v>
      </c>
      <c r="B104" s="144" t="s">
        <v>204</v>
      </c>
      <c r="C104" s="256" t="s">
        <v>26</v>
      </c>
      <c r="D104" s="257">
        <v>2</v>
      </c>
      <c r="E104" s="231"/>
      <c r="F104" s="142">
        <f t="shared" si="9"/>
        <v>0</v>
      </c>
    </row>
    <row r="105" spans="1:6" x14ac:dyDescent="0.2">
      <c r="A105" s="255" t="s">
        <v>205</v>
      </c>
      <c r="B105" s="144" t="s">
        <v>291</v>
      </c>
      <c r="C105" s="256" t="s">
        <v>206</v>
      </c>
      <c r="D105" s="257">
        <v>3</v>
      </c>
      <c r="E105" s="231"/>
      <c r="F105" s="142">
        <f t="shared" si="9"/>
        <v>0</v>
      </c>
    </row>
    <row r="106" spans="1:6" x14ac:dyDescent="0.2">
      <c r="A106" s="232"/>
      <c r="B106" s="261" t="s">
        <v>207</v>
      </c>
      <c r="C106" s="234"/>
      <c r="D106" s="235"/>
      <c r="E106" s="236"/>
      <c r="F106" s="237">
        <f>SUM(F100:F105)</f>
        <v>0</v>
      </c>
    </row>
    <row r="107" spans="1:6" x14ac:dyDescent="0.2">
      <c r="A107" s="244" t="s">
        <v>208</v>
      </c>
      <c r="B107" s="254" t="s">
        <v>292</v>
      </c>
      <c r="C107" s="42"/>
      <c r="D107" s="48"/>
      <c r="E107" s="231"/>
      <c r="F107" s="142"/>
    </row>
    <row r="108" spans="1:6" x14ac:dyDescent="0.2">
      <c r="A108" s="270" t="s">
        <v>209</v>
      </c>
      <c r="B108" s="289" t="s">
        <v>210</v>
      </c>
      <c r="C108" s="168" t="s">
        <v>17</v>
      </c>
      <c r="D108" s="44">
        <f>((11*8.3)- (3.25*2.05))*1.1</f>
        <v>93.101250000000022</v>
      </c>
      <c r="E108" s="259"/>
      <c r="F108" s="142">
        <f t="shared" ref="F108:F113" si="10">E108*D108</f>
        <v>0</v>
      </c>
    </row>
    <row r="109" spans="1:6" x14ac:dyDescent="0.2">
      <c r="A109" s="270" t="s">
        <v>211</v>
      </c>
      <c r="B109" s="289" t="s">
        <v>293</v>
      </c>
      <c r="C109" s="168" t="s">
        <v>17</v>
      </c>
      <c r="D109" s="44">
        <f>26.5*1.15</f>
        <v>30.474999999999998</v>
      </c>
      <c r="E109" s="259"/>
      <c r="F109" s="142">
        <f t="shared" si="10"/>
        <v>0</v>
      </c>
    </row>
    <row r="110" spans="1:6" x14ac:dyDescent="0.2">
      <c r="A110" s="270" t="s">
        <v>212</v>
      </c>
      <c r="B110" s="144" t="s">
        <v>271</v>
      </c>
      <c r="C110" s="42" t="s">
        <v>17</v>
      </c>
      <c r="D110" s="44">
        <f>((11*8.3)- (3.25*2.05))*1.1</f>
        <v>93.101250000000022</v>
      </c>
      <c r="E110" s="259"/>
      <c r="F110" s="142">
        <f t="shared" si="10"/>
        <v>0</v>
      </c>
    </row>
    <row r="111" spans="1:6" x14ac:dyDescent="0.2">
      <c r="A111" s="270" t="s">
        <v>213</v>
      </c>
      <c r="B111" s="144" t="s">
        <v>139</v>
      </c>
      <c r="C111" s="42" t="s">
        <v>17</v>
      </c>
      <c r="D111" s="257">
        <f>+((D83/0.15)-10)*1.12</f>
        <v>251.55200000000002</v>
      </c>
      <c r="E111" s="260"/>
      <c r="F111" s="142">
        <f t="shared" si="10"/>
        <v>0</v>
      </c>
    </row>
    <row r="112" spans="1:6" x14ac:dyDescent="0.2">
      <c r="A112" s="270" t="s">
        <v>214</v>
      </c>
      <c r="B112" s="144" t="s">
        <v>272</v>
      </c>
      <c r="C112" s="42" t="s">
        <v>17</v>
      </c>
      <c r="D112" s="48">
        <f>((42*3)/2)*1.05</f>
        <v>66.150000000000006</v>
      </c>
      <c r="E112" s="260"/>
      <c r="F112" s="142">
        <f t="shared" si="10"/>
        <v>0</v>
      </c>
    </row>
    <row r="113" spans="1:6" x14ac:dyDescent="0.2">
      <c r="A113" s="270" t="s">
        <v>215</v>
      </c>
      <c r="B113" s="144" t="s">
        <v>273</v>
      </c>
      <c r="C113" s="42" t="s">
        <v>17</v>
      </c>
      <c r="D113" s="48">
        <f>((42*3)/1.5-10)*1.05</f>
        <v>77.7</v>
      </c>
      <c r="E113" s="260"/>
      <c r="F113" s="142">
        <f t="shared" si="10"/>
        <v>0</v>
      </c>
    </row>
    <row r="114" spans="1:6" x14ac:dyDescent="0.2">
      <c r="A114" s="232"/>
      <c r="B114" s="261" t="s">
        <v>294</v>
      </c>
      <c r="C114" s="234"/>
      <c r="D114" s="235"/>
      <c r="E114" s="236"/>
      <c r="F114" s="237">
        <f>SUM(F108:F113)</f>
        <v>0</v>
      </c>
    </row>
    <row r="115" spans="1:6" x14ac:dyDescent="0.2">
      <c r="A115" s="244" t="s">
        <v>216</v>
      </c>
      <c r="B115" s="254" t="s">
        <v>145</v>
      </c>
      <c r="C115" s="42"/>
      <c r="D115" s="48"/>
      <c r="E115" s="231"/>
      <c r="F115" s="142"/>
    </row>
    <row r="116" spans="1:6" x14ac:dyDescent="0.2">
      <c r="A116" s="230" t="s">
        <v>217</v>
      </c>
      <c r="B116" s="144" t="s">
        <v>147</v>
      </c>
      <c r="C116" s="42" t="s">
        <v>17</v>
      </c>
      <c r="D116" s="257">
        <f>+D95+D111+D113</f>
        <v>503.27200000000005</v>
      </c>
      <c r="E116" s="231"/>
      <c r="F116" s="142">
        <f t="shared" ref="F116:F120" si="11">E116*D116</f>
        <v>0</v>
      </c>
    </row>
    <row r="117" spans="1:6" x14ac:dyDescent="0.2">
      <c r="A117" s="230" t="s">
        <v>218</v>
      </c>
      <c r="B117" s="144" t="s">
        <v>275</v>
      </c>
      <c r="C117" s="42" t="s">
        <v>17</v>
      </c>
      <c r="D117" s="48">
        <f>+D95</f>
        <v>174.02000000000004</v>
      </c>
      <c r="E117" s="231"/>
      <c r="F117" s="142">
        <f t="shared" si="11"/>
        <v>0</v>
      </c>
    </row>
    <row r="118" spans="1:6" x14ac:dyDescent="0.2">
      <c r="A118" s="230" t="s">
        <v>219</v>
      </c>
      <c r="B118" s="144" t="s">
        <v>150</v>
      </c>
      <c r="C118" s="42" t="s">
        <v>17</v>
      </c>
      <c r="D118" s="257">
        <f>+D111</f>
        <v>251.55200000000002</v>
      </c>
      <c r="E118" s="231"/>
      <c r="F118" s="142">
        <f t="shared" si="11"/>
        <v>0</v>
      </c>
    </row>
    <row r="119" spans="1:6" x14ac:dyDescent="0.2">
      <c r="A119" s="230" t="s">
        <v>220</v>
      </c>
      <c r="B119" s="144" t="s">
        <v>295</v>
      </c>
      <c r="C119" s="42" t="s">
        <v>17</v>
      </c>
      <c r="D119" s="257">
        <f>+D113</f>
        <v>77.7</v>
      </c>
      <c r="E119" s="231"/>
      <c r="F119" s="142">
        <f t="shared" si="11"/>
        <v>0</v>
      </c>
    </row>
    <row r="120" spans="1:6" x14ac:dyDescent="0.2">
      <c r="A120" s="230" t="s">
        <v>221</v>
      </c>
      <c r="B120" s="144" t="s">
        <v>277</v>
      </c>
      <c r="C120" s="42" t="s">
        <v>17</v>
      </c>
      <c r="D120" s="48">
        <f>31*1.05</f>
        <v>32.550000000000004</v>
      </c>
      <c r="E120" s="231"/>
      <c r="F120" s="142">
        <f t="shared" si="11"/>
        <v>0</v>
      </c>
    </row>
    <row r="121" spans="1:6" x14ac:dyDescent="0.2">
      <c r="A121" s="232"/>
      <c r="B121" s="233" t="s">
        <v>222</v>
      </c>
      <c r="C121" s="234"/>
      <c r="D121" s="235"/>
      <c r="E121" s="235"/>
      <c r="F121" s="237">
        <f>SUM(F116:F120)</f>
        <v>0</v>
      </c>
    </row>
    <row r="122" spans="1:6" x14ac:dyDescent="0.2">
      <c r="A122" s="290" t="s">
        <v>223</v>
      </c>
      <c r="B122" s="263" t="s">
        <v>224</v>
      </c>
      <c r="C122" s="264"/>
      <c r="D122" s="265"/>
      <c r="E122" s="266"/>
      <c r="F122" s="267"/>
    </row>
    <row r="123" spans="1:6" x14ac:dyDescent="0.2">
      <c r="A123" s="186" t="s">
        <v>225</v>
      </c>
      <c r="B123" s="187" t="s">
        <v>443</v>
      </c>
      <c r="C123" s="268"/>
      <c r="D123" s="268"/>
      <c r="E123" s="269"/>
      <c r="F123" s="269"/>
    </row>
    <row r="124" spans="1:6" x14ac:dyDescent="0.2">
      <c r="A124" s="291" t="s">
        <v>226</v>
      </c>
      <c r="B124" s="167" t="s">
        <v>438</v>
      </c>
      <c r="C124" s="268" t="s">
        <v>122</v>
      </c>
      <c r="D124" s="268">
        <v>50</v>
      </c>
      <c r="E124" s="269"/>
      <c r="F124" s="269">
        <f t="shared" ref="F124:F127" si="12">D124*E124</f>
        <v>0</v>
      </c>
    </row>
    <row r="125" spans="1:6" x14ac:dyDescent="0.2">
      <c r="A125" s="291" t="s">
        <v>227</v>
      </c>
      <c r="B125" s="167" t="s">
        <v>439</v>
      </c>
      <c r="C125" s="268" t="s">
        <v>122</v>
      </c>
      <c r="D125" s="268">
        <v>100</v>
      </c>
      <c r="E125" s="269"/>
      <c r="F125" s="269">
        <f t="shared" si="12"/>
        <v>0</v>
      </c>
    </row>
    <row r="126" spans="1:6" x14ac:dyDescent="0.2">
      <c r="A126" s="291" t="s">
        <v>228</v>
      </c>
      <c r="B126" s="167" t="s">
        <v>440</v>
      </c>
      <c r="C126" s="268" t="s">
        <v>122</v>
      </c>
      <c r="D126" s="268">
        <v>150</v>
      </c>
      <c r="E126" s="269"/>
      <c r="F126" s="269">
        <f t="shared" si="12"/>
        <v>0</v>
      </c>
    </row>
    <row r="127" spans="1:6" x14ac:dyDescent="0.2">
      <c r="A127" s="291" t="s">
        <v>444</v>
      </c>
      <c r="B127" s="167" t="s">
        <v>441</v>
      </c>
      <c r="C127" s="268" t="s">
        <v>442</v>
      </c>
      <c r="D127" s="268">
        <v>1</v>
      </c>
      <c r="E127" s="269"/>
      <c r="F127" s="269">
        <f t="shared" si="12"/>
        <v>0</v>
      </c>
    </row>
    <row r="128" spans="1:6" ht="14.45" customHeight="1" x14ac:dyDescent="0.2">
      <c r="A128" s="232"/>
      <c r="B128" s="233" t="s">
        <v>445</v>
      </c>
      <c r="C128" s="234"/>
      <c r="D128" s="235"/>
      <c r="E128" s="236"/>
      <c r="F128" s="237">
        <f>SUM(F124:F127)</f>
        <v>0</v>
      </c>
    </row>
    <row r="129" spans="1:6" x14ac:dyDescent="0.2">
      <c r="A129" s="271"/>
      <c r="B129" s="187" t="s">
        <v>229</v>
      </c>
      <c r="C129" s="2"/>
      <c r="D129" s="272"/>
      <c r="E129" s="273"/>
      <c r="F129" s="274">
        <f>F128</f>
        <v>0</v>
      </c>
    </row>
    <row r="130" spans="1:6" x14ac:dyDescent="0.2">
      <c r="A130" s="186" t="s">
        <v>230</v>
      </c>
      <c r="B130" s="187" t="s">
        <v>231</v>
      </c>
      <c r="C130" s="168"/>
      <c r="D130" s="44"/>
      <c r="E130" s="169"/>
      <c r="F130" s="188"/>
    </row>
    <row r="131" spans="1:6" x14ac:dyDescent="0.2">
      <c r="A131" s="270" t="s">
        <v>232</v>
      </c>
      <c r="B131" s="167" t="s">
        <v>296</v>
      </c>
      <c r="C131" s="168" t="s">
        <v>206</v>
      </c>
      <c r="D131" s="44">
        <v>2</v>
      </c>
      <c r="E131" s="259"/>
      <c r="F131" s="188">
        <f t="shared" ref="F131:F135" si="13">E131*D131</f>
        <v>0</v>
      </c>
    </row>
    <row r="132" spans="1:6" ht="14.45" customHeight="1" x14ac:dyDescent="0.2">
      <c r="A132" s="270" t="s">
        <v>233</v>
      </c>
      <c r="B132" s="167" t="s">
        <v>297</v>
      </c>
      <c r="C132" s="168" t="s">
        <v>206</v>
      </c>
      <c r="D132" s="44">
        <v>1</v>
      </c>
      <c r="E132" s="259"/>
      <c r="F132" s="188">
        <f t="shared" si="13"/>
        <v>0</v>
      </c>
    </row>
    <row r="133" spans="1:6" x14ac:dyDescent="0.2">
      <c r="A133" s="270" t="s">
        <v>234</v>
      </c>
      <c r="B133" s="167" t="s">
        <v>298</v>
      </c>
      <c r="C133" s="168" t="s">
        <v>206</v>
      </c>
      <c r="D133" s="44">
        <v>3</v>
      </c>
      <c r="E133" s="259"/>
      <c r="F133" s="188">
        <f t="shared" si="13"/>
        <v>0</v>
      </c>
    </row>
    <row r="134" spans="1:6" ht="24" x14ac:dyDescent="0.2">
      <c r="A134" s="270" t="s">
        <v>235</v>
      </c>
      <c r="B134" s="167" t="s">
        <v>236</v>
      </c>
      <c r="C134" s="168" t="s">
        <v>122</v>
      </c>
      <c r="D134" s="44">
        <v>6</v>
      </c>
      <c r="E134" s="259"/>
      <c r="F134" s="188">
        <f t="shared" si="13"/>
        <v>0</v>
      </c>
    </row>
    <row r="135" spans="1:6" x14ac:dyDescent="0.2">
      <c r="A135" s="270" t="s">
        <v>237</v>
      </c>
      <c r="B135" s="167" t="s">
        <v>299</v>
      </c>
      <c r="C135" s="168" t="s">
        <v>122</v>
      </c>
      <c r="D135" s="44">
        <v>12</v>
      </c>
      <c r="E135" s="259"/>
      <c r="F135" s="188">
        <f t="shared" si="13"/>
        <v>0</v>
      </c>
    </row>
    <row r="136" spans="1:6" x14ac:dyDescent="0.2">
      <c r="A136" s="232"/>
      <c r="B136" s="261" t="s">
        <v>238</v>
      </c>
      <c r="C136" s="234"/>
      <c r="D136" s="235"/>
      <c r="E136" s="236"/>
      <c r="F136" s="237">
        <f>SUM(F131:F135)</f>
        <v>0</v>
      </c>
    </row>
    <row r="137" spans="1:6" x14ac:dyDescent="0.2">
      <c r="A137" s="321"/>
      <c r="B137" s="322"/>
      <c r="C137" s="322"/>
      <c r="D137" s="322"/>
      <c r="E137" s="322"/>
      <c r="F137" s="323"/>
    </row>
    <row r="138" spans="1:6" x14ac:dyDescent="0.2">
      <c r="A138" s="292"/>
      <c r="B138" s="293" t="s">
        <v>239</v>
      </c>
      <c r="C138" s="294"/>
      <c r="D138" s="295"/>
      <c r="E138" s="296"/>
      <c r="F138" s="297">
        <f>+F136+F129+F121+F114+F106+F97+F88+F81</f>
        <v>0</v>
      </c>
    </row>
    <row r="139" spans="1:6" x14ac:dyDescent="0.2">
      <c r="A139" s="324"/>
      <c r="B139" s="325"/>
      <c r="C139" s="325"/>
      <c r="D139" s="325"/>
      <c r="E139" s="325"/>
      <c r="F139" s="326"/>
    </row>
    <row r="140" spans="1:6" x14ac:dyDescent="0.2">
      <c r="A140" s="227">
        <v>500</v>
      </c>
      <c r="B140" s="39" t="s">
        <v>240</v>
      </c>
      <c r="C140" s="40"/>
      <c r="D140" s="41"/>
      <c r="E140" s="228"/>
      <c r="F140" s="229"/>
    </row>
    <row r="141" spans="1:6" x14ac:dyDescent="0.2">
      <c r="A141" s="238" t="s">
        <v>241</v>
      </c>
      <c r="B141" s="239" t="s">
        <v>311</v>
      </c>
      <c r="C141" s="240"/>
      <c r="D141" s="241"/>
      <c r="E141" s="242"/>
      <c r="F141" s="243"/>
    </row>
    <row r="142" spans="1:6" ht="24" x14ac:dyDescent="0.2">
      <c r="A142" s="298" t="s">
        <v>242</v>
      </c>
      <c r="B142" s="144" t="s">
        <v>330</v>
      </c>
      <c r="C142" s="42" t="s">
        <v>92</v>
      </c>
      <c r="D142" s="44">
        <v>13.32</v>
      </c>
      <c r="E142" s="259"/>
      <c r="F142" s="188">
        <f>E142*D142</f>
        <v>0</v>
      </c>
    </row>
    <row r="143" spans="1:6" x14ac:dyDescent="0.2">
      <c r="A143" s="298" t="s">
        <v>243</v>
      </c>
      <c r="B143" s="144" t="s">
        <v>331</v>
      </c>
      <c r="C143" s="42" t="s">
        <v>92</v>
      </c>
      <c r="D143" s="44">
        <v>2.5</v>
      </c>
      <c r="E143" s="259"/>
      <c r="F143" s="188">
        <f t="shared" ref="F143:F146" si="14">E143*D143</f>
        <v>0</v>
      </c>
    </row>
    <row r="144" spans="1:6" x14ac:dyDescent="0.2">
      <c r="A144" s="298" t="s">
        <v>244</v>
      </c>
      <c r="B144" s="144" t="s">
        <v>300</v>
      </c>
      <c r="C144" s="42" t="s">
        <v>92</v>
      </c>
      <c r="D144" s="44">
        <v>60</v>
      </c>
      <c r="E144" s="259"/>
      <c r="F144" s="188">
        <f t="shared" si="14"/>
        <v>0</v>
      </c>
    </row>
    <row r="145" spans="1:6" x14ac:dyDescent="0.2">
      <c r="A145" s="298" t="s">
        <v>245</v>
      </c>
      <c r="B145" s="144" t="s">
        <v>332</v>
      </c>
      <c r="C145" s="42" t="s">
        <v>92</v>
      </c>
      <c r="D145" s="44">
        <f>39*0.15*0.15*1.2</f>
        <v>1.0529999999999999</v>
      </c>
      <c r="E145" s="259"/>
      <c r="F145" s="188">
        <f t="shared" si="14"/>
        <v>0</v>
      </c>
    </row>
    <row r="146" spans="1:6" x14ac:dyDescent="0.2">
      <c r="A146" s="298" t="s">
        <v>246</v>
      </c>
      <c r="B146" s="144" t="s">
        <v>461</v>
      </c>
      <c r="C146" s="42" t="s">
        <v>27</v>
      </c>
      <c r="D146" s="44">
        <v>1</v>
      </c>
      <c r="E146" s="259"/>
      <c r="F146" s="188">
        <f t="shared" si="14"/>
        <v>0</v>
      </c>
    </row>
    <row r="147" spans="1:6" x14ac:dyDescent="0.2">
      <c r="A147" s="299"/>
      <c r="B147" s="300" t="s">
        <v>301</v>
      </c>
      <c r="C147" s="301"/>
      <c r="D147" s="302"/>
      <c r="E147" s="303"/>
      <c r="F147" s="304">
        <f>SUM(F142:F146)</f>
        <v>0</v>
      </c>
    </row>
    <row r="148" spans="1:6" x14ac:dyDescent="0.2">
      <c r="A148" s="327"/>
      <c r="B148" s="328"/>
      <c r="C148" s="328"/>
      <c r="D148" s="328"/>
      <c r="E148" s="328"/>
      <c r="F148" s="329"/>
    </row>
    <row r="149" spans="1:6" x14ac:dyDescent="0.2">
      <c r="A149" s="227">
        <v>600</v>
      </c>
      <c r="B149" s="305" t="s">
        <v>247</v>
      </c>
      <c r="C149" s="40"/>
      <c r="D149" s="41"/>
      <c r="E149" s="228"/>
      <c r="F149" s="229"/>
    </row>
    <row r="150" spans="1:6" ht="24" x14ac:dyDescent="0.2">
      <c r="A150" s="298" t="s">
        <v>248</v>
      </c>
      <c r="B150" s="144" t="s">
        <v>302</v>
      </c>
      <c r="C150" s="306" t="s">
        <v>249</v>
      </c>
      <c r="D150" s="48">
        <v>1</v>
      </c>
      <c r="E150" s="259"/>
      <c r="F150" s="142">
        <f t="shared" ref="F150:F153" si="15">E150*D150</f>
        <v>0</v>
      </c>
    </row>
    <row r="151" spans="1:6" ht="24" x14ac:dyDescent="0.2">
      <c r="A151" s="298" t="s">
        <v>250</v>
      </c>
      <c r="B151" s="144" t="s">
        <v>303</v>
      </c>
      <c r="C151" s="306" t="s">
        <v>249</v>
      </c>
      <c r="D151" s="48">
        <v>1</v>
      </c>
      <c r="E151" s="259"/>
      <c r="F151" s="142">
        <f t="shared" si="15"/>
        <v>0</v>
      </c>
    </row>
    <row r="152" spans="1:6" x14ac:dyDescent="0.2">
      <c r="A152" s="298" t="s">
        <v>251</v>
      </c>
      <c r="B152" s="144" t="s">
        <v>252</v>
      </c>
      <c r="C152" s="42" t="s">
        <v>122</v>
      </c>
      <c r="D152" s="48">
        <v>160</v>
      </c>
      <c r="E152" s="259"/>
      <c r="F152" s="142">
        <f t="shared" si="15"/>
        <v>0</v>
      </c>
    </row>
    <row r="153" spans="1:6" x14ac:dyDescent="0.2">
      <c r="A153" s="298" t="s">
        <v>253</v>
      </c>
      <c r="B153" s="144" t="s">
        <v>254</v>
      </c>
      <c r="C153" s="42" t="s">
        <v>27</v>
      </c>
      <c r="D153" s="48">
        <v>1</v>
      </c>
      <c r="E153" s="259"/>
      <c r="F153" s="142">
        <f t="shared" si="15"/>
        <v>0</v>
      </c>
    </row>
    <row r="154" spans="1:6" x14ac:dyDescent="0.2">
      <c r="A154" s="292"/>
      <c r="B154" s="307" t="s">
        <v>255</v>
      </c>
      <c r="C154" s="294"/>
      <c r="D154" s="295"/>
      <c r="E154" s="296"/>
      <c r="F154" s="297">
        <f>SUM(F150:F153)</f>
        <v>0</v>
      </c>
    </row>
    <row r="155" spans="1:6" x14ac:dyDescent="0.2">
      <c r="A155" s="321"/>
      <c r="B155" s="322"/>
      <c r="C155" s="322"/>
      <c r="D155" s="322"/>
      <c r="E155" s="322"/>
      <c r="F155" s="323"/>
    </row>
    <row r="156" spans="1:6" x14ac:dyDescent="0.2">
      <c r="A156" s="308"/>
      <c r="B156" s="309" t="s">
        <v>256</v>
      </c>
      <c r="C156" s="310"/>
      <c r="D156" s="310"/>
      <c r="E156" s="311"/>
      <c r="F156" s="312">
        <f>F154+F147+F138+F68</f>
        <v>0</v>
      </c>
    </row>
    <row r="157" spans="1:6" ht="12.75" thickBot="1" x14ac:dyDescent="0.25">
      <c r="A157" s="313"/>
      <c r="B157" s="314"/>
      <c r="C157" s="315"/>
      <c r="D157" s="315"/>
      <c r="E157" s="316"/>
      <c r="F157" s="317"/>
    </row>
  </sheetData>
  <mergeCells count="5">
    <mergeCell ref="A155:F155"/>
    <mergeCell ref="A139:F139"/>
    <mergeCell ref="A137:F137"/>
    <mergeCell ref="A148:F148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7"/>
  <sheetViews>
    <sheetView view="pageBreakPreview" topLeftCell="A19" zoomScale="90" zoomScaleNormal="100" zoomScaleSheetLayoutView="90" workbookViewId="0">
      <selection activeCell="H3" sqref="H3:H4"/>
    </sheetView>
  </sheetViews>
  <sheetFormatPr baseColWidth="10" defaultColWidth="10.85546875" defaultRowHeight="12" x14ac:dyDescent="0.2"/>
  <cols>
    <col min="1" max="1" width="6.85546875" style="9" customWidth="1"/>
    <col min="2" max="2" width="49.42578125" style="9" customWidth="1"/>
    <col min="3" max="3" width="8.140625" style="9" customWidth="1"/>
    <col min="4" max="4" width="8.5703125" style="9" customWidth="1"/>
    <col min="5" max="5" width="10.85546875" style="9" customWidth="1"/>
    <col min="6" max="6" width="10.85546875" style="216" customWidth="1"/>
    <col min="7" max="16384" width="10.85546875" style="9"/>
  </cols>
  <sheetData>
    <row r="1" spans="1:7" ht="18.600000000000001" customHeight="1" thickBot="1" x14ac:dyDescent="0.25">
      <c r="A1" s="343" t="s">
        <v>38</v>
      </c>
      <c r="B1" s="344"/>
      <c r="C1" s="344"/>
      <c r="D1" s="344"/>
      <c r="E1" s="344"/>
      <c r="F1" s="345"/>
    </row>
    <row r="2" spans="1:7" x14ac:dyDescent="0.2">
      <c r="A2" s="128" t="s">
        <v>59</v>
      </c>
      <c r="B2" s="340" t="s">
        <v>39</v>
      </c>
      <c r="C2" s="341"/>
      <c r="D2" s="341"/>
      <c r="E2" s="341"/>
      <c r="F2" s="342"/>
    </row>
    <row r="3" spans="1:7" x14ac:dyDescent="0.2">
      <c r="A3" s="129" t="s">
        <v>0</v>
      </c>
      <c r="B3" s="130" t="s">
        <v>1</v>
      </c>
      <c r="C3" s="130" t="s">
        <v>37</v>
      </c>
      <c r="D3" s="36" t="s">
        <v>79</v>
      </c>
      <c r="E3" s="36" t="s">
        <v>333</v>
      </c>
      <c r="F3" s="131" t="s">
        <v>334</v>
      </c>
    </row>
    <row r="4" spans="1:7" x14ac:dyDescent="0.2">
      <c r="A4" s="132">
        <v>1</v>
      </c>
      <c r="B4" s="133" t="s">
        <v>4</v>
      </c>
      <c r="C4" s="346"/>
      <c r="D4" s="346"/>
      <c r="E4" s="134"/>
      <c r="F4" s="135"/>
    </row>
    <row r="5" spans="1:7" x14ac:dyDescent="0.2">
      <c r="A5" s="136" t="s">
        <v>5</v>
      </c>
      <c r="B5" s="137" t="s">
        <v>40</v>
      </c>
      <c r="C5" s="347"/>
      <c r="D5" s="347"/>
      <c r="E5" s="16"/>
      <c r="F5" s="138"/>
    </row>
    <row r="6" spans="1:7" ht="13.5" x14ac:dyDescent="0.2">
      <c r="A6" s="139" t="s">
        <v>8</v>
      </c>
      <c r="B6" s="140" t="s">
        <v>312</v>
      </c>
      <c r="C6" s="141" t="s">
        <v>488</v>
      </c>
      <c r="D6" s="48">
        <f>29.2*0.6*0.8</f>
        <v>14.016</v>
      </c>
      <c r="E6" s="48"/>
      <c r="F6" s="142">
        <f>D6*E6</f>
        <v>0</v>
      </c>
    </row>
    <row r="7" spans="1:7" ht="13.5" x14ac:dyDescent="0.2">
      <c r="A7" s="139" t="s">
        <v>9</v>
      </c>
      <c r="B7" s="143" t="s">
        <v>41</v>
      </c>
      <c r="C7" s="141" t="s">
        <v>488</v>
      </c>
      <c r="D7" s="48">
        <f>28.2*0.6*0.05</f>
        <v>0.84599999999999997</v>
      </c>
      <c r="E7" s="48"/>
      <c r="F7" s="142">
        <f t="shared" ref="F7:F10" si="0">D7*E7</f>
        <v>0</v>
      </c>
    </row>
    <row r="8" spans="1:7" ht="13.5" x14ac:dyDescent="0.2">
      <c r="A8" s="139" t="s">
        <v>10</v>
      </c>
      <c r="B8" s="143" t="s">
        <v>42</v>
      </c>
      <c r="C8" s="141" t="s">
        <v>488</v>
      </c>
      <c r="D8" s="48">
        <f>28.2*0.4*1</f>
        <v>11.280000000000001</v>
      </c>
      <c r="E8" s="48"/>
      <c r="F8" s="142">
        <f t="shared" si="0"/>
        <v>0</v>
      </c>
    </row>
    <row r="9" spans="1:7" ht="13.5" x14ac:dyDescent="0.2">
      <c r="A9" s="139" t="s">
        <v>11</v>
      </c>
      <c r="B9" s="143" t="s">
        <v>43</v>
      </c>
      <c r="C9" s="141" t="s">
        <v>488</v>
      </c>
      <c r="D9" s="48">
        <f>(0.4*0.4*0.8)*8</f>
        <v>1.0240000000000002</v>
      </c>
      <c r="E9" s="48"/>
      <c r="F9" s="142">
        <f t="shared" si="0"/>
        <v>0</v>
      </c>
    </row>
    <row r="10" spans="1:7" s="145" customFormat="1" x14ac:dyDescent="0.2">
      <c r="A10" s="139" t="s">
        <v>12</v>
      </c>
      <c r="B10" s="144" t="s">
        <v>262</v>
      </c>
      <c r="C10" s="49" t="s">
        <v>92</v>
      </c>
      <c r="D10" s="48">
        <f>27*0.07</f>
        <v>1.8900000000000001</v>
      </c>
      <c r="E10" s="48"/>
      <c r="F10" s="142">
        <f t="shared" si="0"/>
        <v>0</v>
      </c>
    </row>
    <row r="11" spans="1:7" x14ac:dyDescent="0.2">
      <c r="A11" s="337" t="s">
        <v>3</v>
      </c>
      <c r="B11" s="338"/>
      <c r="C11" s="338"/>
      <c r="D11" s="338"/>
      <c r="E11" s="338"/>
      <c r="F11" s="146">
        <f>SUM(F6:F10)</f>
        <v>0</v>
      </c>
    </row>
    <row r="12" spans="1:7" x14ac:dyDescent="0.2">
      <c r="A12" s="147" t="s">
        <v>6</v>
      </c>
      <c r="B12" s="148" t="s">
        <v>48</v>
      </c>
      <c r="C12" s="348"/>
      <c r="D12" s="348"/>
      <c r="F12" s="149"/>
    </row>
    <row r="13" spans="1:7" ht="13.5" x14ac:dyDescent="0.2">
      <c r="A13" s="150" t="s">
        <v>13</v>
      </c>
      <c r="B13" s="143" t="s">
        <v>44</v>
      </c>
      <c r="C13" s="141" t="s">
        <v>488</v>
      </c>
      <c r="D13" s="48">
        <f>(27.2*0.15*3)</f>
        <v>12.24</v>
      </c>
      <c r="E13" s="48"/>
      <c r="F13" s="142">
        <f t="shared" ref="F13:F16" si="1">D13*E13</f>
        <v>0</v>
      </c>
      <c r="G13" s="151"/>
    </row>
    <row r="14" spans="1:7" ht="13.5" x14ac:dyDescent="0.2">
      <c r="A14" s="150" t="s">
        <v>14</v>
      </c>
      <c r="B14" s="152" t="s">
        <v>45</v>
      </c>
      <c r="C14" s="141" t="s">
        <v>488</v>
      </c>
      <c r="D14" s="48">
        <f>(0.15*0.15*3)*8</f>
        <v>0.54</v>
      </c>
      <c r="E14" s="48"/>
      <c r="F14" s="142">
        <f t="shared" si="1"/>
        <v>0</v>
      </c>
    </row>
    <row r="15" spans="1:7" ht="13.5" x14ac:dyDescent="0.2">
      <c r="A15" s="153" t="s">
        <v>15</v>
      </c>
      <c r="B15" s="140" t="s">
        <v>46</v>
      </c>
      <c r="C15" s="141" t="s">
        <v>488</v>
      </c>
      <c r="D15" s="48">
        <f>29.2*0.15*0.1</f>
        <v>0.438</v>
      </c>
      <c r="E15" s="48"/>
      <c r="F15" s="142">
        <f t="shared" si="1"/>
        <v>0</v>
      </c>
    </row>
    <row r="16" spans="1:7" ht="13.5" x14ac:dyDescent="0.2">
      <c r="A16" s="153" t="s">
        <v>15</v>
      </c>
      <c r="B16" s="140" t="s">
        <v>47</v>
      </c>
      <c r="C16" s="141" t="s">
        <v>488</v>
      </c>
      <c r="D16" s="48">
        <f>29.2*0.15*0.22</f>
        <v>0.96360000000000001</v>
      </c>
      <c r="E16" s="48"/>
      <c r="F16" s="142">
        <f t="shared" si="1"/>
        <v>0</v>
      </c>
    </row>
    <row r="17" spans="1:8" x14ac:dyDescent="0.2">
      <c r="A17" s="337" t="s">
        <v>3</v>
      </c>
      <c r="B17" s="338"/>
      <c r="C17" s="338"/>
      <c r="D17" s="338"/>
      <c r="E17" s="338"/>
      <c r="F17" s="146">
        <f>SUM(F13:F16)</f>
        <v>0</v>
      </c>
    </row>
    <row r="18" spans="1:8" x14ac:dyDescent="0.2">
      <c r="A18" s="136" t="s">
        <v>7</v>
      </c>
      <c r="B18" s="154" t="s">
        <v>49</v>
      </c>
      <c r="C18" s="155"/>
      <c r="D18" s="155"/>
      <c r="E18" s="155"/>
      <c r="F18" s="156"/>
    </row>
    <row r="19" spans="1:8" s="145" customFormat="1" ht="24" x14ac:dyDescent="0.2">
      <c r="A19" s="153" t="s">
        <v>16</v>
      </c>
      <c r="B19" s="144" t="s">
        <v>284</v>
      </c>
      <c r="C19" s="42" t="s">
        <v>92</v>
      </c>
      <c r="D19" s="48">
        <f>(15*0.05*0.1)*4</f>
        <v>0.30000000000000004</v>
      </c>
      <c r="E19" s="48"/>
      <c r="F19" s="142">
        <f>D19*E19</f>
        <v>0</v>
      </c>
    </row>
    <row r="20" spans="1:8" s="145" customFormat="1" x14ac:dyDescent="0.2">
      <c r="A20" s="153" t="s">
        <v>314</v>
      </c>
      <c r="B20" s="144" t="s">
        <v>185</v>
      </c>
      <c r="C20" s="42" t="s">
        <v>92</v>
      </c>
      <c r="D20" s="48">
        <f>(10*0.05*0.05)*16</f>
        <v>0.4</v>
      </c>
      <c r="E20" s="48"/>
      <c r="F20" s="142">
        <f t="shared" ref="F20:F25" si="2">D20*E20</f>
        <v>0</v>
      </c>
    </row>
    <row r="21" spans="1:8" s="145" customFormat="1" ht="24" x14ac:dyDescent="0.2">
      <c r="A21" s="153" t="s">
        <v>315</v>
      </c>
      <c r="B21" s="144" t="s">
        <v>285</v>
      </c>
      <c r="C21" s="42" t="s">
        <v>17</v>
      </c>
      <c r="D21" s="48">
        <f>(10*5.5)</f>
        <v>55</v>
      </c>
      <c r="E21" s="48"/>
      <c r="F21" s="142">
        <f t="shared" si="2"/>
        <v>0</v>
      </c>
    </row>
    <row r="22" spans="1:8" s="145" customFormat="1" ht="24" x14ac:dyDescent="0.2">
      <c r="A22" s="153" t="s">
        <v>316</v>
      </c>
      <c r="B22" s="144" t="s">
        <v>189</v>
      </c>
      <c r="C22" s="42" t="s">
        <v>122</v>
      </c>
      <c r="D22" s="48">
        <f>((10*2)+(5.5*2) +(2.25+3.7))*1.05</f>
        <v>38.797500000000007</v>
      </c>
      <c r="E22" s="48"/>
      <c r="F22" s="142">
        <f t="shared" si="2"/>
        <v>0</v>
      </c>
    </row>
    <row r="23" spans="1:8" s="145" customFormat="1" ht="24" x14ac:dyDescent="0.2">
      <c r="A23" s="153" t="s">
        <v>317</v>
      </c>
      <c r="B23" s="144" t="s">
        <v>288</v>
      </c>
      <c r="C23" s="42" t="s">
        <v>27</v>
      </c>
      <c r="D23" s="48">
        <v>1</v>
      </c>
      <c r="E23" s="48"/>
      <c r="F23" s="142">
        <f t="shared" si="2"/>
        <v>0</v>
      </c>
    </row>
    <row r="24" spans="1:8" s="145" customFormat="1" ht="36" x14ac:dyDescent="0.2">
      <c r="A24" s="153" t="s">
        <v>318</v>
      </c>
      <c r="B24" s="144" t="s">
        <v>287</v>
      </c>
      <c r="C24" s="42" t="s">
        <v>17</v>
      </c>
      <c r="D24" s="48">
        <f>(8.7*5.8)-1.05</f>
        <v>49.41</v>
      </c>
      <c r="E24" s="48"/>
      <c r="F24" s="142">
        <f t="shared" si="2"/>
        <v>0</v>
      </c>
    </row>
    <row r="25" spans="1:8" s="145" customFormat="1" x14ac:dyDescent="0.2">
      <c r="A25" s="153" t="s">
        <v>479</v>
      </c>
      <c r="B25" s="144" t="s">
        <v>480</v>
      </c>
      <c r="C25" s="42" t="s">
        <v>92</v>
      </c>
      <c r="D25" s="48">
        <v>2.98</v>
      </c>
      <c r="E25" s="48"/>
      <c r="F25" s="142">
        <f t="shared" si="2"/>
        <v>0</v>
      </c>
    </row>
    <row r="26" spans="1:8" s="145" customFormat="1" x14ac:dyDescent="0.2">
      <c r="A26" s="157"/>
      <c r="B26" s="158" t="s">
        <v>192</v>
      </c>
      <c r="C26" s="158"/>
      <c r="D26" s="159"/>
      <c r="E26" s="159"/>
      <c r="F26" s="160"/>
    </row>
    <row r="27" spans="1:8" x14ac:dyDescent="0.2">
      <c r="A27" s="335" t="s">
        <v>3</v>
      </c>
      <c r="B27" s="336"/>
      <c r="C27" s="336"/>
      <c r="D27" s="336"/>
      <c r="E27" s="336"/>
      <c r="F27" s="161">
        <f>SUM(F19:F26)</f>
        <v>0</v>
      </c>
      <c r="H27" s="151"/>
    </row>
    <row r="28" spans="1:8" x14ac:dyDescent="0.2">
      <c r="A28" s="162">
        <v>2</v>
      </c>
      <c r="B28" s="163" t="s">
        <v>18</v>
      </c>
      <c r="C28" s="333"/>
      <c r="D28" s="333"/>
      <c r="F28" s="149"/>
    </row>
    <row r="29" spans="1:8" x14ac:dyDescent="0.2">
      <c r="A29" s="136" t="s">
        <v>19</v>
      </c>
      <c r="B29" s="137" t="s">
        <v>20</v>
      </c>
      <c r="C29" s="164"/>
      <c r="D29" s="165"/>
      <c r="E29" s="165"/>
      <c r="F29" s="166"/>
    </row>
    <row r="30" spans="1:8" x14ac:dyDescent="0.2">
      <c r="A30" s="153" t="s">
        <v>21</v>
      </c>
      <c r="B30" s="140" t="s">
        <v>464</v>
      </c>
      <c r="C30" s="164" t="s">
        <v>17</v>
      </c>
      <c r="D30" s="48">
        <f>(7.7*3.8)*1.1</f>
        <v>32.186</v>
      </c>
      <c r="E30" s="48"/>
      <c r="F30" s="142">
        <f t="shared" ref="F30:F33" si="3">D30*E30</f>
        <v>0</v>
      </c>
    </row>
    <row r="31" spans="1:8" x14ac:dyDescent="0.2">
      <c r="A31" s="153" t="s">
        <v>35</v>
      </c>
      <c r="B31" s="140" t="s">
        <v>319</v>
      </c>
      <c r="C31" s="164" t="s">
        <v>17</v>
      </c>
      <c r="D31" s="48">
        <f>(26.2*2)</f>
        <v>52.4</v>
      </c>
      <c r="E31" s="48"/>
      <c r="F31" s="142">
        <f t="shared" si="3"/>
        <v>0</v>
      </c>
    </row>
    <row r="32" spans="1:8" x14ac:dyDescent="0.2">
      <c r="A32" s="153" t="s">
        <v>36</v>
      </c>
      <c r="B32" s="140" t="s">
        <v>51</v>
      </c>
      <c r="C32" s="164" t="s">
        <v>17</v>
      </c>
      <c r="D32" s="48">
        <f>(23*3)/2</f>
        <v>34.5</v>
      </c>
      <c r="E32" s="48"/>
      <c r="F32" s="142">
        <f t="shared" si="3"/>
        <v>0</v>
      </c>
    </row>
    <row r="33" spans="1:6" x14ac:dyDescent="0.2">
      <c r="A33" s="153" t="s">
        <v>22</v>
      </c>
      <c r="B33" s="140" t="s">
        <v>52</v>
      </c>
      <c r="C33" s="164" t="s">
        <v>17</v>
      </c>
      <c r="D33" s="48">
        <f>(23*3)/2-5</f>
        <v>29.5</v>
      </c>
      <c r="E33" s="48"/>
      <c r="F33" s="142">
        <f t="shared" si="3"/>
        <v>0</v>
      </c>
    </row>
    <row r="34" spans="1:6" x14ac:dyDescent="0.2">
      <c r="A34" s="337" t="s">
        <v>3</v>
      </c>
      <c r="B34" s="338"/>
      <c r="C34" s="338"/>
      <c r="D34" s="338"/>
      <c r="E34" s="338"/>
      <c r="F34" s="146">
        <f>SUM(F30:F33)</f>
        <v>0</v>
      </c>
    </row>
    <row r="35" spans="1:6" x14ac:dyDescent="0.2">
      <c r="A35" s="136" t="s">
        <v>23</v>
      </c>
      <c r="B35" s="137" t="s">
        <v>24</v>
      </c>
      <c r="C35" s="164"/>
      <c r="D35" s="165"/>
      <c r="E35" s="165"/>
      <c r="F35" s="166"/>
    </row>
    <row r="36" spans="1:6" ht="24" x14ac:dyDescent="0.2">
      <c r="A36" s="153" t="s">
        <v>25</v>
      </c>
      <c r="B36" s="140" t="s">
        <v>54</v>
      </c>
      <c r="C36" s="164" t="s">
        <v>26</v>
      </c>
      <c r="D36" s="165">
        <v>1</v>
      </c>
      <c r="E36" s="165"/>
      <c r="F36" s="142">
        <f t="shared" ref="F36:F39" si="4">D36*E36</f>
        <v>0</v>
      </c>
    </row>
    <row r="37" spans="1:6" ht="24" x14ac:dyDescent="0.2">
      <c r="A37" s="153" t="s">
        <v>34</v>
      </c>
      <c r="B37" s="140" t="s">
        <v>323</v>
      </c>
      <c r="C37" s="164" t="s">
        <v>26</v>
      </c>
      <c r="D37" s="165">
        <v>1</v>
      </c>
      <c r="E37" s="165"/>
      <c r="F37" s="142">
        <f t="shared" si="4"/>
        <v>0</v>
      </c>
    </row>
    <row r="38" spans="1:6" ht="24" x14ac:dyDescent="0.2">
      <c r="A38" s="153" t="s">
        <v>324</v>
      </c>
      <c r="B38" s="140" t="s">
        <v>55</v>
      </c>
      <c r="C38" s="164" t="s">
        <v>26</v>
      </c>
      <c r="D38" s="165">
        <v>2</v>
      </c>
      <c r="E38" s="165"/>
      <c r="F38" s="142">
        <f t="shared" si="4"/>
        <v>0</v>
      </c>
    </row>
    <row r="39" spans="1:6" ht="24" x14ac:dyDescent="0.2">
      <c r="A39" s="153" t="s">
        <v>325</v>
      </c>
      <c r="B39" s="140" t="s">
        <v>56</v>
      </c>
      <c r="C39" s="164" t="s">
        <v>26</v>
      </c>
      <c r="D39" s="165">
        <v>3</v>
      </c>
      <c r="E39" s="165"/>
      <c r="F39" s="142">
        <f t="shared" si="4"/>
        <v>0</v>
      </c>
    </row>
    <row r="40" spans="1:6" x14ac:dyDescent="0.2">
      <c r="A40" s="337" t="s">
        <v>3</v>
      </c>
      <c r="B40" s="338"/>
      <c r="C40" s="338"/>
      <c r="D40" s="338"/>
      <c r="E40" s="339"/>
      <c r="F40" s="161">
        <f>SUM(F36:F39)</f>
        <v>0</v>
      </c>
    </row>
    <row r="41" spans="1:6" x14ac:dyDescent="0.2">
      <c r="A41" s="162" t="s">
        <v>28</v>
      </c>
      <c r="B41" s="163" t="s">
        <v>29</v>
      </c>
      <c r="C41" s="334"/>
      <c r="D41" s="334"/>
      <c r="F41" s="149"/>
    </row>
    <row r="42" spans="1:6" x14ac:dyDescent="0.2">
      <c r="A42" s="153" t="s">
        <v>30</v>
      </c>
      <c r="B42" s="140" t="s">
        <v>57</v>
      </c>
      <c r="C42" s="164" t="s">
        <v>17</v>
      </c>
      <c r="D42" s="165">
        <f>+D24+D32</f>
        <v>83.91</v>
      </c>
      <c r="E42" s="165"/>
      <c r="F42" s="142">
        <f t="shared" ref="F42:F44" si="5">D42*E42</f>
        <v>0</v>
      </c>
    </row>
    <row r="43" spans="1:6" x14ac:dyDescent="0.2">
      <c r="A43" s="153" t="s">
        <v>31</v>
      </c>
      <c r="B43" s="140" t="s">
        <v>58</v>
      </c>
      <c r="C43" s="164" t="s">
        <v>17</v>
      </c>
      <c r="D43" s="165">
        <f>+D32</f>
        <v>34.5</v>
      </c>
      <c r="E43" s="165"/>
      <c r="F43" s="142">
        <f t="shared" si="5"/>
        <v>0</v>
      </c>
    </row>
    <row r="44" spans="1:6" x14ac:dyDescent="0.2">
      <c r="A44" s="153" t="s">
        <v>32</v>
      </c>
      <c r="B44" s="140" t="s">
        <v>33</v>
      </c>
      <c r="C44" s="164" t="s">
        <v>17</v>
      </c>
      <c r="D44" s="165">
        <f>16*1.15</f>
        <v>18.399999999999999</v>
      </c>
      <c r="E44" s="165"/>
      <c r="F44" s="142">
        <f t="shared" si="5"/>
        <v>0</v>
      </c>
    </row>
    <row r="45" spans="1:6" x14ac:dyDescent="0.2">
      <c r="A45" s="337" t="s">
        <v>3</v>
      </c>
      <c r="B45" s="338"/>
      <c r="C45" s="338"/>
      <c r="D45" s="338"/>
      <c r="E45" s="339"/>
      <c r="F45" s="161">
        <f>SUM(F42:F44)</f>
        <v>0</v>
      </c>
    </row>
    <row r="46" spans="1:6" x14ac:dyDescent="0.2">
      <c r="A46" s="162" t="s">
        <v>61</v>
      </c>
      <c r="B46" s="163" t="s">
        <v>69</v>
      </c>
      <c r="C46" s="334"/>
      <c r="D46" s="334"/>
      <c r="F46" s="149"/>
    </row>
    <row r="47" spans="1:6" s="145" customFormat="1" ht="24" x14ac:dyDescent="0.2">
      <c r="A47" s="153" t="s">
        <v>62</v>
      </c>
      <c r="B47" s="167" t="s">
        <v>236</v>
      </c>
      <c r="C47" s="168" t="s">
        <v>122</v>
      </c>
      <c r="D47" s="44">
        <v>10</v>
      </c>
      <c r="E47" s="169"/>
      <c r="F47" s="142">
        <f t="shared" ref="F47:F53" si="6">D47*E47</f>
        <v>0</v>
      </c>
    </row>
    <row r="48" spans="1:6" s="145" customFormat="1" x14ac:dyDescent="0.2">
      <c r="A48" s="153" t="s">
        <v>459</v>
      </c>
      <c r="B48" s="167" t="s">
        <v>299</v>
      </c>
      <c r="C48" s="168" t="s">
        <v>122</v>
      </c>
      <c r="D48" s="44">
        <v>20</v>
      </c>
      <c r="E48" s="169"/>
      <c r="F48" s="142">
        <f t="shared" si="6"/>
        <v>0</v>
      </c>
    </row>
    <row r="49" spans="1:6" x14ac:dyDescent="0.2">
      <c r="A49" s="153" t="s">
        <v>63</v>
      </c>
      <c r="B49" s="140" t="s">
        <v>60</v>
      </c>
      <c r="C49" s="164" t="s">
        <v>27</v>
      </c>
      <c r="D49" s="165">
        <v>10</v>
      </c>
      <c r="E49" s="165"/>
      <c r="F49" s="142">
        <f t="shared" si="6"/>
        <v>0</v>
      </c>
    </row>
    <row r="50" spans="1:6" x14ac:dyDescent="0.2">
      <c r="A50" s="153" t="s">
        <v>64</v>
      </c>
      <c r="B50" s="140" t="s">
        <v>67</v>
      </c>
      <c r="C50" s="164" t="s">
        <v>68</v>
      </c>
      <c r="D50" s="165">
        <v>5</v>
      </c>
      <c r="E50" s="165"/>
      <c r="F50" s="142">
        <f t="shared" si="6"/>
        <v>0</v>
      </c>
    </row>
    <row r="51" spans="1:6" x14ac:dyDescent="0.2">
      <c r="A51" s="153" t="s">
        <v>65</v>
      </c>
      <c r="B51" s="140" t="s">
        <v>77</v>
      </c>
      <c r="C51" s="164" t="s">
        <v>68</v>
      </c>
      <c r="D51" s="165">
        <v>1</v>
      </c>
      <c r="E51" s="165"/>
      <c r="F51" s="142">
        <f t="shared" si="6"/>
        <v>0</v>
      </c>
    </row>
    <row r="52" spans="1:6" x14ac:dyDescent="0.2">
      <c r="A52" s="153" t="s">
        <v>66</v>
      </c>
      <c r="B52" s="170" t="s">
        <v>78</v>
      </c>
      <c r="C52" s="69" t="s">
        <v>27</v>
      </c>
      <c r="D52" s="90">
        <v>1</v>
      </c>
      <c r="E52" s="90"/>
      <c r="F52" s="142">
        <f t="shared" si="6"/>
        <v>0</v>
      </c>
    </row>
    <row r="53" spans="1:6" x14ac:dyDescent="0.2">
      <c r="A53" s="153" t="s">
        <v>460</v>
      </c>
      <c r="B53" s="170" t="s">
        <v>326</v>
      </c>
      <c r="C53" s="69" t="s">
        <v>27</v>
      </c>
      <c r="D53" s="90">
        <v>1</v>
      </c>
      <c r="E53" s="90"/>
      <c r="F53" s="142">
        <f t="shared" si="6"/>
        <v>0</v>
      </c>
    </row>
    <row r="54" spans="1:6" x14ac:dyDescent="0.2">
      <c r="A54" s="337" t="s">
        <v>3</v>
      </c>
      <c r="B54" s="338"/>
      <c r="C54" s="338"/>
      <c r="D54" s="338"/>
      <c r="E54" s="339"/>
      <c r="F54" s="161">
        <f>SUM(F47:F53)</f>
        <v>0</v>
      </c>
    </row>
    <row r="55" spans="1:6" ht="12.75" thickBot="1" x14ac:dyDescent="0.25">
      <c r="A55" s="171"/>
      <c r="B55" s="172"/>
      <c r="C55" s="172"/>
      <c r="D55" s="172"/>
      <c r="E55" s="172"/>
      <c r="F55" s="149"/>
    </row>
    <row r="56" spans="1:6" ht="12.75" thickBot="1" x14ac:dyDescent="0.25">
      <c r="A56" s="173"/>
      <c r="B56" s="174" t="s">
        <v>74</v>
      </c>
      <c r="C56" s="175"/>
      <c r="D56" s="175"/>
      <c r="E56" s="175"/>
      <c r="F56" s="176">
        <f>F54+F45+F40+F34+F27+F17+F11</f>
        <v>0</v>
      </c>
    </row>
    <row r="57" spans="1:6" x14ac:dyDescent="0.2">
      <c r="A57" s="28"/>
      <c r="F57" s="149"/>
    </row>
    <row r="58" spans="1:6" x14ac:dyDescent="0.2">
      <c r="A58" s="177" t="s">
        <v>73</v>
      </c>
      <c r="B58" s="352" t="s">
        <v>72</v>
      </c>
      <c r="C58" s="352"/>
      <c r="D58" s="352"/>
      <c r="E58" s="352"/>
      <c r="F58" s="359"/>
    </row>
    <row r="59" spans="1:6" x14ac:dyDescent="0.2">
      <c r="A59" s="178">
        <v>1</v>
      </c>
      <c r="B59" s="179" t="s">
        <v>4</v>
      </c>
      <c r="C59" s="360"/>
      <c r="D59" s="360"/>
      <c r="E59" s="180"/>
      <c r="F59" s="181"/>
    </row>
    <row r="60" spans="1:6" x14ac:dyDescent="0.2">
      <c r="A60" s="136" t="s">
        <v>5</v>
      </c>
      <c r="B60" s="137" t="s">
        <v>40</v>
      </c>
      <c r="C60" s="347"/>
      <c r="D60" s="347"/>
      <c r="E60" s="16"/>
      <c r="F60" s="138"/>
    </row>
    <row r="61" spans="1:6" ht="13.5" x14ac:dyDescent="0.2">
      <c r="A61" s="139" t="s">
        <v>8</v>
      </c>
      <c r="B61" s="140" t="s">
        <v>76</v>
      </c>
      <c r="C61" s="141" t="s">
        <v>488</v>
      </c>
      <c r="D61" s="48">
        <f>32.2*0.6*0.8</f>
        <v>15.456000000000001</v>
      </c>
      <c r="E61" s="48"/>
      <c r="F61" s="142">
        <f>D61*E61</f>
        <v>0</v>
      </c>
    </row>
    <row r="62" spans="1:6" ht="13.5" x14ac:dyDescent="0.2">
      <c r="A62" s="139" t="s">
        <v>10</v>
      </c>
      <c r="B62" s="143" t="s">
        <v>41</v>
      </c>
      <c r="C62" s="141" t="s">
        <v>488</v>
      </c>
      <c r="D62" s="48">
        <f>31.2*0.6*0.05</f>
        <v>0.93599999999999994</v>
      </c>
      <c r="E62" s="48"/>
      <c r="F62" s="142">
        <f t="shared" ref="F62:F65" si="7">D62*E62</f>
        <v>0</v>
      </c>
    </row>
    <row r="63" spans="1:6" ht="13.5" x14ac:dyDescent="0.2">
      <c r="A63" s="139" t="s">
        <v>11</v>
      </c>
      <c r="B63" s="143" t="s">
        <v>42</v>
      </c>
      <c r="C63" s="141" t="s">
        <v>488</v>
      </c>
      <c r="D63" s="48">
        <f>31.2*0.4*1</f>
        <v>12.48</v>
      </c>
      <c r="E63" s="48"/>
      <c r="F63" s="142">
        <f t="shared" si="7"/>
        <v>0</v>
      </c>
    </row>
    <row r="64" spans="1:6" ht="13.5" x14ac:dyDescent="0.2">
      <c r="A64" s="139" t="s">
        <v>12</v>
      </c>
      <c r="B64" s="143" t="s">
        <v>43</v>
      </c>
      <c r="C64" s="141" t="s">
        <v>488</v>
      </c>
      <c r="D64" s="48">
        <f>(0.4*0.4*0.8)*8</f>
        <v>1.0240000000000002</v>
      </c>
      <c r="E64" s="48"/>
      <c r="F64" s="142">
        <f t="shared" si="7"/>
        <v>0</v>
      </c>
    </row>
    <row r="65" spans="1:7" s="145" customFormat="1" x14ac:dyDescent="0.2">
      <c r="A65" s="182" t="s">
        <v>313</v>
      </c>
      <c r="B65" s="144" t="s">
        <v>262</v>
      </c>
      <c r="C65" s="49" t="s">
        <v>92</v>
      </c>
      <c r="D65" s="48">
        <f>28*0.07</f>
        <v>1.9600000000000002</v>
      </c>
      <c r="E65" s="48"/>
      <c r="F65" s="142">
        <f t="shared" si="7"/>
        <v>0</v>
      </c>
    </row>
    <row r="66" spans="1:7" x14ac:dyDescent="0.2">
      <c r="A66" s="335" t="s">
        <v>3</v>
      </c>
      <c r="B66" s="336"/>
      <c r="C66" s="336"/>
      <c r="D66" s="336"/>
      <c r="E66" s="120"/>
      <c r="F66" s="183">
        <f>SUM(F61:F65)</f>
        <v>0</v>
      </c>
    </row>
    <row r="67" spans="1:7" x14ac:dyDescent="0.2">
      <c r="A67" s="147" t="s">
        <v>6</v>
      </c>
      <c r="B67" s="148" t="s">
        <v>48</v>
      </c>
      <c r="C67" s="348"/>
      <c r="D67" s="348"/>
      <c r="F67" s="149"/>
    </row>
    <row r="68" spans="1:7" ht="13.5" x14ac:dyDescent="0.2">
      <c r="A68" s="150" t="s">
        <v>13</v>
      </c>
      <c r="B68" s="143" t="s">
        <v>44</v>
      </c>
      <c r="C68" s="141" t="s">
        <v>488</v>
      </c>
      <c r="D68" s="48">
        <f>(30.2*0.15*3)</f>
        <v>13.589999999999998</v>
      </c>
      <c r="E68" s="48"/>
      <c r="F68" s="142">
        <f t="shared" ref="F68:F71" si="8">D68*E68</f>
        <v>0</v>
      </c>
      <c r="G68" s="151"/>
    </row>
    <row r="69" spans="1:7" ht="13.5" x14ac:dyDescent="0.2">
      <c r="A69" s="150" t="s">
        <v>14</v>
      </c>
      <c r="B69" s="152" t="s">
        <v>45</v>
      </c>
      <c r="C69" s="141" t="s">
        <v>488</v>
      </c>
      <c r="D69" s="48">
        <f>(0.15*0.15*3)*8</f>
        <v>0.54</v>
      </c>
      <c r="E69" s="48"/>
      <c r="F69" s="142">
        <f t="shared" si="8"/>
        <v>0</v>
      </c>
    </row>
    <row r="70" spans="1:7" ht="13.5" x14ac:dyDescent="0.2">
      <c r="A70" s="153" t="s">
        <v>15</v>
      </c>
      <c r="B70" s="140" t="s">
        <v>46</v>
      </c>
      <c r="C70" s="141" t="s">
        <v>488</v>
      </c>
      <c r="D70" s="48">
        <f>29.2*0.15*0.1</f>
        <v>0.438</v>
      </c>
      <c r="E70" s="48"/>
      <c r="F70" s="142">
        <f t="shared" si="8"/>
        <v>0</v>
      </c>
    </row>
    <row r="71" spans="1:7" ht="13.5" x14ac:dyDescent="0.2">
      <c r="A71" s="153" t="s">
        <v>15</v>
      </c>
      <c r="B71" s="140" t="s">
        <v>47</v>
      </c>
      <c r="C71" s="141" t="s">
        <v>488</v>
      </c>
      <c r="D71" s="48">
        <f>29.2*0.15*0.22</f>
        <v>0.96360000000000001</v>
      </c>
      <c r="E71" s="48"/>
      <c r="F71" s="142">
        <f t="shared" si="8"/>
        <v>0</v>
      </c>
    </row>
    <row r="72" spans="1:7" x14ac:dyDescent="0.2">
      <c r="A72" s="335" t="s">
        <v>3</v>
      </c>
      <c r="B72" s="336"/>
      <c r="C72" s="336"/>
      <c r="D72" s="336"/>
      <c r="E72" s="120"/>
      <c r="F72" s="183">
        <f>SUM(F68:F71)</f>
        <v>0</v>
      </c>
    </row>
    <row r="73" spans="1:7" x14ac:dyDescent="0.2">
      <c r="A73" s="136" t="s">
        <v>7</v>
      </c>
      <c r="B73" s="154" t="s">
        <v>49</v>
      </c>
      <c r="C73" s="155"/>
      <c r="D73" s="155"/>
      <c r="E73" s="155"/>
      <c r="F73" s="156"/>
    </row>
    <row r="74" spans="1:7" s="145" customFormat="1" ht="24" x14ac:dyDescent="0.2">
      <c r="A74" s="153" t="s">
        <v>16</v>
      </c>
      <c r="B74" s="144" t="s">
        <v>284</v>
      </c>
      <c r="C74" s="42" t="s">
        <v>92</v>
      </c>
      <c r="D74" s="48">
        <f>(15*0.05*0.1)*4</f>
        <v>0.30000000000000004</v>
      </c>
      <c r="E74" s="48"/>
      <c r="F74" s="142">
        <f t="shared" ref="F74:F80" si="9">D74*E74</f>
        <v>0</v>
      </c>
    </row>
    <row r="75" spans="1:7" s="145" customFormat="1" x14ac:dyDescent="0.2">
      <c r="A75" s="153" t="s">
        <v>314</v>
      </c>
      <c r="B75" s="144" t="s">
        <v>185</v>
      </c>
      <c r="C75" s="42" t="s">
        <v>92</v>
      </c>
      <c r="D75" s="48">
        <f>(10*0.05*0.05)*16</f>
        <v>0.4</v>
      </c>
      <c r="E75" s="48"/>
      <c r="F75" s="142">
        <f t="shared" si="9"/>
        <v>0</v>
      </c>
    </row>
    <row r="76" spans="1:7" s="145" customFormat="1" ht="24" x14ac:dyDescent="0.2">
      <c r="A76" s="153" t="s">
        <v>315</v>
      </c>
      <c r="B76" s="144" t="s">
        <v>285</v>
      </c>
      <c r="C76" s="42" t="s">
        <v>17</v>
      </c>
      <c r="D76" s="48">
        <f>(10*5.5)</f>
        <v>55</v>
      </c>
      <c r="E76" s="48"/>
      <c r="F76" s="142">
        <f t="shared" si="9"/>
        <v>0</v>
      </c>
    </row>
    <row r="77" spans="1:7" s="145" customFormat="1" ht="24" x14ac:dyDescent="0.2">
      <c r="A77" s="153" t="s">
        <v>316</v>
      </c>
      <c r="B77" s="144" t="s">
        <v>189</v>
      </c>
      <c r="C77" s="42" t="s">
        <v>122</v>
      </c>
      <c r="D77" s="48">
        <f>((10*2)+(5.5*2) +(2.25+3.7))*1.05</f>
        <v>38.797500000000007</v>
      </c>
      <c r="E77" s="48"/>
      <c r="F77" s="142">
        <f t="shared" si="9"/>
        <v>0</v>
      </c>
    </row>
    <row r="78" spans="1:7" s="145" customFormat="1" ht="24" x14ac:dyDescent="0.2">
      <c r="A78" s="153" t="s">
        <v>317</v>
      </c>
      <c r="B78" s="144" t="s">
        <v>288</v>
      </c>
      <c r="C78" s="42" t="s">
        <v>27</v>
      </c>
      <c r="D78" s="48">
        <v>1</v>
      </c>
      <c r="E78" s="48"/>
      <c r="F78" s="142">
        <f t="shared" si="9"/>
        <v>0</v>
      </c>
    </row>
    <row r="79" spans="1:7" s="145" customFormat="1" ht="36" x14ac:dyDescent="0.2">
      <c r="A79" s="153" t="s">
        <v>318</v>
      </c>
      <c r="B79" s="144" t="s">
        <v>287</v>
      </c>
      <c r="C79" s="42" t="s">
        <v>17</v>
      </c>
      <c r="D79" s="48">
        <f>(8.8*5.8)</f>
        <v>51.04</v>
      </c>
      <c r="E79" s="48"/>
      <c r="F79" s="142">
        <f t="shared" si="9"/>
        <v>0</v>
      </c>
    </row>
    <row r="80" spans="1:7" s="145" customFormat="1" x14ac:dyDescent="0.2">
      <c r="A80" s="153" t="s">
        <v>479</v>
      </c>
      <c r="B80" s="144" t="s">
        <v>480</v>
      </c>
      <c r="C80" s="42" t="s">
        <v>92</v>
      </c>
      <c r="D80" s="48">
        <v>2.98</v>
      </c>
      <c r="E80" s="48"/>
      <c r="F80" s="142">
        <f t="shared" si="9"/>
        <v>0</v>
      </c>
    </row>
    <row r="81" spans="1:6" x14ac:dyDescent="0.2">
      <c r="A81" s="335" t="s">
        <v>3</v>
      </c>
      <c r="B81" s="336"/>
      <c r="C81" s="336"/>
      <c r="D81" s="336"/>
      <c r="E81" s="120"/>
      <c r="F81" s="183">
        <f>SUM(F74:F80)</f>
        <v>0</v>
      </c>
    </row>
    <row r="82" spans="1:6" x14ac:dyDescent="0.2">
      <c r="A82" s="162">
        <v>2</v>
      </c>
      <c r="B82" s="163" t="s">
        <v>18</v>
      </c>
      <c r="C82" s="333"/>
      <c r="D82" s="333"/>
      <c r="F82" s="149"/>
    </row>
    <row r="83" spans="1:6" x14ac:dyDescent="0.2">
      <c r="A83" s="136" t="s">
        <v>19</v>
      </c>
      <c r="B83" s="137" t="s">
        <v>20</v>
      </c>
      <c r="C83" s="164"/>
      <c r="D83" s="165"/>
      <c r="E83" s="165"/>
      <c r="F83" s="166"/>
    </row>
    <row r="84" spans="1:6" x14ac:dyDescent="0.2">
      <c r="A84" s="153" t="s">
        <v>21</v>
      </c>
      <c r="B84" s="140" t="s">
        <v>50</v>
      </c>
      <c r="C84" s="164" t="s">
        <v>17</v>
      </c>
      <c r="D84" s="48">
        <f>(7.7*3.8)+10</f>
        <v>39.26</v>
      </c>
      <c r="E84" s="48"/>
      <c r="F84" s="142">
        <f t="shared" ref="F84:F87" si="10">D84*E84</f>
        <v>0</v>
      </c>
    </row>
    <row r="85" spans="1:6" x14ac:dyDescent="0.2">
      <c r="A85" s="153" t="s">
        <v>35</v>
      </c>
      <c r="B85" s="140" t="s">
        <v>53</v>
      </c>
      <c r="C85" s="164" t="s">
        <v>17</v>
      </c>
      <c r="D85" s="48">
        <f>(30.2*2)</f>
        <v>60.4</v>
      </c>
      <c r="E85" s="48"/>
      <c r="F85" s="142">
        <f t="shared" si="10"/>
        <v>0</v>
      </c>
    </row>
    <row r="86" spans="1:6" x14ac:dyDescent="0.2">
      <c r="A86" s="153" t="s">
        <v>36</v>
      </c>
      <c r="B86" s="140" t="s">
        <v>51</v>
      </c>
      <c r="C86" s="164" t="s">
        <v>17</v>
      </c>
      <c r="D86" s="48">
        <f>(25*3)/2</f>
        <v>37.5</v>
      </c>
      <c r="E86" s="48"/>
      <c r="F86" s="142">
        <f t="shared" si="10"/>
        <v>0</v>
      </c>
    </row>
    <row r="87" spans="1:6" x14ac:dyDescent="0.2">
      <c r="A87" s="153" t="s">
        <v>22</v>
      </c>
      <c r="B87" s="140" t="s">
        <v>52</v>
      </c>
      <c r="C87" s="164" t="s">
        <v>17</v>
      </c>
      <c r="D87" s="48">
        <f>(23*3)/2-5</f>
        <v>29.5</v>
      </c>
      <c r="E87" s="48"/>
      <c r="F87" s="142">
        <f t="shared" si="10"/>
        <v>0</v>
      </c>
    </row>
    <row r="88" spans="1:6" x14ac:dyDescent="0.2">
      <c r="A88" s="349" t="s">
        <v>3</v>
      </c>
      <c r="B88" s="350"/>
      <c r="C88" s="350"/>
      <c r="D88" s="350"/>
      <c r="E88" s="184"/>
      <c r="F88" s="185">
        <f>SUM(F84:F87)</f>
        <v>0</v>
      </c>
    </row>
    <row r="89" spans="1:6" x14ac:dyDescent="0.2">
      <c r="A89" s="136" t="s">
        <v>23</v>
      </c>
      <c r="B89" s="137" t="s">
        <v>24</v>
      </c>
      <c r="C89" s="164"/>
      <c r="D89" s="165"/>
      <c r="E89" s="165"/>
      <c r="F89" s="166"/>
    </row>
    <row r="90" spans="1:6" ht="24" x14ac:dyDescent="0.2">
      <c r="A90" s="153" t="s">
        <v>25</v>
      </c>
      <c r="B90" s="140" t="s">
        <v>54</v>
      </c>
      <c r="C90" s="164" t="s">
        <v>26</v>
      </c>
      <c r="D90" s="165">
        <v>1</v>
      </c>
      <c r="E90" s="165"/>
      <c r="F90" s="142">
        <f t="shared" ref="F90:F93" si="11">D90*E90</f>
        <v>0</v>
      </c>
    </row>
    <row r="91" spans="1:6" ht="24" x14ac:dyDescent="0.2">
      <c r="A91" s="153" t="s">
        <v>34</v>
      </c>
      <c r="B91" s="140" t="s">
        <v>323</v>
      </c>
      <c r="C91" s="164" t="s">
        <v>26</v>
      </c>
      <c r="D91" s="165">
        <v>1</v>
      </c>
      <c r="E91" s="165"/>
      <c r="F91" s="142">
        <f t="shared" si="11"/>
        <v>0</v>
      </c>
    </row>
    <row r="92" spans="1:6" ht="24" x14ac:dyDescent="0.2">
      <c r="A92" s="153" t="s">
        <v>324</v>
      </c>
      <c r="B92" s="140" t="s">
        <v>55</v>
      </c>
      <c r="C92" s="164" t="s">
        <v>26</v>
      </c>
      <c r="D92" s="165">
        <v>4</v>
      </c>
      <c r="E92" s="165"/>
      <c r="F92" s="142">
        <f t="shared" si="11"/>
        <v>0</v>
      </c>
    </row>
    <row r="93" spans="1:6" ht="24" x14ac:dyDescent="0.2">
      <c r="A93" s="153" t="s">
        <v>325</v>
      </c>
      <c r="B93" s="140" t="s">
        <v>56</v>
      </c>
      <c r="C93" s="164" t="s">
        <v>26</v>
      </c>
      <c r="D93" s="165">
        <v>5</v>
      </c>
      <c r="E93" s="165"/>
      <c r="F93" s="142">
        <f t="shared" si="11"/>
        <v>0</v>
      </c>
    </row>
    <row r="94" spans="1:6" x14ac:dyDescent="0.2">
      <c r="A94" s="349" t="s">
        <v>3</v>
      </c>
      <c r="B94" s="350"/>
      <c r="C94" s="350"/>
      <c r="D94" s="350"/>
      <c r="E94" s="184"/>
      <c r="F94" s="185">
        <f>SUM(F90:F93)</f>
        <v>0</v>
      </c>
    </row>
    <row r="95" spans="1:6" x14ac:dyDescent="0.2">
      <c r="A95" s="136" t="s">
        <v>28</v>
      </c>
      <c r="B95" s="137" t="s">
        <v>29</v>
      </c>
      <c r="C95" s="351"/>
      <c r="D95" s="351"/>
      <c r="F95" s="149"/>
    </row>
    <row r="96" spans="1:6" x14ac:dyDescent="0.2">
      <c r="A96" s="153" t="s">
        <v>30</v>
      </c>
      <c r="B96" s="140" t="s">
        <v>57</v>
      </c>
      <c r="C96" s="164" t="s">
        <v>17</v>
      </c>
      <c r="D96" s="165">
        <f>+D79+D86</f>
        <v>88.539999999999992</v>
      </c>
      <c r="E96" s="165"/>
      <c r="F96" s="142">
        <f t="shared" ref="F96:F98" si="12">D96*E96</f>
        <v>0</v>
      </c>
    </row>
    <row r="97" spans="1:6" x14ac:dyDescent="0.2">
      <c r="A97" s="153" t="s">
        <v>31</v>
      </c>
      <c r="B97" s="140" t="s">
        <v>58</v>
      </c>
      <c r="C97" s="164" t="s">
        <v>17</v>
      </c>
      <c r="D97" s="165">
        <f>+D86</f>
        <v>37.5</v>
      </c>
      <c r="E97" s="165"/>
      <c r="F97" s="142">
        <f t="shared" si="12"/>
        <v>0</v>
      </c>
    </row>
    <row r="98" spans="1:6" x14ac:dyDescent="0.2">
      <c r="A98" s="153" t="s">
        <v>32</v>
      </c>
      <c r="B98" s="140" t="s">
        <v>33</v>
      </c>
      <c r="C98" s="164" t="s">
        <v>17</v>
      </c>
      <c r="D98" s="165">
        <v>20</v>
      </c>
      <c r="E98" s="165"/>
      <c r="F98" s="142">
        <f t="shared" si="12"/>
        <v>0</v>
      </c>
    </row>
    <row r="99" spans="1:6" x14ac:dyDescent="0.2">
      <c r="A99" s="349" t="s">
        <v>3</v>
      </c>
      <c r="B99" s="350"/>
      <c r="C99" s="350"/>
      <c r="D99" s="350"/>
      <c r="E99" s="184"/>
      <c r="F99" s="185">
        <f>SUM(F96:F98)</f>
        <v>0</v>
      </c>
    </row>
    <row r="100" spans="1:6" x14ac:dyDescent="0.2">
      <c r="A100" s="136" t="s">
        <v>61</v>
      </c>
      <c r="B100" s="137" t="s">
        <v>69</v>
      </c>
      <c r="C100" s="351"/>
      <c r="D100" s="351"/>
      <c r="F100" s="149"/>
    </row>
    <row r="101" spans="1:6" s="145" customFormat="1" ht="24" x14ac:dyDescent="0.2">
      <c r="A101" s="153" t="s">
        <v>62</v>
      </c>
      <c r="B101" s="167" t="s">
        <v>236</v>
      </c>
      <c r="C101" s="168" t="s">
        <v>122</v>
      </c>
      <c r="D101" s="44">
        <v>10</v>
      </c>
      <c r="E101" s="169"/>
      <c r="F101" s="142">
        <f t="shared" ref="F101:F107" si="13">D101*E101</f>
        <v>0</v>
      </c>
    </row>
    <row r="102" spans="1:6" s="145" customFormat="1" x14ac:dyDescent="0.2">
      <c r="A102" s="153" t="s">
        <v>459</v>
      </c>
      <c r="B102" s="167" t="s">
        <v>299</v>
      </c>
      <c r="C102" s="168" t="s">
        <v>122</v>
      </c>
      <c r="D102" s="44">
        <v>20</v>
      </c>
      <c r="E102" s="169"/>
      <c r="F102" s="142">
        <f t="shared" si="13"/>
        <v>0</v>
      </c>
    </row>
    <row r="103" spans="1:6" x14ac:dyDescent="0.2">
      <c r="A103" s="153" t="s">
        <v>63</v>
      </c>
      <c r="B103" s="140" t="s">
        <v>60</v>
      </c>
      <c r="C103" s="164" t="s">
        <v>27</v>
      </c>
      <c r="D103" s="165">
        <v>10</v>
      </c>
      <c r="E103" s="165"/>
      <c r="F103" s="142">
        <f t="shared" si="13"/>
        <v>0</v>
      </c>
    </row>
    <row r="104" spans="1:6" x14ac:dyDescent="0.2">
      <c r="A104" s="153" t="s">
        <v>64</v>
      </c>
      <c r="B104" s="140" t="s">
        <v>67</v>
      </c>
      <c r="C104" s="164" t="s">
        <v>68</v>
      </c>
      <c r="D104" s="165">
        <v>5</v>
      </c>
      <c r="E104" s="165"/>
      <c r="F104" s="142">
        <f t="shared" si="13"/>
        <v>0</v>
      </c>
    </row>
    <row r="105" spans="1:6" x14ac:dyDescent="0.2">
      <c r="A105" s="153" t="s">
        <v>65</v>
      </c>
      <c r="B105" s="140" t="s">
        <v>77</v>
      </c>
      <c r="C105" s="164" t="s">
        <v>68</v>
      </c>
      <c r="D105" s="165">
        <v>1</v>
      </c>
      <c r="E105" s="165"/>
      <c r="F105" s="142">
        <f t="shared" si="13"/>
        <v>0</v>
      </c>
    </row>
    <row r="106" spans="1:6" x14ac:dyDescent="0.2">
      <c r="A106" s="153" t="s">
        <v>66</v>
      </c>
      <c r="B106" s="170" t="s">
        <v>78</v>
      </c>
      <c r="C106" s="69" t="s">
        <v>27</v>
      </c>
      <c r="D106" s="90">
        <v>1</v>
      </c>
      <c r="E106" s="90"/>
      <c r="F106" s="142">
        <f t="shared" si="13"/>
        <v>0</v>
      </c>
    </row>
    <row r="107" spans="1:6" x14ac:dyDescent="0.2">
      <c r="A107" s="153" t="s">
        <v>460</v>
      </c>
      <c r="B107" s="170" t="s">
        <v>326</v>
      </c>
      <c r="C107" s="69" t="s">
        <v>27</v>
      </c>
      <c r="D107" s="90">
        <v>1</v>
      </c>
      <c r="E107" s="90"/>
      <c r="F107" s="142">
        <f t="shared" si="13"/>
        <v>0</v>
      </c>
    </row>
    <row r="108" spans="1:6" s="145" customFormat="1" x14ac:dyDescent="0.2">
      <c r="A108" s="186" t="s">
        <v>230</v>
      </c>
      <c r="B108" s="187" t="s">
        <v>231</v>
      </c>
      <c r="C108" s="168"/>
      <c r="D108" s="44"/>
      <c r="E108" s="169"/>
      <c r="F108" s="188"/>
    </row>
    <row r="109" spans="1:6" x14ac:dyDescent="0.2">
      <c r="A109" s="349" t="s">
        <v>3</v>
      </c>
      <c r="B109" s="350"/>
      <c r="C109" s="350"/>
      <c r="D109" s="350"/>
      <c r="E109" s="184"/>
      <c r="F109" s="185">
        <f>SUM(F101:F107)</f>
        <v>0</v>
      </c>
    </row>
    <row r="110" spans="1:6" x14ac:dyDescent="0.2">
      <c r="A110" s="189"/>
      <c r="B110" s="190"/>
      <c r="C110" s="190"/>
      <c r="D110" s="190"/>
      <c r="E110" s="190"/>
      <c r="F110" s="191"/>
    </row>
    <row r="111" spans="1:6" x14ac:dyDescent="0.2">
      <c r="A111" s="192"/>
      <c r="B111" s="193" t="s">
        <v>75</v>
      </c>
      <c r="C111" s="194"/>
      <c r="D111" s="194"/>
      <c r="E111" s="194"/>
      <c r="F111" s="195">
        <f>F109+F99+F94+F88+F81+F72+F66</f>
        <v>0</v>
      </c>
    </row>
    <row r="112" spans="1:6" x14ac:dyDescent="0.2">
      <c r="A112" s="353"/>
      <c r="B112" s="354"/>
      <c r="C112" s="354"/>
      <c r="D112" s="354"/>
      <c r="E112" s="354"/>
      <c r="F112" s="355"/>
    </row>
    <row r="113" spans="1:6" x14ac:dyDescent="0.2">
      <c r="A113" s="177" t="s">
        <v>304</v>
      </c>
      <c r="B113" s="352" t="s">
        <v>320</v>
      </c>
      <c r="C113" s="352"/>
      <c r="D113" s="352"/>
      <c r="E113" s="196"/>
      <c r="F113" s="197"/>
    </row>
    <row r="114" spans="1:6" x14ac:dyDescent="0.2">
      <c r="A114" s="153" t="s">
        <v>321</v>
      </c>
      <c r="B114" s="198" t="s">
        <v>466</v>
      </c>
      <c r="C114" s="69" t="s">
        <v>27</v>
      </c>
      <c r="D114" s="90">
        <v>1</v>
      </c>
      <c r="E114" s="90"/>
      <c r="F114" s="142">
        <f t="shared" ref="F114:F116" si="14">D114*E114</f>
        <v>0</v>
      </c>
    </row>
    <row r="115" spans="1:6" x14ac:dyDescent="0.2">
      <c r="A115" s="153" t="s">
        <v>5</v>
      </c>
      <c r="B115" s="198" t="s">
        <v>70</v>
      </c>
      <c r="C115" s="69" t="s">
        <v>27</v>
      </c>
      <c r="D115" s="90">
        <v>2</v>
      </c>
      <c r="E115" s="90"/>
      <c r="F115" s="142">
        <f t="shared" si="14"/>
        <v>0</v>
      </c>
    </row>
    <row r="116" spans="1:6" x14ac:dyDescent="0.2">
      <c r="A116" s="153" t="s">
        <v>6</v>
      </c>
      <c r="B116" s="199" t="s">
        <v>71</v>
      </c>
      <c r="C116" s="69" t="s">
        <v>27</v>
      </c>
      <c r="D116" s="90">
        <v>1</v>
      </c>
      <c r="E116" s="90"/>
      <c r="F116" s="142">
        <f t="shared" si="14"/>
        <v>0</v>
      </c>
    </row>
    <row r="117" spans="1:6" x14ac:dyDescent="0.2">
      <c r="A117" s="335" t="s">
        <v>3</v>
      </c>
      <c r="B117" s="336"/>
      <c r="C117" s="336"/>
      <c r="D117" s="336"/>
      <c r="E117" s="120"/>
      <c r="F117" s="183">
        <f>SUM(F114:F116)</f>
        <v>0</v>
      </c>
    </row>
    <row r="118" spans="1:6" x14ac:dyDescent="0.2">
      <c r="A118" s="200"/>
      <c r="B118" s="201" t="s">
        <v>322</v>
      </c>
      <c r="C118" s="202"/>
      <c r="D118" s="202"/>
      <c r="E118" s="202"/>
      <c r="F118" s="203">
        <f>+F117</f>
        <v>0</v>
      </c>
    </row>
    <row r="119" spans="1:6" x14ac:dyDescent="0.2">
      <c r="A119" s="171"/>
      <c r="B119" s="172"/>
      <c r="C119" s="172"/>
      <c r="D119" s="172"/>
      <c r="E119" s="172"/>
      <c r="F119" s="149"/>
    </row>
    <row r="120" spans="1:6" x14ac:dyDescent="0.2">
      <c r="A120" s="177" t="s">
        <v>305</v>
      </c>
      <c r="B120" s="352" t="s">
        <v>327</v>
      </c>
      <c r="C120" s="352"/>
      <c r="D120" s="352"/>
      <c r="E120" s="196"/>
      <c r="F120" s="197"/>
    </row>
    <row r="121" spans="1:6" x14ac:dyDescent="0.2">
      <c r="A121" s="153" t="s">
        <v>321</v>
      </c>
      <c r="B121" s="198" t="s">
        <v>328</v>
      </c>
      <c r="C121" s="69" t="s">
        <v>27</v>
      </c>
      <c r="D121" s="90">
        <v>1</v>
      </c>
      <c r="E121" s="90"/>
      <c r="F121" s="142">
        <f t="shared" ref="F121:F122" si="15">D121*E121</f>
        <v>0</v>
      </c>
    </row>
    <row r="122" spans="1:6" ht="24" x14ac:dyDescent="0.2">
      <c r="A122" s="153" t="s">
        <v>5</v>
      </c>
      <c r="B122" s="204" t="s">
        <v>463</v>
      </c>
      <c r="C122" s="205" t="s">
        <v>329</v>
      </c>
      <c r="D122" s="206">
        <v>2</v>
      </c>
      <c r="E122" s="206"/>
      <c r="F122" s="142">
        <f t="shared" si="15"/>
        <v>0</v>
      </c>
    </row>
    <row r="123" spans="1:6" x14ac:dyDescent="0.2">
      <c r="A123" s="335" t="s">
        <v>3</v>
      </c>
      <c r="B123" s="336"/>
      <c r="C123" s="336"/>
      <c r="D123" s="336"/>
      <c r="E123" s="207"/>
      <c r="F123" s="208">
        <f>SUM(F121:F122)</f>
        <v>0</v>
      </c>
    </row>
    <row r="124" spans="1:6" ht="12.75" thickBot="1" x14ac:dyDescent="0.25">
      <c r="A124" s="124"/>
      <c r="B124" s="209" t="s">
        <v>335</v>
      </c>
      <c r="C124" s="210"/>
      <c r="D124" s="210"/>
      <c r="E124" s="210"/>
      <c r="F124" s="211">
        <f>+F123</f>
        <v>0</v>
      </c>
    </row>
    <row r="125" spans="1:6" ht="15" customHeight="1" thickBot="1" x14ac:dyDescent="0.25">
      <c r="A125" s="356"/>
      <c r="B125" s="357"/>
      <c r="C125" s="357"/>
      <c r="D125" s="357"/>
      <c r="E125" s="357"/>
      <c r="F125" s="358"/>
    </row>
    <row r="126" spans="1:6" ht="12.75" thickBot="1" x14ac:dyDescent="0.25">
      <c r="A126" s="212"/>
      <c r="B126" s="213" t="s">
        <v>256</v>
      </c>
      <c r="C126" s="214"/>
      <c r="D126" s="214"/>
      <c r="E126" s="214"/>
      <c r="F126" s="215">
        <f>F124+F118+F111+F56</f>
        <v>0</v>
      </c>
    </row>
    <row r="127" spans="1:6" x14ac:dyDescent="0.2">
      <c r="A127" s="172"/>
      <c r="B127" s="172"/>
      <c r="C127" s="172"/>
      <c r="D127" s="172"/>
      <c r="E127" s="172"/>
    </row>
  </sheetData>
  <mergeCells count="35">
    <mergeCell ref="A123:D123"/>
    <mergeCell ref="B113:D113"/>
    <mergeCell ref="A112:F112"/>
    <mergeCell ref="A125:F125"/>
    <mergeCell ref="B58:F58"/>
    <mergeCell ref="C59:D59"/>
    <mergeCell ref="A109:D109"/>
    <mergeCell ref="C60:D60"/>
    <mergeCell ref="A66:D66"/>
    <mergeCell ref="C67:D67"/>
    <mergeCell ref="A72:D72"/>
    <mergeCell ref="A81:D81"/>
    <mergeCell ref="C82:D82"/>
    <mergeCell ref="A88:D88"/>
    <mergeCell ref="A45:E45"/>
    <mergeCell ref="A99:D99"/>
    <mergeCell ref="C100:D100"/>
    <mergeCell ref="A117:D117"/>
    <mergeCell ref="B120:D120"/>
    <mergeCell ref="A94:D94"/>
    <mergeCell ref="C95:D95"/>
    <mergeCell ref="A54:E54"/>
    <mergeCell ref="C46:D46"/>
    <mergeCell ref="B2:F2"/>
    <mergeCell ref="A1:F1"/>
    <mergeCell ref="A11:E11"/>
    <mergeCell ref="A17:E17"/>
    <mergeCell ref="C4:D4"/>
    <mergeCell ref="C5:D5"/>
    <mergeCell ref="C12:D12"/>
    <mergeCell ref="C28:D28"/>
    <mergeCell ref="C41:D41"/>
    <mergeCell ref="A27:E27"/>
    <mergeCell ref="A34:E34"/>
    <mergeCell ref="A40:E40"/>
  </mergeCells>
  <pageMargins left="0.7" right="0.7" top="0.75" bottom="0.75" header="0.3" footer="0.3"/>
  <pageSetup paperSize="9" scale="92" orientation="portrait" horizontalDpi="4294967292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topLeftCell="A46" zoomScale="96" zoomScaleNormal="112" zoomScaleSheetLayoutView="96" workbookViewId="0">
      <selection activeCell="H3" sqref="H3:H4"/>
    </sheetView>
  </sheetViews>
  <sheetFormatPr baseColWidth="10" defaultColWidth="8" defaultRowHeight="12" x14ac:dyDescent="0.25"/>
  <cols>
    <col min="1" max="1" width="7.140625" style="126" customWidth="1"/>
    <col min="2" max="2" width="54.5703125" style="54" customWidth="1"/>
    <col min="3" max="3" width="9.42578125" style="126" customWidth="1"/>
    <col min="4" max="5" width="9.85546875" style="126" customWidth="1"/>
    <col min="6" max="6" width="9.85546875" style="127" customWidth="1"/>
    <col min="7" max="16384" width="8" style="54"/>
  </cols>
  <sheetData>
    <row r="1" spans="1:6" ht="18" customHeight="1" x14ac:dyDescent="0.25">
      <c r="A1" s="362" t="s">
        <v>465</v>
      </c>
      <c r="B1" s="363"/>
      <c r="C1" s="363"/>
      <c r="D1" s="363"/>
      <c r="E1" s="363"/>
      <c r="F1" s="364"/>
    </row>
    <row r="2" spans="1:6" ht="25.5" customHeight="1" thickBot="1" x14ac:dyDescent="0.3">
      <c r="A2" s="365"/>
      <c r="B2" s="366"/>
      <c r="C2" s="366"/>
      <c r="D2" s="366"/>
      <c r="E2" s="366"/>
      <c r="F2" s="367"/>
    </row>
    <row r="3" spans="1:6" ht="24.95" customHeight="1" x14ac:dyDescent="0.25">
      <c r="A3" s="368" t="s">
        <v>458</v>
      </c>
      <c r="B3" s="369"/>
      <c r="C3" s="369"/>
      <c r="D3" s="369"/>
      <c r="E3" s="369"/>
      <c r="F3" s="370"/>
    </row>
    <row r="4" spans="1:6" ht="12.95" customHeight="1" thickBot="1" x14ac:dyDescent="0.25">
      <c r="A4" s="55" t="s">
        <v>0</v>
      </c>
      <c r="B4" s="56" t="s">
        <v>337</v>
      </c>
      <c r="C4" s="56" t="s">
        <v>338</v>
      </c>
      <c r="D4" s="56" t="s">
        <v>339</v>
      </c>
      <c r="E4" s="56" t="s">
        <v>340</v>
      </c>
      <c r="F4" s="57" t="s">
        <v>341</v>
      </c>
    </row>
    <row r="5" spans="1:6" ht="12.75" thickBot="1" x14ac:dyDescent="0.25">
      <c r="A5" s="58">
        <v>2</v>
      </c>
      <c r="B5" s="59" t="s">
        <v>342</v>
      </c>
      <c r="C5" s="60"/>
      <c r="D5" s="61"/>
      <c r="E5" s="61"/>
      <c r="F5" s="62"/>
    </row>
    <row r="6" spans="1:6" x14ac:dyDescent="0.2">
      <c r="A6" s="63"/>
      <c r="B6" s="64" t="s">
        <v>343</v>
      </c>
      <c r="C6" s="65"/>
      <c r="D6" s="66"/>
      <c r="E6" s="66"/>
      <c r="F6" s="67"/>
    </row>
    <row r="7" spans="1:6" ht="12.95" customHeight="1" x14ac:dyDescent="0.2">
      <c r="A7" s="15" t="s">
        <v>19</v>
      </c>
      <c r="B7" s="16" t="s">
        <v>344</v>
      </c>
      <c r="C7" s="68" t="s">
        <v>345</v>
      </c>
      <c r="D7" s="69">
        <v>20</v>
      </c>
      <c r="E7" s="70"/>
      <c r="F7" s="67">
        <f>D7*E7</f>
        <v>0</v>
      </c>
    </row>
    <row r="8" spans="1:6" x14ac:dyDescent="0.2">
      <c r="A8" s="15" t="s">
        <v>23</v>
      </c>
      <c r="B8" s="16" t="s">
        <v>346</v>
      </c>
      <c r="C8" s="69" t="s">
        <v>122</v>
      </c>
      <c r="D8" s="69">
        <v>100</v>
      </c>
      <c r="E8" s="71"/>
      <c r="F8" s="67">
        <f t="shared" ref="F8:F52" si="0">D8*E8</f>
        <v>0</v>
      </c>
    </row>
    <row r="9" spans="1:6" x14ac:dyDescent="0.2">
      <c r="A9" s="15" t="s">
        <v>404</v>
      </c>
      <c r="B9" s="16" t="s">
        <v>347</v>
      </c>
      <c r="C9" s="69" t="s">
        <v>122</v>
      </c>
      <c r="D9" s="69">
        <v>30</v>
      </c>
      <c r="E9" s="71"/>
      <c r="F9" s="67">
        <f t="shared" si="0"/>
        <v>0</v>
      </c>
    </row>
    <row r="10" spans="1:6" x14ac:dyDescent="0.2">
      <c r="A10" s="15" t="s">
        <v>405</v>
      </c>
      <c r="B10" s="16" t="s">
        <v>348</v>
      </c>
      <c r="C10" s="69" t="s">
        <v>206</v>
      </c>
      <c r="D10" s="69">
        <v>2</v>
      </c>
      <c r="E10" s="71"/>
      <c r="F10" s="67">
        <f t="shared" si="0"/>
        <v>0</v>
      </c>
    </row>
    <row r="11" spans="1:6" x14ac:dyDescent="0.2">
      <c r="A11" s="15" t="s">
        <v>28</v>
      </c>
      <c r="B11" s="16" t="s">
        <v>349</v>
      </c>
      <c r="C11" s="69" t="s">
        <v>350</v>
      </c>
      <c r="D11" s="69">
        <v>6</v>
      </c>
      <c r="E11" s="71"/>
      <c r="F11" s="67">
        <f t="shared" si="0"/>
        <v>0</v>
      </c>
    </row>
    <row r="12" spans="1:6" x14ac:dyDescent="0.2">
      <c r="A12" s="15" t="s">
        <v>406</v>
      </c>
      <c r="B12" s="16" t="s">
        <v>351</v>
      </c>
      <c r="C12" s="69" t="s">
        <v>352</v>
      </c>
      <c r="D12" s="69">
        <v>6</v>
      </c>
      <c r="E12" s="71"/>
      <c r="F12" s="67">
        <f t="shared" si="0"/>
        <v>0</v>
      </c>
    </row>
    <row r="13" spans="1:6" x14ac:dyDescent="0.2">
      <c r="A13" s="72"/>
      <c r="B13" s="73" t="s">
        <v>353</v>
      </c>
      <c r="C13" s="74"/>
      <c r="D13" s="74"/>
      <c r="E13" s="75"/>
      <c r="F13" s="76">
        <f>F7+F8+F9+F10+F12+F11</f>
        <v>0</v>
      </c>
    </row>
    <row r="14" spans="1:6" x14ac:dyDescent="0.2">
      <c r="A14" s="77">
        <v>3</v>
      </c>
      <c r="B14" s="78" t="s">
        <v>354</v>
      </c>
      <c r="C14" s="79"/>
      <c r="D14" s="79"/>
      <c r="E14" s="80"/>
      <c r="F14" s="67"/>
    </row>
    <row r="15" spans="1:6" ht="12.95" customHeight="1" x14ac:dyDescent="0.2">
      <c r="A15" s="63" t="s">
        <v>407</v>
      </c>
      <c r="B15" s="65" t="s">
        <v>487</v>
      </c>
      <c r="C15" s="81" t="s">
        <v>122</v>
      </c>
      <c r="D15" s="81">
        <v>20</v>
      </c>
      <c r="E15" s="82"/>
      <c r="F15" s="67">
        <f t="shared" si="0"/>
        <v>0</v>
      </c>
    </row>
    <row r="16" spans="1:6" x14ac:dyDescent="0.2">
      <c r="A16" s="15" t="s">
        <v>408</v>
      </c>
      <c r="B16" s="16" t="s">
        <v>355</v>
      </c>
      <c r="C16" s="69" t="s">
        <v>122</v>
      </c>
      <c r="D16" s="69">
        <v>110</v>
      </c>
      <c r="E16" s="71"/>
      <c r="F16" s="67">
        <f t="shared" si="0"/>
        <v>0</v>
      </c>
    </row>
    <row r="17" spans="1:6" ht="12.95" customHeight="1" x14ac:dyDescent="0.2">
      <c r="A17" s="15" t="s">
        <v>409</v>
      </c>
      <c r="B17" s="16" t="s">
        <v>356</v>
      </c>
      <c r="C17" s="69" t="s">
        <v>122</v>
      </c>
      <c r="D17" s="69">
        <v>20</v>
      </c>
      <c r="E17" s="71"/>
      <c r="F17" s="67">
        <f t="shared" si="0"/>
        <v>0</v>
      </c>
    </row>
    <row r="18" spans="1:6" ht="12.75" thickBot="1" x14ac:dyDescent="0.25">
      <c r="A18" s="83"/>
      <c r="B18" s="84" t="s">
        <v>357</v>
      </c>
      <c r="C18" s="85"/>
      <c r="D18" s="85"/>
      <c r="E18" s="86"/>
      <c r="F18" s="87">
        <f>F15+F16+F17</f>
        <v>0</v>
      </c>
    </row>
    <row r="19" spans="1:6" x14ac:dyDescent="0.2">
      <c r="A19" s="88">
        <v>4</v>
      </c>
      <c r="B19" s="78" t="s">
        <v>358</v>
      </c>
      <c r="C19" s="89"/>
      <c r="D19" s="69"/>
      <c r="E19" s="16"/>
      <c r="F19" s="90"/>
    </row>
    <row r="20" spans="1:6" x14ac:dyDescent="0.2">
      <c r="A20" s="91" t="s">
        <v>410</v>
      </c>
      <c r="B20" s="92" t="s">
        <v>359</v>
      </c>
      <c r="C20" s="93" t="s">
        <v>122</v>
      </c>
      <c r="D20" s="94">
        <v>20</v>
      </c>
      <c r="E20" s="95"/>
      <c r="F20" s="67">
        <f t="shared" si="0"/>
        <v>0</v>
      </c>
    </row>
    <row r="21" spans="1:6" x14ac:dyDescent="0.2">
      <c r="A21" s="15" t="s">
        <v>411</v>
      </c>
      <c r="B21" s="65" t="s">
        <v>360</v>
      </c>
      <c r="C21" s="81" t="s">
        <v>122</v>
      </c>
      <c r="D21" s="93">
        <v>100</v>
      </c>
      <c r="E21" s="96"/>
      <c r="F21" s="67">
        <f t="shared" si="0"/>
        <v>0</v>
      </c>
    </row>
    <row r="22" spans="1:6" x14ac:dyDescent="0.2">
      <c r="A22" s="15" t="s">
        <v>412</v>
      </c>
      <c r="B22" s="65" t="s">
        <v>361</v>
      </c>
      <c r="C22" s="81" t="s">
        <v>122</v>
      </c>
      <c r="D22" s="81">
        <v>30</v>
      </c>
      <c r="E22" s="96"/>
      <c r="F22" s="67">
        <f t="shared" si="0"/>
        <v>0</v>
      </c>
    </row>
    <row r="23" spans="1:6" x14ac:dyDescent="0.2">
      <c r="A23" s="15" t="s">
        <v>413</v>
      </c>
      <c r="B23" s="65" t="s">
        <v>362</v>
      </c>
      <c r="C23" s="81" t="s">
        <v>363</v>
      </c>
      <c r="D23" s="81">
        <v>1</v>
      </c>
      <c r="E23" s="96"/>
      <c r="F23" s="67">
        <f t="shared" si="0"/>
        <v>0</v>
      </c>
    </row>
    <row r="24" spans="1:6" ht="12.95" customHeight="1" x14ac:dyDescent="0.2">
      <c r="A24" s="15" t="s">
        <v>414</v>
      </c>
      <c r="B24" s="65" t="s">
        <v>364</v>
      </c>
      <c r="C24" s="81" t="s">
        <v>352</v>
      </c>
      <c r="D24" s="81">
        <v>6</v>
      </c>
      <c r="E24" s="96"/>
      <c r="F24" s="67">
        <f t="shared" si="0"/>
        <v>0</v>
      </c>
    </row>
    <row r="25" spans="1:6" x14ac:dyDescent="0.2">
      <c r="A25" s="15" t="s">
        <v>415</v>
      </c>
      <c r="B25" s="16" t="s">
        <v>365</v>
      </c>
      <c r="C25" s="69" t="s">
        <v>352</v>
      </c>
      <c r="D25" s="69">
        <v>5</v>
      </c>
      <c r="E25" s="97"/>
      <c r="F25" s="67">
        <f t="shared" si="0"/>
        <v>0</v>
      </c>
    </row>
    <row r="26" spans="1:6" ht="12.95" customHeight="1" x14ac:dyDescent="0.2">
      <c r="A26" s="15" t="s">
        <v>416</v>
      </c>
      <c r="B26" s="19" t="s">
        <v>366</v>
      </c>
      <c r="C26" s="98" t="s">
        <v>306</v>
      </c>
      <c r="D26" s="98">
        <v>1</v>
      </c>
      <c r="E26" s="99"/>
      <c r="F26" s="67">
        <f t="shared" si="0"/>
        <v>0</v>
      </c>
    </row>
    <row r="27" spans="1:6" x14ac:dyDescent="0.2">
      <c r="A27" s="83"/>
      <c r="B27" s="100" t="s">
        <v>367</v>
      </c>
      <c r="C27" s="101"/>
      <c r="D27" s="101"/>
      <c r="E27" s="102"/>
      <c r="F27" s="76">
        <f>F20+F21+F22+F23+F24+F25+F26</f>
        <v>0</v>
      </c>
    </row>
    <row r="28" spans="1:6" x14ac:dyDescent="0.2">
      <c r="A28" s="77">
        <v>5</v>
      </c>
      <c r="B28" s="103" t="s">
        <v>368</v>
      </c>
      <c r="C28" s="104"/>
      <c r="D28" s="104"/>
      <c r="E28" s="105"/>
      <c r="F28" s="67"/>
    </row>
    <row r="29" spans="1:6" x14ac:dyDescent="0.2">
      <c r="A29" s="15" t="s">
        <v>417</v>
      </c>
      <c r="B29" s="16" t="s">
        <v>369</v>
      </c>
      <c r="C29" s="69" t="s">
        <v>370</v>
      </c>
      <c r="D29" s="69">
        <v>1</v>
      </c>
      <c r="E29" s="97"/>
      <c r="F29" s="67">
        <f t="shared" si="0"/>
        <v>0</v>
      </c>
    </row>
    <row r="30" spans="1:6" x14ac:dyDescent="0.2">
      <c r="A30" s="15" t="s">
        <v>418</v>
      </c>
      <c r="B30" s="16" t="s">
        <v>371</v>
      </c>
      <c r="C30" s="69" t="s">
        <v>370</v>
      </c>
      <c r="D30" s="69">
        <v>6</v>
      </c>
      <c r="E30" s="97"/>
      <c r="F30" s="67">
        <f t="shared" si="0"/>
        <v>0</v>
      </c>
    </row>
    <row r="31" spans="1:6" ht="12.95" customHeight="1" x14ac:dyDescent="0.2">
      <c r="A31" s="15" t="s">
        <v>419</v>
      </c>
      <c r="B31" s="16" t="s">
        <v>372</v>
      </c>
      <c r="C31" s="69" t="s">
        <v>370</v>
      </c>
      <c r="D31" s="69">
        <v>6</v>
      </c>
      <c r="E31" s="97"/>
      <c r="F31" s="67">
        <f t="shared" si="0"/>
        <v>0</v>
      </c>
    </row>
    <row r="32" spans="1:6" x14ac:dyDescent="0.2">
      <c r="A32" s="15" t="s">
        <v>420</v>
      </c>
      <c r="B32" s="16" t="s">
        <v>373</v>
      </c>
      <c r="C32" s="69" t="s">
        <v>370</v>
      </c>
      <c r="D32" s="69">
        <v>6</v>
      </c>
      <c r="E32" s="97"/>
      <c r="F32" s="67">
        <f t="shared" si="0"/>
        <v>0</v>
      </c>
    </row>
    <row r="33" spans="1:6" ht="12.95" customHeight="1" x14ac:dyDescent="0.2">
      <c r="A33" s="15" t="s">
        <v>421</v>
      </c>
      <c r="B33" s="16" t="s">
        <v>374</v>
      </c>
      <c r="C33" s="69" t="s">
        <v>370</v>
      </c>
      <c r="D33" s="69">
        <v>6</v>
      </c>
      <c r="E33" s="97"/>
      <c r="F33" s="67">
        <f t="shared" si="0"/>
        <v>0</v>
      </c>
    </row>
    <row r="34" spans="1:6" x14ac:dyDescent="0.2">
      <c r="A34" s="15" t="s">
        <v>422</v>
      </c>
      <c r="B34" s="16" t="s">
        <v>375</v>
      </c>
      <c r="C34" s="69" t="s">
        <v>376</v>
      </c>
      <c r="D34" s="69">
        <v>1</v>
      </c>
      <c r="E34" s="97"/>
      <c r="F34" s="67">
        <f t="shared" si="0"/>
        <v>0</v>
      </c>
    </row>
    <row r="35" spans="1:6" ht="12.95" customHeight="1" x14ac:dyDescent="0.2">
      <c r="A35" s="83"/>
      <c r="B35" s="106" t="s">
        <v>377</v>
      </c>
      <c r="C35" s="101"/>
      <c r="D35" s="101"/>
      <c r="E35" s="102"/>
      <c r="F35" s="76">
        <f>F29+F30+F31+F32+F33+F34</f>
        <v>0</v>
      </c>
    </row>
    <row r="36" spans="1:6" ht="12.95" customHeight="1" x14ac:dyDescent="0.2">
      <c r="A36" s="77">
        <v>6</v>
      </c>
      <c r="B36" s="78" t="s">
        <v>378</v>
      </c>
      <c r="C36" s="69"/>
      <c r="D36" s="69"/>
      <c r="E36" s="97"/>
      <c r="F36" s="67"/>
    </row>
    <row r="37" spans="1:6" x14ac:dyDescent="0.2">
      <c r="A37" s="91" t="s">
        <v>423</v>
      </c>
      <c r="B37" s="107" t="s">
        <v>379</v>
      </c>
      <c r="C37" s="94" t="s">
        <v>376</v>
      </c>
      <c r="D37" s="94">
        <v>1</v>
      </c>
      <c r="E37" s="95"/>
      <c r="F37" s="67">
        <f t="shared" si="0"/>
        <v>0</v>
      </c>
    </row>
    <row r="38" spans="1:6" x14ac:dyDescent="0.2">
      <c r="A38" s="108" t="s">
        <v>424</v>
      </c>
      <c r="B38" s="109" t="s">
        <v>380</v>
      </c>
      <c r="C38" s="110" t="s">
        <v>376</v>
      </c>
      <c r="D38" s="110">
        <v>1</v>
      </c>
      <c r="E38" s="111"/>
      <c r="F38" s="67">
        <f t="shared" si="0"/>
        <v>0</v>
      </c>
    </row>
    <row r="39" spans="1:6" x14ac:dyDescent="0.2">
      <c r="A39" s="112" t="s">
        <v>425</v>
      </c>
      <c r="B39" s="107" t="s">
        <v>381</v>
      </c>
      <c r="C39" s="94" t="s">
        <v>376</v>
      </c>
      <c r="D39" s="94">
        <v>1</v>
      </c>
      <c r="E39" s="95"/>
      <c r="F39" s="67">
        <f t="shared" si="0"/>
        <v>0</v>
      </c>
    </row>
    <row r="40" spans="1:6" x14ac:dyDescent="0.2">
      <c r="A40" s="83"/>
      <c r="B40" s="113" t="s">
        <v>382</v>
      </c>
      <c r="C40" s="85"/>
      <c r="D40" s="85"/>
      <c r="E40" s="114"/>
      <c r="F40" s="76">
        <f>F37+F38+F39</f>
        <v>0</v>
      </c>
    </row>
    <row r="41" spans="1:6" ht="12.95" customHeight="1" x14ac:dyDescent="0.2">
      <c r="A41" s="77">
        <v>7</v>
      </c>
      <c r="B41" s="115" t="s">
        <v>383</v>
      </c>
      <c r="C41" s="104"/>
      <c r="D41" s="104"/>
      <c r="E41" s="105"/>
      <c r="F41" s="67"/>
    </row>
    <row r="42" spans="1:6" x14ac:dyDescent="0.2">
      <c r="A42" s="112" t="s">
        <v>426</v>
      </c>
      <c r="B42" s="107" t="s">
        <v>384</v>
      </c>
      <c r="C42" s="94" t="s">
        <v>206</v>
      </c>
      <c r="D42" s="94">
        <v>1</v>
      </c>
      <c r="E42" s="95"/>
      <c r="F42" s="67">
        <f t="shared" si="0"/>
        <v>0</v>
      </c>
    </row>
    <row r="43" spans="1:6" x14ac:dyDescent="0.2">
      <c r="A43" s="112" t="s">
        <v>427</v>
      </c>
      <c r="B43" s="107" t="s">
        <v>385</v>
      </c>
      <c r="C43" s="94" t="s">
        <v>206</v>
      </c>
      <c r="D43" s="94">
        <v>1</v>
      </c>
      <c r="E43" s="95"/>
      <c r="F43" s="67">
        <f t="shared" si="0"/>
        <v>0</v>
      </c>
    </row>
    <row r="44" spans="1:6" x14ac:dyDescent="0.2">
      <c r="A44" s="112" t="s">
        <v>428</v>
      </c>
      <c r="B44" s="107" t="s">
        <v>386</v>
      </c>
      <c r="C44" s="94" t="s">
        <v>376</v>
      </c>
      <c r="D44" s="94">
        <v>1</v>
      </c>
      <c r="E44" s="95"/>
      <c r="F44" s="67">
        <f t="shared" si="0"/>
        <v>0</v>
      </c>
    </row>
    <row r="45" spans="1:6" ht="12.95" customHeight="1" x14ac:dyDescent="0.2">
      <c r="A45" s="112" t="s">
        <v>429</v>
      </c>
      <c r="B45" s="107" t="s">
        <v>387</v>
      </c>
      <c r="C45" s="94" t="s">
        <v>376</v>
      </c>
      <c r="D45" s="94">
        <v>1</v>
      </c>
      <c r="E45" s="95"/>
      <c r="F45" s="67">
        <f t="shared" si="0"/>
        <v>0</v>
      </c>
    </row>
    <row r="46" spans="1:6" ht="12.95" customHeight="1" x14ac:dyDescent="0.2">
      <c r="A46" s="72"/>
      <c r="B46" s="73" t="s">
        <v>388</v>
      </c>
      <c r="C46" s="101"/>
      <c r="D46" s="101"/>
      <c r="E46" s="102"/>
      <c r="F46" s="76">
        <f>F42+F43+F44+F45</f>
        <v>0</v>
      </c>
    </row>
    <row r="47" spans="1:6" x14ac:dyDescent="0.2">
      <c r="A47" s="77">
        <v>8</v>
      </c>
      <c r="B47" s="115" t="s">
        <v>389</v>
      </c>
      <c r="C47" s="116"/>
      <c r="D47" s="117"/>
      <c r="E47" s="105"/>
      <c r="F47" s="67"/>
    </row>
    <row r="48" spans="1:6" ht="12.95" customHeight="1" x14ac:dyDescent="0.2">
      <c r="A48" s="112" t="s">
        <v>430</v>
      </c>
      <c r="B48" s="107" t="s">
        <v>390</v>
      </c>
      <c r="C48" s="94" t="s">
        <v>206</v>
      </c>
      <c r="D48" s="94">
        <v>1</v>
      </c>
      <c r="E48" s="95"/>
      <c r="F48" s="67">
        <f t="shared" si="0"/>
        <v>0</v>
      </c>
    </row>
    <row r="49" spans="1:6" x14ac:dyDescent="0.2">
      <c r="A49" s="108" t="s">
        <v>431</v>
      </c>
      <c r="B49" s="109" t="s">
        <v>391</v>
      </c>
      <c r="C49" s="110" t="s">
        <v>122</v>
      </c>
      <c r="D49" s="110">
        <v>130</v>
      </c>
      <c r="E49" s="111"/>
      <c r="F49" s="67">
        <f t="shared" si="0"/>
        <v>0</v>
      </c>
    </row>
    <row r="50" spans="1:6" ht="12.95" customHeight="1" x14ac:dyDescent="0.2">
      <c r="A50" s="112" t="s">
        <v>432</v>
      </c>
      <c r="B50" s="107" t="s">
        <v>392</v>
      </c>
      <c r="C50" s="94" t="s">
        <v>376</v>
      </c>
      <c r="D50" s="94">
        <v>1</v>
      </c>
      <c r="E50" s="95"/>
      <c r="F50" s="67">
        <f t="shared" si="0"/>
        <v>0</v>
      </c>
    </row>
    <row r="51" spans="1:6" x14ac:dyDescent="0.2">
      <c r="A51" s="112" t="s">
        <v>433</v>
      </c>
      <c r="B51" s="107" t="s">
        <v>393</v>
      </c>
      <c r="C51" s="94" t="s">
        <v>122</v>
      </c>
      <c r="D51" s="94">
        <v>130</v>
      </c>
      <c r="E51" s="95"/>
      <c r="F51" s="67">
        <f t="shared" si="0"/>
        <v>0</v>
      </c>
    </row>
    <row r="52" spans="1:6" x14ac:dyDescent="0.2">
      <c r="A52" s="112" t="s">
        <v>434</v>
      </c>
      <c r="B52" s="107" t="s">
        <v>394</v>
      </c>
      <c r="C52" s="94" t="s">
        <v>376</v>
      </c>
      <c r="D52" s="94">
        <v>1</v>
      </c>
      <c r="E52" s="95"/>
      <c r="F52" s="67">
        <f t="shared" si="0"/>
        <v>0</v>
      </c>
    </row>
    <row r="53" spans="1:6" x14ac:dyDescent="0.2">
      <c r="A53" s="118"/>
      <c r="B53" s="100" t="s">
        <v>395</v>
      </c>
      <c r="C53" s="119"/>
      <c r="D53" s="120"/>
      <c r="E53" s="121"/>
      <c r="F53" s="122">
        <f>F48+F49+F50+F51+F52</f>
        <v>0</v>
      </c>
    </row>
    <row r="54" spans="1:6" ht="24" x14ac:dyDescent="0.2">
      <c r="A54" s="77">
        <v>9</v>
      </c>
      <c r="B54" s="123" t="s">
        <v>396</v>
      </c>
      <c r="C54" s="116"/>
      <c r="D54" s="117"/>
      <c r="E54" s="105"/>
      <c r="F54" s="67"/>
    </row>
    <row r="55" spans="1:6" x14ac:dyDescent="0.2">
      <c r="A55" s="112" t="s">
        <v>435</v>
      </c>
      <c r="B55" s="107" t="s">
        <v>397</v>
      </c>
      <c r="C55" s="94" t="s">
        <v>398</v>
      </c>
      <c r="D55" s="94">
        <v>1</v>
      </c>
      <c r="E55" s="95"/>
      <c r="F55" s="67">
        <f>D55*E55</f>
        <v>0</v>
      </c>
    </row>
    <row r="56" spans="1:6" x14ac:dyDescent="0.2">
      <c r="A56" s="108" t="s">
        <v>436</v>
      </c>
      <c r="B56" s="109" t="s">
        <v>399</v>
      </c>
      <c r="C56" s="110" t="s">
        <v>398</v>
      </c>
      <c r="D56" s="110">
        <v>1</v>
      </c>
      <c r="E56" s="111"/>
      <c r="F56" s="67">
        <f>D56*E56</f>
        <v>0</v>
      </c>
    </row>
    <row r="57" spans="1:6" x14ac:dyDescent="0.2">
      <c r="A57" s="112" t="s">
        <v>437</v>
      </c>
      <c r="B57" s="107" t="s">
        <v>400</v>
      </c>
      <c r="C57" s="94" t="s">
        <v>401</v>
      </c>
      <c r="D57" s="94">
        <v>1</v>
      </c>
      <c r="E57" s="95"/>
      <c r="F57" s="67">
        <f>D57*E57</f>
        <v>0</v>
      </c>
    </row>
    <row r="58" spans="1:6" x14ac:dyDescent="0.2">
      <c r="A58" s="118"/>
      <c r="B58" s="100" t="s">
        <v>402</v>
      </c>
      <c r="C58" s="119"/>
      <c r="D58" s="120"/>
      <c r="E58" s="121"/>
      <c r="F58" s="122">
        <f>F55+F56+F57</f>
        <v>0</v>
      </c>
    </row>
    <row r="59" spans="1:6" ht="17.45" customHeight="1" thickBot="1" x14ac:dyDescent="0.25">
      <c r="A59" s="124"/>
      <c r="B59" s="361" t="s">
        <v>403</v>
      </c>
      <c r="C59" s="361"/>
      <c r="D59" s="361"/>
      <c r="E59" s="361"/>
      <c r="F59" s="125">
        <f>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view="pageBreakPreview" zoomScaleNormal="100" zoomScaleSheetLayoutView="100" workbookViewId="0">
      <selection activeCell="E7" sqref="E7"/>
    </sheetView>
  </sheetViews>
  <sheetFormatPr baseColWidth="10" defaultColWidth="10.85546875" defaultRowHeight="12" x14ac:dyDescent="0.2"/>
  <cols>
    <col min="1" max="1" width="5.42578125" style="9" bestFit="1" customWidth="1"/>
    <col min="2" max="2" width="43.85546875" style="9" customWidth="1"/>
    <col min="3" max="4" width="10.85546875" style="9"/>
    <col min="5" max="5" width="12" style="9" customWidth="1"/>
    <col min="6" max="6" width="14.42578125" style="9" customWidth="1"/>
    <col min="7" max="16384" width="10.85546875" style="9"/>
  </cols>
  <sheetData>
    <row r="1" spans="1:6" ht="12.75" thickTop="1" x14ac:dyDescent="0.2">
      <c r="A1" s="34" t="s">
        <v>0</v>
      </c>
      <c r="B1" s="35" t="s">
        <v>1</v>
      </c>
      <c r="C1" s="35" t="s">
        <v>37</v>
      </c>
      <c r="D1" s="36" t="s">
        <v>79</v>
      </c>
      <c r="E1" s="36" t="s">
        <v>333</v>
      </c>
      <c r="F1" s="37" t="s">
        <v>334</v>
      </c>
    </row>
    <row r="2" spans="1:6" x14ac:dyDescent="0.2">
      <c r="A2" s="38" t="s">
        <v>2</v>
      </c>
      <c r="B2" s="39" t="s">
        <v>467</v>
      </c>
      <c r="C2" s="40"/>
      <c r="D2" s="41"/>
      <c r="E2" s="41"/>
      <c r="F2" s="41"/>
    </row>
    <row r="3" spans="1:6" x14ac:dyDescent="0.2">
      <c r="A3" s="42" t="s">
        <v>484</v>
      </c>
      <c r="B3" s="43" t="s">
        <v>485</v>
      </c>
      <c r="C3" s="42" t="s">
        <v>307</v>
      </c>
      <c r="D3" s="44">
        <v>2.5</v>
      </c>
      <c r="E3" s="45"/>
      <c r="F3" s="46">
        <f t="shared" ref="F3:F9" si="0">E3*D3</f>
        <v>0</v>
      </c>
    </row>
    <row r="4" spans="1:6" x14ac:dyDescent="0.2">
      <c r="A4" s="47" t="s">
        <v>308</v>
      </c>
      <c r="B4" s="43" t="s">
        <v>468</v>
      </c>
      <c r="C4" s="42" t="s">
        <v>307</v>
      </c>
      <c r="D4" s="44">
        <v>1</v>
      </c>
      <c r="E4" s="48"/>
      <c r="F4" s="46">
        <f t="shared" si="0"/>
        <v>0</v>
      </c>
    </row>
    <row r="5" spans="1:6" ht="24" x14ac:dyDescent="0.2">
      <c r="A5" s="47" t="s">
        <v>309</v>
      </c>
      <c r="B5" s="43" t="s">
        <v>469</v>
      </c>
      <c r="C5" s="42" t="s">
        <v>470</v>
      </c>
      <c r="D5" s="44">
        <v>2.5</v>
      </c>
      <c r="E5" s="48"/>
      <c r="F5" s="46">
        <f t="shared" si="0"/>
        <v>0</v>
      </c>
    </row>
    <row r="6" spans="1:6" x14ac:dyDescent="0.2">
      <c r="A6" s="47" t="s">
        <v>471</v>
      </c>
      <c r="B6" s="43" t="s">
        <v>472</v>
      </c>
      <c r="C6" s="42" t="s">
        <v>307</v>
      </c>
      <c r="D6" s="44">
        <v>0.2</v>
      </c>
      <c r="E6" s="48"/>
      <c r="F6" s="46">
        <f t="shared" si="0"/>
        <v>0</v>
      </c>
    </row>
    <row r="7" spans="1:6" ht="36" x14ac:dyDescent="0.2">
      <c r="A7" s="47" t="s">
        <v>473</v>
      </c>
      <c r="B7" s="43" t="s">
        <v>474</v>
      </c>
      <c r="C7" s="42" t="s">
        <v>122</v>
      </c>
      <c r="D7" s="44">
        <v>14</v>
      </c>
      <c r="E7" s="48"/>
      <c r="F7" s="46">
        <f t="shared" si="0"/>
        <v>0</v>
      </c>
    </row>
    <row r="8" spans="1:6" ht="13.5" x14ac:dyDescent="0.2">
      <c r="A8" s="47" t="s">
        <v>475</v>
      </c>
      <c r="B8" s="43" t="s">
        <v>476</v>
      </c>
      <c r="C8" s="42" t="s">
        <v>486</v>
      </c>
      <c r="D8" s="44">
        <v>4</v>
      </c>
      <c r="E8" s="48"/>
      <c r="F8" s="46">
        <f t="shared" si="0"/>
        <v>0</v>
      </c>
    </row>
    <row r="9" spans="1:6" ht="24" x14ac:dyDescent="0.2">
      <c r="A9" s="47" t="s">
        <v>477</v>
      </c>
      <c r="B9" s="43" t="s">
        <v>478</v>
      </c>
      <c r="C9" s="49" t="s">
        <v>122</v>
      </c>
      <c r="D9" s="48">
        <v>14</v>
      </c>
      <c r="E9" s="48"/>
      <c r="F9" s="46">
        <f t="shared" si="0"/>
        <v>0</v>
      </c>
    </row>
    <row r="10" spans="1:6" x14ac:dyDescent="0.2">
      <c r="A10" s="50"/>
      <c r="B10" s="51" t="s">
        <v>336</v>
      </c>
      <c r="C10" s="50"/>
      <c r="D10" s="50"/>
      <c r="E10" s="52"/>
      <c r="F10" s="53">
        <f>SUM(F3:F9)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USER</cp:lastModifiedBy>
  <dcterms:created xsi:type="dcterms:W3CDTF">2025-11-10T14:35:00Z</dcterms:created>
  <dcterms:modified xsi:type="dcterms:W3CDTF">2026-04-28T09:47:00Z</dcterms:modified>
</cp:coreProperties>
</file>